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/>
  <mc:AlternateContent xmlns:mc="http://schemas.openxmlformats.org/markup-compatibility/2006">
    <mc:Choice Requires="x15">
      <x15ac:absPath xmlns:x15ac="http://schemas.microsoft.com/office/spreadsheetml/2010/11/ac" url="C:\Users\PC\Desktop\3. Công trình nguồn thu\3. Nạo vét cửa thu, đắp bờ xử lý ô nhiễm cửa Nhà máy nước Cầu Nguyệt\1. BV và Dự toán\"/>
    </mc:Choice>
  </mc:AlternateContent>
  <xr:revisionPtr revIDLastSave="0" documentId="13_ncr:1_{99F0C4C0-1A83-465A-B73C-D6F40F30132B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" sheetId="1" r:id="rId1"/>
    <sheet name="Sheet1" sheetId="2" r:id="rId2"/>
  </sheets>
  <definedNames>
    <definedName name="_xlnm.Print_Area" localSheetId="0">KL!$B$1:$J$42</definedName>
  </definedNames>
  <calcPr calcId="191029"/>
</workbook>
</file>

<file path=xl/calcChain.xml><?xml version="1.0" encoding="utf-8"?>
<calcChain xmlns="http://schemas.openxmlformats.org/spreadsheetml/2006/main">
  <c r="I40" i="1" l="1"/>
  <c r="I9" i="2" l="1"/>
  <c r="J9" i="2"/>
  <c r="H15" i="1" l="1"/>
  <c r="I24" i="1"/>
  <c r="C20" i="1"/>
  <c r="I22" i="1" s="1"/>
  <c r="C9" i="2" s="1"/>
  <c r="D19" i="1"/>
  <c r="J19" i="1" s="1"/>
  <c r="D17" i="1"/>
  <c r="J17" i="1" s="1"/>
  <c r="J15" i="1"/>
  <c r="I15" i="1"/>
  <c r="I19" i="1" l="1"/>
  <c r="H19" i="1"/>
  <c r="H17" i="1"/>
  <c r="H20" i="1" s="1"/>
  <c r="D20" i="1"/>
  <c r="I17" i="1"/>
  <c r="O21" i="1"/>
  <c r="I26" i="1" l="1"/>
  <c r="I25" i="1" s="1"/>
  <c r="I23" i="1" s="1"/>
  <c r="I27" i="1"/>
  <c r="I8" i="1"/>
  <c r="A2" i="2"/>
  <c r="O30" i="1" l="1"/>
  <c r="D12" i="1"/>
  <c r="K40" i="1" l="1"/>
  <c r="L36" i="1" l="1"/>
  <c r="A3" i="2" l="1"/>
  <c r="M10" i="2" l="1"/>
  <c r="K10" i="2"/>
  <c r="L8" i="2"/>
  <c r="L10" i="2" s="1"/>
  <c r="C13" i="1" l="1"/>
  <c r="D10" i="1"/>
  <c r="I42" i="1" l="1"/>
  <c r="I41" i="1"/>
  <c r="I10" i="1"/>
  <c r="J10" i="1"/>
  <c r="J12" i="1"/>
  <c r="I12" i="1"/>
  <c r="D13" i="1"/>
  <c r="I13" i="1" l="1"/>
  <c r="H9" i="2"/>
  <c r="C10" i="2"/>
  <c r="J8" i="1"/>
  <c r="J13" i="1" s="1"/>
  <c r="I30" i="1" s="1"/>
  <c r="N8" i="2" l="1"/>
  <c r="N10" i="2" s="1"/>
  <c r="O8" i="2"/>
  <c r="O10" i="2" s="1"/>
  <c r="H10" i="2"/>
  <c r="I29" i="1"/>
  <c r="J10" i="2" l="1"/>
  <c r="I10" i="2"/>
  <c r="I35" i="1"/>
  <c r="F35" i="1"/>
  <c r="I28" i="1"/>
  <c r="I33" i="1" l="1"/>
  <c r="I31" i="1" s="1"/>
  <c r="F33" i="1"/>
</calcChain>
</file>

<file path=xl/sharedStrings.xml><?xml version="1.0" encoding="utf-8"?>
<sst xmlns="http://schemas.openxmlformats.org/spreadsheetml/2006/main" count="105" uniqueCount="79">
  <si>
    <t>BẢNG KHỐI LƯỢNG</t>
  </si>
  <si>
    <t>Tên cọc</t>
  </si>
  <si>
    <t>Khoảng cách (m)</t>
  </si>
  <si>
    <t>Diện tích (m2)</t>
  </si>
  <si>
    <t>Khối lượng (m3)</t>
  </si>
  <si>
    <t>Thực</t>
  </si>
  <si>
    <t>Áp dụng</t>
  </si>
  <si>
    <t>Đắp máy</t>
  </si>
  <si>
    <t>Đắp thủ công</t>
  </si>
  <si>
    <t>C1</t>
  </si>
  <si>
    <t>Tổng</t>
  </si>
  <si>
    <t>TỔNG HỢP KHỐI LƯỢNG</t>
  </si>
  <si>
    <t>1. Tổng chiều dài tuyến:</t>
  </si>
  <si>
    <t>m</t>
  </si>
  <si>
    <t>m3</t>
  </si>
  <si>
    <t>3. Khối lượng đất đắp:</t>
  </si>
  <si>
    <t>- Khối lượng đất đắp bằng máy :</t>
  </si>
  <si>
    <t>- Khối lượng đất đắp bằng thủ công :</t>
  </si>
  <si>
    <t>4. Phao thép trọng tải 60 tấn:</t>
  </si>
  <si>
    <t>ca</t>
  </si>
  <si>
    <t>Do đó số ca phục vụ đắp bờ là:</t>
  </si>
  <si>
    <t>C2</t>
  </si>
  <si>
    <t>C3</t>
  </si>
  <si>
    <t>Theo định mức (AB.24131) để đào 100m3 đất cấp I cần 0,172 ca máy đào 1,25m3</t>
  </si>
  <si>
    <t>x1x0,172=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</si>
  <si>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</si>
  <si>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BẢNG TỔNG HỢP KHỐI LƯỢNG KHẢO SÁT ĐỊA HÌNH</t>
  </si>
  <si>
    <t>TT</t>
  </si>
  <si>
    <t>Hạng mục</t>
  </si>
  <si>
    <t xml:space="preserve">Cắt </t>
  </si>
  <si>
    <t>Cắt ngang</t>
  </si>
  <si>
    <t>BĐ tỷ lệ1:200</t>
  </si>
  <si>
    <t>Khống chế</t>
  </si>
  <si>
    <t>T. chuẩn</t>
  </si>
  <si>
    <t>Cắm tim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</si>
  <si>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</si>
  <si>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</si>
  <si>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</si>
  <si>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</si>
  <si>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</si>
  <si>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</si>
  <si>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</si>
  <si>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</si>
  <si>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tuyến ct</t>
  </si>
  <si>
    <t>(m)</t>
  </si>
  <si>
    <t>m/c</t>
  </si>
  <si>
    <t>T.bình</t>
  </si>
  <si>
    <t>(ha)</t>
  </si>
  <si>
    <t xml:space="preserve"> (điểm)</t>
  </si>
  <si>
    <t xml:space="preserve"> (km)</t>
  </si>
  <si>
    <t>Bình đồ công trình</t>
  </si>
  <si>
    <t>x</t>
  </si>
  <si>
    <t>=</t>
  </si>
  <si>
    <t>Cộng:</t>
  </si>
  <si>
    <t xml:space="preserve"> * CD + CN: </t>
  </si>
  <si>
    <t>m2</t>
  </si>
  <si>
    <t>Theo định mức (TLB.22411) để đắp 100m3 đất cấp I cần 0,658 ca máy đào 0,65m3</t>
  </si>
  <si>
    <t>x1x0,658=</t>
  </si>
  <si>
    <t>6. Ô tô đầu kéo+rơ mooc vận chuyển máy xúc:</t>
  </si>
  <si>
    <t>7. Cần trục bánh hơi bốc dỡ phao thép và máy xúc:</t>
  </si>
  <si>
    <t>công</t>
  </si>
  <si>
    <t xml:space="preserve">8. Nhân công lắp đặt, tháo dỡ phao thép: </t>
  </si>
  <si>
    <t xml:space="preserve">5. Ô tô gắn cần trục 10T vận chuyển phao thép: </t>
  </si>
  <si>
    <t>ĐỊA ĐIỂM: XÃ AN KHÁNH, TP.HẢI PHÒNG</t>
  </si>
  <si>
    <t>11. Cọc tre giằng đầu cọc (2 phía)</t>
  </si>
  <si>
    <t>9. Gia cố cọc tre( chiều dài cọc 4m ; 5 căp cọc/m)</t>
  </si>
  <si>
    <t>12. Phên tre gia cố bờ (cao 0,8 m)</t>
  </si>
  <si>
    <t>C4</t>
  </si>
  <si>
    <t>C5</t>
  </si>
  <si>
    <t>C6</t>
  </si>
  <si>
    <t xml:space="preserve">- Khối lượng đất đào nạo vét bãi bồi </t>
  </si>
  <si>
    <t>Đất đào</t>
  </si>
  <si>
    <t>2. Khối lượng đất đào</t>
  </si>
  <si>
    <t>- Khối lượng đất đào giải toả đắp bờ ao  (=KL đất đắp*1,07)</t>
  </si>
  <si>
    <t>Đoạn 1: Nạo vét đắp bờ</t>
  </si>
  <si>
    <t>Đoạn 2: Nạo vét bãi bồi cửa nhà máy nước</t>
  </si>
  <si>
    <t xml:space="preserve">  + Khối lượng đất đào bãi bồi quăng lần 2</t>
  </si>
  <si>
    <t xml:space="preserve">  +  Khối lượng đất đào bãi bồi quăng lần 1</t>
  </si>
  <si>
    <t>CÔNG TRÌNH : NẠO VÉT CỬA THU, ĐẮP BỜ XỬ LÝ Ô NHIỄM CỬA NHÀ MÁY NƯỚC CẦU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</si>
</sst>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₫_-;\-* #,##0.00\ _₫_-;_-* &quot;-&quot;??\ _₫_-;_-@_-"/>
    <numFmt numFmtId="164" formatCode="#,##0.####;\-#,##0.####"/>
    <numFmt numFmtId="165" formatCode="0.0"/>
    <numFmt numFmtId="166" formatCode="#,##0.#;\-#,##0.#"/>
    <numFmt numFmtId="167" formatCode="#,##0.0"/>
    <numFmt numFmtId="168" formatCode="#,##0.0_ "/>
    <numFmt numFmtId="169" formatCode="0.0000"/>
  </numFmts>
  <fonts count="30">
    <font>
      <sz val="11"/>
      <color theme="1"/>
      <name val="Calibri"/>
      <charset val="134"/>
      <scheme val="minor"/>
    </font>
    <font>
      <sz val="13"/>
      <name val="Times New Roman"/>
      <family val="1"/>
    </font>
    <font>
      <sz val="14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i/>
      <sz val="14"/>
      <name val="Times New Roman"/>
      <family val="1"/>
    </font>
    <font>
      <b/>
      <i/>
      <sz val="13"/>
      <name val="Times New Roman"/>
      <family val="1"/>
    </font>
    <font>
      <sz val="11"/>
      <name val=".VnTime"/>
      <family val="2"/>
    </font>
    <font>
      <sz val="11"/>
      <name val=".VnTime"/>
      <family val="2"/>
    </font>
    <font>
      <sz val="12"/>
      <name val=".VnTime"/>
      <family val="2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.VnTime"/>
      <family val="2"/>
    </font>
    <font>
      <sz val="11"/>
      <name val="Calibri"/>
      <family val="2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.VnTime"/>
      <family val="2"/>
    </font>
    <font>
      <b/>
      <sz val="12"/>
      <name val="Times New Roman"/>
      <family val="1"/>
    </font>
    <font>
      <b/>
      <sz val="13"/>
      <name val="Times New Roman"/>
      <family val="1"/>
      <charset val="163"/>
    </font>
    <font>
      <sz val="13"/>
      <name val="Times New Roman"/>
      <family val="1"/>
      <charset val="163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11" fillId="0" borderId="0"/>
    <xf numFmtId="0" fontId="12" fillId="0" borderId="0"/>
    <xf numFmtId="43" fontId="14" fillId="0" borderId="0" applyFont="0" applyFill="0" applyBorder="0" applyAlignment="0" applyProtection="0"/>
    <xf numFmtId="0" fontId="15" fillId="0" borderId="0"/>
    <xf numFmtId="0" fontId="12" fillId="0" borderId="0"/>
    <xf numFmtId="0" fontId="10" fillId="0" borderId="0"/>
    <xf numFmtId="0" fontId="10" fillId="0" borderId="0"/>
  </cellStyleXfs>
  <cellXfs count="1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65" fontId="2" fillId="0" borderId="0" xfId="0" applyNumberFormat="1" applyFont="1">
      <alignment vertical="center"/>
    </xf>
    <xf numFmtId="1" fontId="2" fillId="0" borderId="0" xfId="0" applyNumberFormat="1" applyFont="1">
      <alignment vertical="center"/>
    </xf>
    <xf numFmtId="3" fontId="1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quotePrefix="1" applyFont="1">
      <alignment vertical="center"/>
    </xf>
    <xf numFmtId="0" fontId="1" fillId="0" borderId="0" xfId="3" applyFont="1" applyAlignment="1">
      <alignment horizontal="left" vertical="center"/>
    </xf>
    <xf numFmtId="2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 applyProtection="1">
      <alignment vertical="center" wrapText="1"/>
      <protection locked="0"/>
    </xf>
    <xf numFmtId="166" fontId="13" fillId="0" borderId="0" xfId="0" applyNumberFormat="1" applyFont="1" applyAlignment="1" applyProtection="1">
      <alignment vertical="center" wrapText="1"/>
      <protection locked="0"/>
    </xf>
    <xf numFmtId="0" fontId="16" fillId="0" borderId="1" xfId="5" applyFont="1" applyBorder="1"/>
    <xf numFmtId="0" fontId="16" fillId="0" borderId="1" xfId="5" applyFont="1" applyBorder="1" applyAlignment="1">
      <alignment horizontal="center"/>
    </xf>
    <xf numFmtId="165" fontId="16" fillId="0" borderId="1" xfId="5" applyNumberFormat="1" applyFont="1" applyBorder="1" applyAlignment="1">
      <alignment horizontal="center"/>
    </xf>
    <xf numFmtId="2" fontId="16" fillId="0" borderId="1" xfId="5" applyNumberFormat="1" applyFont="1" applyBorder="1" applyAlignment="1">
      <alignment horizontal="center"/>
    </xf>
    <xf numFmtId="0" fontId="20" fillId="0" borderId="0" xfId="5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0" fontId="21" fillId="0" borderId="0" xfId="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17" fillId="0" borderId="0" xfId="5" applyFont="1"/>
    <xf numFmtId="0" fontId="23" fillId="0" borderId="2" xfId="8" applyFont="1" applyBorder="1" applyAlignment="1">
      <alignment horizontal="center" vertical="center"/>
    </xf>
    <xf numFmtId="0" fontId="23" fillId="0" borderId="4" xfId="8" applyFont="1" applyBorder="1" applyAlignment="1">
      <alignment horizontal="center" vertical="center"/>
    </xf>
    <xf numFmtId="0" fontId="23" fillId="0" borderId="6" xfId="7" applyFont="1" applyBorder="1" applyAlignment="1">
      <alignment horizontal="center"/>
    </xf>
    <xf numFmtId="0" fontId="23" fillId="0" borderId="2" xfId="7" applyFont="1" applyBorder="1" applyAlignment="1">
      <alignment horizontal="center"/>
    </xf>
    <xf numFmtId="0" fontId="23" fillId="0" borderId="7" xfId="8" applyFont="1" applyBorder="1" applyAlignment="1">
      <alignment horizontal="center"/>
    </xf>
    <xf numFmtId="0" fontId="23" fillId="0" borderId="2" xfId="8" applyFont="1" applyBorder="1" applyAlignment="1">
      <alignment horizontal="center"/>
    </xf>
    <xf numFmtId="0" fontId="23" fillId="0" borderId="8" xfId="8" applyFont="1" applyBorder="1" applyAlignment="1">
      <alignment horizontal="center"/>
    </xf>
    <xf numFmtId="167" fontId="23" fillId="0" borderId="2" xfId="8" applyNumberFormat="1" applyFont="1" applyBorder="1" applyAlignment="1">
      <alignment horizontal="center"/>
    </xf>
    <xf numFmtId="167" fontId="23" fillId="0" borderId="2" xfId="7" applyNumberFormat="1" applyFont="1" applyBorder="1" applyAlignment="1">
      <alignment horizontal="center"/>
    </xf>
    <xf numFmtId="167" fontId="23" fillId="0" borderId="7" xfId="7" applyNumberFormat="1" applyFont="1" applyBorder="1" applyAlignment="1">
      <alignment horizontal="center"/>
    </xf>
    <xf numFmtId="0" fontId="23" fillId="0" borderId="7" xfId="7" applyFont="1" applyBorder="1" applyAlignment="1">
      <alignment horizontal="center"/>
    </xf>
    <xf numFmtId="167" fontId="23" fillId="0" borderId="9" xfId="4" applyNumberFormat="1" applyFont="1" applyFill="1" applyBorder="1" applyAlignment="1" applyProtection="1">
      <alignment horizontal="center" vertical="center"/>
      <protection locked="0"/>
    </xf>
    <xf numFmtId="167" fontId="23" fillId="0" borderId="10" xfId="4" applyNumberFormat="1" applyFont="1" applyFill="1" applyBorder="1" applyAlignment="1" applyProtection="1">
      <alignment horizontal="center" vertical="center"/>
      <protection locked="0"/>
    </xf>
    <xf numFmtId="1" fontId="23" fillId="0" borderId="10" xfId="4" applyNumberFormat="1" applyFont="1" applyFill="1" applyBorder="1" applyAlignment="1" applyProtection="1">
      <alignment horizontal="center" vertical="center"/>
      <protection locked="0"/>
    </xf>
    <xf numFmtId="1" fontId="23" fillId="0" borderId="9" xfId="4" applyNumberFormat="1" applyFont="1" applyFill="1" applyBorder="1" applyAlignment="1" applyProtection="1">
      <alignment horizontal="center" vertical="center"/>
      <protection locked="0"/>
    </xf>
    <xf numFmtId="0" fontId="23" fillId="0" borderId="9" xfId="7" applyFont="1" applyBorder="1" applyAlignment="1">
      <alignment horizontal="center"/>
    </xf>
    <xf numFmtId="0" fontId="24" fillId="0" borderId="11" xfId="7" applyFont="1" applyBorder="1" applyAlignment="1">
      <alignment horizontal="center" vertical="center"/>
    </xf>
    <xf numFmtId="1" fontId="24" fillId="0" borderId="11" xfId="4" applyNumberFormat="1" applyFont="1" applyFill="1" applyBorder="1" applyAlignment="1" applyProtection="1">
      <alignment horizontal="left" vertical="center" wrapText="1"/>
      <protection locked="0"/>
    </xf>
    <xf numFmtId="1" fontId="24" fillId="0" borderId="11" xfId="4" applyNumberFormat="1" applyFont="1" applyFill="1" applyBorder="1" applyAlignment="1" applyProtection="1">
      <alignment horizontal="center" vertical="center" wrapText="1"/>
      <protection locked="0"/>
    </xf>
    <xf numFmtId="2" fontId="24" fillId="3" borderId="11" xfId="7" applyNumberFormat="1" applyFont="1" applyFill="1" applyBorder="1" applyAlignment="1">
      <alignment horizontal="center" vertical="center"/>
    </xf>
    <xf numFmtId="2" fontId="24" fillId="0" borderId="11" xfId="7" applyNumberFormat="1" applyFont="1" applyBorder="1" applyAlignment="1">
      <alignment horizontal="center" vertical="center"/>
    </xf>
    <xf numFmtId="0" fontId="24" fillId="3" borderId="12" xfId="7" applyFont="1" applyFill="1" applyBorder="1" applyAlignment="1">
      <alignment horizontal="center" vertical="center"/>
    </xf>
    <xf numFmtId="1" fontId="24" fillId="3" borderId="13" xfId="4" applyNumberFormat="1" applyFont="1" applyFill="1" applyBorder="1" applyAlignment="1" applyProtection="1">
      <alignment horizontal="left" vertical="center" wrapText="1"/>
      <protection locked="0"/>
    </xf>
    <xf numFmtId="1" fontId="24" fillId="3" borderId="13" xfId="4" applyNumberFormat="1" applyFont="1" applyFill="1" applyBorder="1" applyAlignment="1" applyProtection="1">
      <alignment horizontal="center" vertical="center" wrapText="1"/>
      <protection locked="0"/>
    </xf>
    <xf numFmtId="165" fontId="24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4" fillId="3" borderId="13" xfId="4" applyNumberFormat="1" applyFont="1" applyFill="1" applyBorder="1" applyAlignment="1" applyProtection="1">
      <alignment horizontal="center" vertical="center" wrapText="1"/>
      <protection locked="0"/>
    </xf>
    <xf numFmtId="2" fontId="24" fillId="3" borderId="13" xfId="7" applyNumberFormat="1" applyFont="1" applyFill="1" applyBorder="1" applyAlignment="1">
      <alignment horizontal="center" vertical="center"/>
    </xf>
    <xf numFmtId="0" fontId="24" fillId="3" borderId="13" xfId="7" applyFont="1" applyFill="1" applyBorder="1" applyAlignment="1">
      <alignment horizontal="center" vertical="center"/>
    </xf>
    <xf numFmtId="0" fontId="25" fillId="0" borderId="1" xfId="5" applyFont="1" applyBorder="1"/>
    <xf numFmtId="0" fontId="25" fillId="0" borderId="1" xfId="5" applyFont="1" applyBorder="1" applyAlignment="1">
      <alignment horizontal="center"/>
    </xf>
    <xf numFmtId="165" fontId="25" fillId="0" borderId="1" xfId="5" applyNumberFormat="1" applyFont="1" applyBorder="1" applyAlignment="1">
      <alignment horizontal="center"/>
    </xf>
    <xf numFmtId="2" fontId="25" fillId="0" borderId="1" xfId="5" applyNumberFormat="1" applyFont="1" applyBorder="1" applyAlignment="1">
      <alignment horizontal="center"/>
    </xf>
    <xf numFmtId="164" fontId="26" fillId="0" borderId="0" xfId="0" applyNumberFormat="1" applyFont="1" applyAlignment="1" applyProtection="1">
      <alignment vertical="center" wrapText="1"/>
      <protection locked="0"/>
    </xf>
    <xf numFmtId="166" fontId="26" fillId="0" borderId="0" xfId="0" applyNumberFormat="1" applyFont="1" applyAlignment="1" applyProtection="1">
      <alignment vertical="center" wrapText="1"/>
      <protection locked="0"/>
    </xf>
    <xf numFmtId="0" fontId="6" fillId="0" borderId="0" xfId="3" applyFont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 wrapText="1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7" fillId="0" borderId="0" xfId="2" applyFont="1" applyAlignment="1">
      <alignment vertical="center"/>
    </xf>
    <xf numFmtId="0" fontId="27" fillId="0" borderId="0" xfId="2" applyFont="1" applyAlignment="1">
      <alignment horizontal="left" vertical="center"/>
    </xf>
    <xf numFmtId="168" fontId="24" fillId="3" borderId="13" xfId="4" applyNumberFormat="1" applyFont="1" applyFill="1" applyBorder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center" vertical="center"/>
    </xf>
    <xf numFmtId="169" fontId="25" fillId="0" borderId="1" xfId="5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9" fillId="0" borderId="0" xfId="2" applyFont="1" applyAlignment="1">
      <alignment horizontal="left" vertical="center" wrapText="1"/>
    </xf>
    <xf numFmtId="2" fontId="1" fillId="0" borderId="0" xfId="0" applyNumberFormat="1" applyFont="1">
      <alignment vertical="center"/>
    </xf>
    <xf numFmtId="165" fontId="1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" fillId="0" borderId="0" xfId="3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29" fillId="0" borderId="0" xfId="2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4" fillId="0" borderId="2" xfId="7" applyFont="1" applyBorder="1" applyAlignment="1">
      <alignment horizontal="center" vertical="center"/>
    </xf>
    <xf numFmtId="0" fontId="24" fillId="0" borderId="7" xfId="7" applyFont="1" applyBorder="1" applyAlignment="1">
      <alignment horizontal="center" vertical="center"/>
    </xf>
    <xf numFmtId="0" fontId="18" fillId="0" borderId="0" xfId="5" applyFont="1" applyAlignment="1">
      <alignment horizontal="center"/>
    </xf>
    <xf numFmtId="4" fontId="19" fillId="2" borderId="0" xfId="6" applyNumberFormat="1" applyFont="1" applyFill="1" applyAlignment="1">
      <alignment horizontal="center" vertical="center" wrapText="1"/>
    </xf>
    <xf numFmtId="2" fontId="19" fillId="0" borderId="0" xfId="5" applyNumberFormat="1" applyFont="1" applyAlignment="1">
      <alignment horizontal="center" vertical="center"/>
    </xf>
    <xf numFmtId="0" fontId="23" fillId="0" borderId="2" xfId="7" applyFont="1" applyBorder="1" applyAlignment="1">
      <alignment horizontal="center" vertical="center"/>
    </xf>
    <xf numFmtId="0" fontId="23" fillId="0" borderId="7" xfId="7" applyFont="1" applyBorder="1" applyAlignment="1">
      <alignment horizontal="center" vertical="center"/>
    </xf>
    <xf numFmtId="0" fontId="23" fillId="0" borderId="9" xfId="7" applyFont="1" applyBorder="1" applyAlignment="1">
      <alignment horizontal="center" vertical="center"/>
    </xf>
    <xf numFmtId="1" fontId="23" fillId="0" borderId="2" xfId="7" applyNumberFormat="1" applyFont="1" applyBorder="1" applyAlignment="1">
      <alignment horizontal="center" vertical="center"/>
    </xf>
    <xf numFmtId="0" fontId="23" fillId="0" borderId="3" xfId="8" applyFont="1" applyBorder="1" applyAlignment="1">
      <alignment horizontal="center" vertical="center"/>
    </xf>
    <xf numFmtId="0" fontId="23" fillId="0" borderId="4" xfId="8" applyFont="1" applyBorder="1" applyAlignment="1">
      <alignment horizontal="center" vertical="center"/>
    </xf>
    <xf numFmtId="0" fontId="23" fillId="0" borderId="3" xfId="7" applyFont="1" applyBorder="1" applyAlignment="1">
      <alignment horizontal="center"/>
    </xf>
    <xf numFmtId="0" fontId="23" fillId="0" borderId="5" xfId="7" applyFont="1" applyBorder="1" applyAlignment="1">
      <alignment horizontal="center"/>
    </xf>
  </cellXfs>
  <cellStyles count="9">
    <cellStyle name="Comma" xfId="4" builtinId="3"/>
    <cellStyle name="Normal" xfId="0" builtinId="0"/>
    <cellStyle name="Normal 2" xfId="1" xr:uid="{00000000-0005-0000-0000-000031000000}"/>
    <cellStyle name="Normal_01.2.Bang tinh khoi luong" xfId="2" xr:uid="{00000000-0005-0000-0000-000032000000}"/>
    <cellStyle name="Normal_DTKSDH_KLchi tiet" xfId="7" xr:uid="{5F9D2327-15BF-4535-827B-813E5B6CB51A}"/>
    <cellStyle name="Normal_DTKSDH_Sheet1" xfId="8" xr:uid="{320DBE8C-E756-457E-B300-03904DFEF3C3}"/>
    <cellStyle name="Normal_KL" xfId="3" xr:uid="{00000000-0005-0000-0000-000033000000}"/>
    <cellStyle name="Normal_KLchi tiet" xfId="6" xr:uid="{16F2B443-4CC3-4A3C-86F6-50286D3EFC0F}"/>
    <cellStyle name="Normal_Sheet1" xfId="5" xr:uid="{3D62597A-0DF7-43C5-BAE8-082F513F20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48"/>
  <sheetViews>
    <sheetView tabSelected="1" view="pageBreakPreview" topLeftCell="A7" zoomScale="85" zoomScaleNormal="100" zoomScaleSheetLayoutView="85" workbookViewId="0">
      <selection activeCell="U25" sqref="U25"/>
    </sheetView>
  </sheetViews>
  <sheetFormatPr defaultColWidth="8.7109375" defaultRowHeight="18.75"/>
  <cols>
    <col min="1" max="1" width="2.28515625" style="2" customWidth="1"/>
    <col min="2" max="2" width="10.7109375" style="2" customWidth="1"/>
    <col min="3" max="3" width="10.140625" style="2" customWidth="1"/>
    <col min="4" max="4" width="11.28515625" style="2" customWidth="1"/>
    <col min="5" max="5" width="9.42578125" style="2" customWidth="1"/>
    <col min="6" max="6" width="11.140625" style="2" customWidth="1"/>
    <col min="7" max="7" width="12.28515625" style="2" customWidth="1"/>
    <col min="8" max="8" width="10.140625" style="2" customWidth="1"/>
    <col min="9" max="9" width="12.140625" style="2" customWidth="1"/>
    <col min="10" max="10" width="11.85546875" style="2" customWidth="1"/>
    <col min="11" max="11" width="14.28515625" style="2" customWidth="1"/>
    <col min="12" max="12" width="9.140625" style="2"/>
    <col min="13" max="13" width="12.28515625" style="2" customWidth="1"/>
    <col min="14" max="256" width="9" style="2"/>
    <col min="257" max="16384" width="8.7109375" style="2"/>
  </cols>
  <sheetData>
    <row r="1" spans="2:27" ht="19.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6"/>
    </row>
    <row r="2" spans="2:27" ht="33.75" customHeight="1">
      <c r="B2" s="102" t="s">
        <v>78</v>
      </c>
      <c r="C2" s="102"/>
      <c r="D2" s="102"/>
      <c r="E2" s="102"/>
      <c r="F2" s="102"/>
      <c r="G2" s="102"/>
      <c r="H2" s="102"/>
      <c r="I2" s="102"/>
      <c r="J2" s="102"/>
      <c r="K2" s="71"/>
      <c r="L2" s="71"/>
      <c r="M2" s="71"/>
      <c r="N2" s="71"/>
      <c r="O2" s="71"/>
      <c r="P2" s="71"/>
      <c r="Q2" s="71"/>
      <c r="R2" s="71"/>
      <c r="S2" s="71"/>
      <c r="T2" s="72"/>
      <c r="U2" s="72"/>
      <c r="V2" s="72"/>
      <c r="W2" s="72"/>
      <c r="X2" s="72"/>
      <c r="Y2" s="72"/>
      <c r="Z2" s="72"/>
      <c r="AA2" s="72"/>
    </row>
    <row r="3" spans="2:27" ht="18.75" customHeight="1">
      <c r="B3" s="102" t="s">
        <v>63</v>
      </c>
      <c r="C3" s="103"/>
      <c r="D3" s="103"/>
      <c r="E3" s="103"/>
      <c r="F3" s="103"/>
      <c r="G3" s="103"/>
      <c r="H3" s="103"/>
      <c r="I3" s="103"/>
      <c r="J3" s="103"/>
      <c r="K3" s="28"/>
      <c r="L3" s="28"/>
      <c r="M3" s="28"/>
      <c r="N3" s="28"/>
      <c r="O3" s="28"/>
      <c r="P3" s="28"/>
      <c r="Q3" s="28"/>
      <c r="R3" s="28"/>
      <c r="S3" s="28"/>
      <c r="T3" s="29"/>
      <c r="U3" s="29"/>
      <c r="V3" s="29"/>
      <c r="W3" s="29"/>
      <c r="X3" s="29"/>
      <c r="Y3" s="29"/>
      <c r="Z3" s="29"/>
      <c r="AA3" s="29"/>
    </row>
    <row r="4" spans="2:27">
      <c r="B4" s="104"/>
      <c r="C4" s="104"/>
      <c r="D4" s="104"/>
      <c r="E4" s="104"/>
      <c r="F4" s="104"/>
      <c r="G4" s="104"/>
      <c r="H4" s="104"/>
      <c r="I4" s="104"/>
      <c r="J4" s="104"/>
      <c r="K4" s="17"/>
    </row>
    <row r="5" spans="2:27" ht="18.75" customHeight="1">
      <c r="B5" s="93" t="s">
        <v>1</v>
      </c>
      <c r="C5" s="93" t="s">
        <v>2</v>
      </c>
      <c r="D5" s="93"/>
      <c r="E5" s="105" t="s">
        <v>3</v>
      </c>
      <c r="F5" s="106"/>
      <c r="G5" s="107"/>
      <c r="H5" s="105" t="s">
        <v>4</v>
      </c>
      <c r="I5" s="106"/>
      <c r="J5" s="107"/>
      <c r="K5" s="17"/>
    </row>
    <row r="6" spans="2:27" ht="27.75" customHeight="1">
      <c r="B6" s="93"/>
      <c r="C6" s="3" t="s">
        <v>5</v>
      </c>
      <c r="D6" s="3" t="s">
        <v>6</v>
      </c>
      <c r="E6" s="86" t="s">
        <v>71</v>
      </c>
      <c r="F6" s="3" t="s">
        <v>7</v>
      </c>
      <c r="G6" s="3" t="s">
        <v>8</v>
      </c>
      <c r="H6" s="86" t="s">
        <v>71</v>
      </c>
      <c r="I6" s="3" t="s">
        <v>7</v>
      </c>
      <c r="J6" s="3" t="s">
        <v>8</v>
      </c>
      <c r="K6" s="17"/>
    </row>
    <row r="7" spans="2:27">
      <c r="B7" s="98" t="s">
        <v>74</v>
      </c>
      <c r="C7" s="99"/>
      <c r="D7" s="99"/>
      <c r="E7" s="99"/>
      <c r="F7" s="99"/>
      <c r="G7" s="99"/>
      <c r="H7" s="99"/>
      <c r="I7" s="99"/>
      <c r="J7" s="100"/>
      <c r="K7" s="17"/>
    </row>
    <row r="8" spans="2:27">
      <c r="B8" s="4" t="s">
        <v>9</v>
      </c>
      <c r="C8" s="4"/>
      <c r="D8" s="4">
        <v>25</v>
      </c>
      <c r="E8" s="4"/>
      <c r="F8" s="5">
        <v>28.53</v>
      </c>
      <c r="G8" s="5">
        <v>1.53</v>
      </c>
      <c r="H8" s="5"/>
      <c r="I8" s="5">
        <f>F8*D8</f>
        <v>713.25</v>
      </c>
      <c r="J8" s="5">
        <f>G8*D8</f>
        <v>38.25</v>
      </c>
      <c r="K8" s="17"/>
    </row>
    <row r="9" spans="2:27">
      <c r="B9" s="4"/>
      <c r="C9" s="4">
        <v>50</v>
      </c>
      <c r="D9" s="4"/>
      <c r="E9" s="4"/>
      <c r="F9" s="5"/>
      <c r="G9" s="5"/>
      <c r="H9" s="5"/>
      <c r="I9" s="5"/>
      <c r="J9" s="5"/>
      <c r="K9" s="17"/>
    </row>
    <row r="10" spans="2:27">
      <c r="B10" s="4" t="s">
        <v>21</v>
      </c>
      <c r="C10" s="4"/>
      <c r="D10" s="4">
        <f>C9/2+C11/2</f>
        <v>40.75</v>
      </c>
      <c r="E10" s="4"/>
      <c r="F10" s="5">
        <v>28.55</v>
      </c>
      <c r="G10" s="5">
        <v>1.53</v>
      </c>
      <c r="H10" s="5"/>
      <c r="I10" s="5">
        <f t="shared" ref="I10" si="0">F10*D10</f>
        <v>1163.4125000000001</v>
      </c>
      <c r="J10" s="5">
        <f t="shared" ref="J10" si="1">G10*D10</f>
        <v>62.347500000000004</v>
      </c>
      <c r="K10" s="17"/>
    </row>
    <row r="11" spans="2:27">
      <c r="B11" s="4"/>
      <c r="C11" s="4">
        <v>31.5</v>
      </c>
      <c r="D11" s="4"/>
      <c r="E11" s="4"/>
      <c r="F11" s="5"/>
      <c r="G11" s="5"/>
      <c r="H11" s="5"/>
      <c r="I11" s="5"/>
      <c r="J11" s="5"/>
      <c r="K11" s="17"/>
    </row>
    <row r="12" spans="2:27">
      <c r="B12" s="4" t="s">
        <v>22</v>
      </c>
      <c r="C12" s="4"/>
      <c r="D12" s="4">
        <f>+C11/2</f>
        <v>15.75</v>
      </c>
      <c r="E12" s="4"/>
      <c r="F12" s="5">
        <v>28.58</v>
      </c>
      <c r="G12" s="5">
        <v>1.53</v>
      </c>
      <c r="H12" s="5"/>
      <c r="I12" s="5">
        <f t="shared" ref="I12" si="2">F12*D12</f>
        <v>450.13499999999999</v>
      </c>
      <c r="J12" s="5">
        <f t="shared" ref="J12" si="3">G12*D12</f>
        <v>24.0975</v>
      </c>
      <c r="K12" s="17"/>
    </row>
    <row r="13" spans="2:27">
      <c r="B13" s="3" t="s">
        <v>10</v>
      </c>
      <c r="C13" s="3">
        <f>SUM(C8:C12)</f>
        <v>81.5</v>
      </c>
      <c r="D13" s="3">
        <f>SUM(D8:D12)</f>
        <v>81.5</v>
      </c>
      <c r="E13" s="86"/>
      <c r="F13" s="3"/>
      <c r="G13" s="3"/>
      <c r="H13" s="86"/>
      <c r="I13" s="85">
        <f>+SUM(I8:I12)</f>
        <v>2326.7975000000001</v>
      </c>
      <c r="J13" s="74">
        <f>SUM(J8:J12)</f>
        <v>124.69499999999999</v>
      </c>
      <c r="K13" s="17"/>
      <c r="N13" s="2" t="s">
        <v>25</v>
      </c>
    </row>
    <row r="14" spans="2:27">
      <c r="B14" s="98" t="s">
        <v>75</v>
      </c>
      <c r="C14" s="99"/>
      <c r="D14" s="99"/>
      <c r="E14" s="99"/>
      <c r="F14" s="99"/>
      <c r="G14" s="99"/>
      <c r="H14" s="99"/>
      <c r="I14" s="99"/>
      <c r="J14" s="100"/>
      <c r="K14" s="17"/>
    </row>
    <row r="15" spans="2:27">
      <c r="B15" s="4" t="s">
        <v>67</v>
      </c>
      <c r="C15" s="4"/>
      <c r="D15" s="4">
        <v>25</v>
      </c>
      <c r="E15" s="5">
        <v>9.41</v>
      </c>
      <c r="F15" s="5"/>
      <c r="G15" s="5"/>
      <c r="H15" s="5">
        <f>+E15*D15</f>
        <v>235.25</v>
      </c>
      <c r="I15" s="5">
        <f>F15*D15</f>
        <v>0</v>
      </c>
      <c r="J15" s="5">
        <f>G15*D15</f>
        <v>0</v>
      </c>
      <c r="K15" s="17"/>
    </row>
    <row r="16" spans="2:27">
      <c r="B16" s="4"/>
      <c r="C16" s="4">
        <v>50</v>
      </c>
      <c r="D16" s="4"/>
      <c r="E16" s="5"/>
      <c r="F16" s="5"/>
      <c r="G16" s="5"/>
      <c r="H16" s="5"/>
      <c r="I16" s="5"/>
      <c r="J16" s="5"/>
      <c r="K16" s="17"/>
    </row>
    <row r="17" spans="2:15">
      <c r="B17" s="4" t="s">
        <v>68</v>
      </c>
      <c r="C17" s="4"/>
      <c r="D17" s="4">
        <f>C16/2+C18/2</f>
        <v>49.25</v>
      </c>
      <c r="E17" s="5">
        <v>10.54</v>
      </c>
      <c r="F17" s="5"/>
      <c r="G17" s="5"/>
      <c r="H17" s="5">
        <f t="shared" ref="H17" si="4">+E17*D17</f>
        <v>519.09499999999991</v>
      </c>
      <c r="I17" s="5">
        <f t="shared" ref="I17" si="5">F17*D17</f>
        <v>0</v>
      </c>
      <c r="J17" s="5">
        <f t="shared" ref="J17" si="6">G17*D17</f>
        <v>0</v>
      </c>
      <c r="K17" s="17"/>
    </row>
    <row r="18" spans="2:15">
      <c r="B18" s="4"/>
      <c r="C18" s="4">
        <v>48.5</v>
      </c>
      <c r="D18" s="4"/>
      <c r="E18" s="5"/>
      <c r="F18" s="5"/>
      <c r="G18" s="5"/>
      <c r="H18" s="5"/>
      <c r="I18" s="5"/>
      <c r="J18" s="5"/>
      <c r="K18" s="17"/>
    </row>
    <row r="19" spans="2:15">
      <c r="B19" s="4" t="s">
        <v>69</v>
      </c>
      <c r="C19" s="4"/>
      <c r="D19" s="4">
        <f>+C18/2</f>
        <v>24.25</v>
      </c>
      <c r="E19" s="5">
        <v>8.89</v>
      </c>
      <c r="F19" s="5"/>
      <c r="G19" s="5"/>
      <c r="H19" s="5">
        <f t="shared" ref="H19" si="7">+E19*D19</f>
        <v>215.58250000000001</v>
      </c>
      <c r="I19" s="5">
        <f t="shared" ref="I19" si="8">F19*D19</f>
        <v>0</v>
      </c>
      <c r="J19" s="5">
        <f t="shared" ref="J19" si="9">G19*D19</f>
        <v>0</v>
      </c>
      <c r="K19" s="17"/>
    </row>
    <row r="20" spans="2:15">
      <c r="B20" s="86" t="s">
        <v>10</v>
      </c>
      <c r="C20" s="86">
        <f>SUM(C15:C19)</f>
        <v>98.5</v>
      </c>
      <c r="D20" s="86">
        <f>SUM(D15:D19)</f>
        <v>98.5</v>
      </c>
      <c r="E20" s="86"/>
      <c r="F20" s="86"/>
      <c r="G20" s="86"/>
      <c r="H20" s="85">
        <f>+SUM(H15:H19)</f>
        <v>969.9274999999999</v>
      </c>
      <c r="I20" s="85"/>
      <c r="J20" s="74"/>
      <c r="K20" s="17"/>
    </row>
    <row r="21" spans="2:15">
      <c r="B21" s="92" t="s">
        <v>11</v>
      </c>
      <c r="C21" s="92"/>
      <c r="D21" s="92"/>
      <c r="E21" s="92"/>
      <c r="F21" s="92"/>
      <c r="G21" s="92"/>
      <c r="H21" s="92"/>
      <c r="I21" s="92"/>
      <c r="J21" s="92"/>
      <c r="K21" s="18"/>
      <c r="O21" s="2">
        <f>141.5-81.5</f>
        <v>60</v>
      </c>
    </row>
    <row r="22" spans="2:15">
      <c r="B22" s="6" t="s">
        <v>12</v>
      </c>
      <c r="C22" s="1"/>
      <c r="D22" s="1"/>
      <c r="E22" s="1"/>
      <c r="F22" s="1"/>
      <c r="G22" s="1"/>
      <c r="H22" s="1"/>
      <c r="I22" s="7">
        <f>+C13+C20</f>
        <v>180</v>
      </c>
      <c r="J22" s="8" t="s">
        <v>13</v>
      </c>
      <c r="K22" s="18"/>
    </row>
    <row r="23" spans="2:15">
      <c r="B23" s="6" t="s">
        <v>72</v>
      </c>
      <c r="C23" s="1"/>
      <c r="D23" s="1"/>
      <c r="E23" s="1"/>
      <c r="F23" s="1"/>
      <c r="G23" s="1"/>
      <c r="H23" s="1"/>
      <c r="I23" s="83">
        <f>+I24+I25</f>
        <v>4077.9882250000001</v>
      </c>
      <c r="J23" s="6" t="s">
        <v>14</v>
      </c>
      <c r="K23" s="18"/>
    </row>
    <row r="24" spans="2:15">
      <c r="B24" s="24" t="s">
        <v>73</v>
      </c>
      <c r="C24" s="1"/>
      <c r="D24" s="1"/>
      <c r="E24" s="1"/>
      <c r="F24" s="1"/>
      <c r="G24" s="1"/>
      <c r="H24" s="1"/>
      <c r="I24" s="88">
        <f>+I28*1.07</f>
        <v>2623.0969750000004</v>
      </c>
      <c r="J24" s="1" t="s">
        <v>14</v>
      </c>
      <c r="K24" s="18"/>
    </row>
    <row r="25" spans="2:15">
      <c r="B25" s="24" t="s">
        <v>70</v>
      </c>
      <c r="C25" s="1"/>
      <c r="D25" s="1"/>
      <c r="E25" s="1"/>
      <c r="F25" s="1"/>
      <c r="G25" s="1"/>
      <c r="H25" s="1"/>
      <c r="I25" s="88">
        <f>+I26+I27</f>
        <v>1454.8912499999999</v>
      </c>
      <c r="J25" s="1" t="s">
        <v>14</v>
      </c>
      <c r="K25" s="18"/>
    </row>
    <row r="26" spans="2:15">
      <c r="B26" s="24" t="s">
        <v>77</v>
      </c>
      <c r="C26" s="1"/>
      <c r="D26" s="1"/>
      <c r="E26" s="1"/>
      <c r="F26" s="1"/>
      <c r="G26" s="1"/>
      <c r="H26" s="1"/>
      <c r="I26" s="88">
        <f>+H20/2</f>
        <v>484.96374999999995</v>
      </c>
      <c r="J26" s="1" t="s">
        <v>14</v>
      </c>
      <c r="K26" s="18"/>
    </row>
    <row r="27" spans="2:15">
      <c r="B27" s="24" t="s">
        <v>76</v>
      </c>
      <c r="C27" s="1"/>
      <c r="D27" s="1"/>
      <c r="E27" s="1"/>
      <c r="F27" s="1"/>
      <c r="G27" s="1"/>
      <c r="H27" s="1"/>
      <c r="I27" s="89">
        <f>+H20</f>
        <v>969.9274999999999</v>
      </c>
      <c r="J27" s="1" t="s">
        <v>14</v>
      </c>
      <c r="K27" s="18"/>
    </row>
    <row r="28" spans="2:15">
      <c r="B28" s="6" t="s">
        <v>15</v>
      </c>
      <c r="C28" s="1"/>
      <c r="D28" s="1"/>
      <c r="E28" s="1"/>
      <c r="F28" s="1"/>
      <c r="G28" s="1"/>
      <c r="H28" s="1"/>
      <c r="I28" s="83">
        <f>+I29+I30</f>
        <v>2451.4925000000003</v>
      </c>
      <c r="J28" s="6" t="s">
        <v>14</v>
      </c>
      <c r="K28" s="18"/>
    </row>
    <row r="29" spans="2:15">
      <c r="B29" s="24" t="s">
        <v>16</v>
      </c>
      <c r="C29" s="1"/>
      <c r="D29" s="1"/>
      <c r="E29" s="1"/>
      <c r="F29" s="1"/>
      <c r="G29" s="1"/>
      <c r="H29" s="1"/>
      <c r="I29" s="11">
        <f>I13</f>
        <v>2326.7975000000001</v>
      </c>
      <c r="J29" s="1" t="s">
        <v>14</v>
      </c>
      <c r="K29" s="18"/>
    </row>
    <row r="30" spans="2:15">
      <c r="B30" s="24" t="s">
        <v>17</v>
      </c>
      <c r="C30" s="1"/>
      <c r="D30" s="1"/>
      <c r="E30" s="1"/>
      <c r="F30" s="1"/>
      <c r="G30" s="1"/>
      <c r="H30" s="1"/>
      <c r="I30" s="11">
        <f>J13</f>
        <v>124.69499999999999</v>
      </c>
      <c r="J30" s="1" t="s">
        <v>14</v>
      </c>
      <c r="K30" s="18"/>
      <c r="O30" s="2">
        <f>50/4</f>
        <v>12.5</v>
      </c>
    </row>
    <row r="31" spans="2:15">
      <c r="B31" s="6" t="s">
        <v>18</v>
      </c>
      <c r="C31" s="1"/>
      <c r="D31" s="1"/>
      <c r="E31" s="1"/>
      <c r="F31" s="9"/>
      <c r="G31" s="9"/>
      <c r="H31" s="9"/>
      <c r="I31" s="12">
        <f>ROUND(+I33+I35,0)</f>
        <v>22</v>
      </c>
      <c r="J31" s="1" t="s">
        <v>19</v>
      </c>
      <c r="K31" s="18"/>
    </row>
    <row r="32" spans="2:15">
      <c r="B32" s="94" t="s">
        <v>23</v>
      </c>
      <c r="C32" s="94"/>
      <c r="D32" s="94"/>
      <c r="E32" s="94"/>
      <c r="F32" s="95"/>
      <c r="G32" s="95"/>
      <c r="H32" s="95"/>
      <c r="I32" s="94"/>
      <c r="J32" s="94"/>
      <c r="K32" s="18"/>
    </row>
    <row r="33" spans="2:14">
      <c r="B33" s="25" t="s">
        <v>20</v>
      </c>
      <c r="C33" s="1"/>
      <c r="D33" s="1"/>
      <c r="E33" s="1"/>
      <c r="F33" s="26">
        <f>+I23/100</f>
        <v>40.77988225</v>
      </c>
      <c r="G33" s="10" t="s">
        <v>24</v>
      </c>
      <c r="H33" s="10"/>
      <c r="I33" s="27">
        <f>+I23/100*1*0.172</f>
        <v>7.0141397469999998</v>
      </c>
      <c r="J33" s="1" t="s">
        <v>19</v>
      </c>
      <c r="K33" s="18"/>
    </row>
    <row r="34" spans="2:14">
      <c r="B34" s="94" t="s">
        <v>56</v>
      </c>
      <c r="C34" s="94"/>
      <c r="D34" s="94"/>
      <c r="E34" s="94"/>
      <c r="F34" s="95"/>
      <c r="G34" s="95"/>
      <c r="H34" s="95"/>
      <c r="I34" s="94"/>
      <c r="J34" s="94"/>
      <c r="K34" s="18"/>
    </row>
    <row r="35" spans="2:14">
      <c r="B35" s="25" t="s">
        <v>20</v>
      </c>
      <c r="C35" s="1"/>
      <c r="D35" s="1"/>
      <c r="E35" s="1"/>
      <c r="F35" s="26">
        <f>+I29/100</f>
        <v>23.267975</v>
      </c>
      <c r="G35" s="10" t="s">
        <v>57</v>
      </c>
      <c r="H35" s="10"/>
      <c r="I35" s="27">
        <f>+I29/100*1*0.658</f>
        <v>15.31032755</v>
      </c>
      <c r="J35" s="1" t="s">
        <v>19</v>
      </c>
      <c r="K35" s="18"/>
    </row>
    <row r="36" spans="2:14" ht="19.5">
      <c r="B36" s="78" t="s">
        <v>62</v>
      </c>
      <c r="C36" s="1"/>
      <c r="D36" s="1"/>
      <c r="E36" s="1"/>
      <c r="F36" s="1"/>
      <c r="G36" s="1"/>
      <c r="H36" s="1"/>
      <c r="I36" s="12">
        <v>2</v>
      </c>
      <c r="J36" s="10" t="s">
        <v>19</v>
      </c>
      <c r="K36" s="19"/>
      <c r="L36" s="2">
        <f>98.16/3</f>
        <v>32.72</v>
      </c>
    </row>
    <row r="37" spans="2:14" ht="19.5">
      <c r="B37" s="79" t="s">
        <v>58</v>
      </c>
      <c r="C37" s="1"/>
      <c r="D37" s="1"/>
      <c r="E37" s="1"/>
      <c r="F37" s="1"/>
      <c r="G37" s="1"/>
      <c r="H37" s="1"/>
      <c r="I37" s="12">
        <v>2</v>
      </c>
      <c r="J37" s="10" t="s">
        <v>19</v>
      </c>
      <c r="K37" s="19"/>
    </row>
    <row r="38" spans="2:14">
      <c r="B38" s="79" t="s">
        <v>59</v>
      </c>
      <c r="C38" s="14"/>
      <c r="D38" s="14"/>
      <c r="E38" s="14"/>
      <c r="F38" s="1"/>
      <c r="G38" s="6"/>
      <c r="H38" s="6"/>
      <c r="I38" s="12">
        <v>2</v>
      </c>
      <c r="J38" s="10" t="s">
        <v>19</v>
      </c>
      <c r="K38" s="16"/>
      <c r="N38" s="20"/>
    </row>
    <row r="39" spans="2:14">
      <c r="B39" s="78" t="s">
        <v>61</v>
      </c>
      <c r="C39" s="77"/>
      <c r="D39" s="77"/>
      <c r="E39" s="77"/>
      <c r="F39" s="76"/>
      <c r="G39" s="76"/>
      <c r="H39" s="76"/>
      <c r="I39" s="75">
        <v>4</v>
      </c>
      <c r="J39" s="10" t="s">
        <v>60</v>
      </c>
      <c r="K39" s="16"/>
      <c r="N39" s="20"/>
    </row>
    <row r="40" spans="2:14">
      <c r="B40" s="73" t="s">
        <v>65</v>
      </c>
      <c r="C40" s="1"/>
      <c r="D40" s="1"/>
      <c r="E40" s="1"/>
      <c r="F40" s="26"/>
      <c r="G40" s="10"/>
      <c r="H40" s="10"/>
      <c r="I40" s="81">
        <f>4*5*2*2*C13</f>
        <v>6520</v>
      </c>
      <c r="J40" s="10" t="s">
        <v>13</v>
      </c>
      <c r="K40" s="18" t="e">
        <f>(#REF!+#REF!)*4</f>
        <v>#REF!</v>
      </c>
    </row>
    <row r="41" spans="2:14">
      <c r="B41" s="96" t="s">
        <v>64</v>
      </c>
      <c r="C41" s="97"/>
      <c r="D41" s="97"/>
      <c r="E41" s="97"/>
      <c r="F41" s="97"/>
      <c r="G41" s="97"/>
      <c r="H41" s="87"/>
      <c r="I41" s="27">
        <f>+C13*2</f>
        <v>163</v>
      </c>
      <c r="J41" s="10" t="s">
        <v>13</v>
      </c>
      <c r="K41" s="18"/>
    </row>
    <row r="42" spans="2:14" ht="18.75" customHeight="1">
      <c r="B42" s="13" t="s">
        <v>66</v>
      </c>
      <c r="C42" s="1"/>
      <c r="D42" s="1"/>
      <c r="E42" s="1"/>
      <c r="F42" s="1"/>
      <c r="G42" s="1"/>
      <c r="H42" s="1"/>
      <c r="I42" s="84">
        <f>+C13*2*0.8</f>
        <v>130.4</v>
      </c>
      <c r="J42" s="8" t="s">
        <v>55</v>
      </c>
      <c r="K42" s="16"/>
    </row>
    <row r="43" spans="2:14">
      <c r="G43" s="90"/>
      <c r="H43" s="90"/>
      <c r="I43" s="90"/>
      <c r="J43" s="90"/>
      <c r="K43" s="15"/>
      <c r="L43" s="21"/>
      <c r="M43" s="22"/>
    </row>
    <row r="44" spans="2:14" ht="50.25" customHeight="1">
      <c r="G44" s="91"/>
      <c r="H44" s="91"/>
      <c r="I44" s="91"/>
      <c r="J44" s="91"/>
      <c r="K44" s="15"/>
      <c r="M44" s="22"/>
    </row>
    <row r="45" spans="2:14">
      <c r="K45" s="16"/>
    </row>
    <row r="46" spans="2:14">
      <c r="G46" s="92"/>
      <c r="H46" s="92"/>
      <c r="I46" s="92"/>
      <c r="J46" s="92"/>
      <c r="K46" s="16"/>
    </row>
    <row r="47" spans="2:14">
      <c r="K47" s="16"/>
    </row>
    <row r="48" spans="2:14" s="1" customFormat="1">
      <c r="B48" s="2"/>
      <c r="C48" s="2"/>
      <c r="D48" s="2"/>
      <c r="E48" s="2"/>
      <c r="F48" s="2"/>
      <c r="G48" s="2"/>
      <c r="H48" s="2"/>
      <c r="I48" s="2"/>
      <c r="J48" s="2"/>
      <c r="K48" s="23"/>
    </row>
  </sheetData>
  <mergeCells count="17">
    <mergeCell ref="B1:J1"/>
    <mergeCell ref="B2:J2"/>
    <mergeCell ref="B3:J3"/>
    <mergeCell ref="B4:J4"/>
    <mergeCell ref="C5:D5"/>
    <mergeCell ref="H5:J5"/>
    <mergeCell ref="E5:G5"/>
    <mergeCell ref="G43:J43"/>
    <mergeCell ref="G44:J44"/>
    <mergeCell ref="G46:J46"/>
    <mergeCell ref="B5:B6"/>
    <mergeCell ref="B21:J21"/>
    <mergeCell ref="B32:J32"/>
    <mergeCell ref="B34:J34"/>
    <mergeCell ref="B41:G41"/>
    <mergeCell ref="B7:J7"/>
    <mergeCell ref="B14:J14"/>
  </mergeCells>
  <printOptions horizontalCentered="1"/>
  <pageMargins left="0.39370078740157483" right="0.19685039370078741" top="0.39370078740157483" bottom="0.39370078740157483" header="0" footer="0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1935-1057-4B3F-96B0-CF84D52AB88B}">
  <dimension ref="A1:O11"/>
  <sheetViews>
    <sheetView view="pageBreakPreview" zoomScaleNormal="100" zoomScaleSheetLayoutView="100" workbookViewId="0">
      <selection activeCell="N18" sqref="N18"/>
    </sheetView>
  </sheetViews>
  <sheetFormatPr defaultRowHeight="15"/>
  <cols>
    <col min="11" max="13" width="0" hidden="1" customWidth="1"/>
    <col min="14" max="14" width="9.42578125" customWidth="1"/>
  </cols>
  <sheetData>
    <row r="1" spans="1:15" ht="16.5">
      <c r="A1" s="110" t="s">
        <v>26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33" customHeight="1">
      <c r="A2" s="111" t="str">
        <f>+KL!B2</f>
        <v>CÔNG TRÌNH : NẠO VÉT CỬA THU, ĐẮP BỜ XỬ LÝ Ô NHIỄM CỬA NHÀ MÁY NƯỚC CẦU NGUYỆT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</row>
    <row r="3" spans="1:15" ht="15" customHeight="1">
      <c r="A3" s="112" t="str">
        <f>KL!B3</f>
        <v>ĐỊA ĐIỂM: XÃ AN KHÁNH, TP.HẢI PHÒNG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18.75">
      <c r="A4" s="34"/>
      <c r="B4" s="35"/>
      <c r="C4" s="35"/>
      <c r="D4" s="35"/>
      <c r="E4" s="35"/>
      <c r="F4" s="35"/>
      <c r="G4" s="35"/>
      <c r="H4" s="35"/>
      <c r="I4" s="35"/>
      <c r="J4" s="35"/>
      <c r="K4" s="36"/>
      <c r="L4" s="36"/>
      <c r="M4" s="36"/>
      <c r="N4" s="37"/>
      <c r="O4" s="38"/>
    </row>
    <row r="5" spans="1:15">
      <c r="A5" s="113" t="s">
        <v>27</v>
      </c>
      <c r="B5" s="116" t="s">
        <v>28</v>
      </c>
      <c r="C5" s="39" t="s">
        <v>29</v>
      </c>
      <c r="D5" s="117" t="s">
        <v>30</v>
      </c>
      <c r="E5" s="118"/>
      <c r="F5" s="118"/>
      <c r="G5" s="118"/>
      <c r="H5" s="118"/>
      <c r="I5" s="118"/>
      <c r="J5" s="40"/>
      <c r="K5" s="119" t="s">
        <v>31</v>
      </c>
      <c r="L5" s="120"/>
      <c r="M5" s="41" t="s">
        <v>32</v>
      </c>
      <c r="N5" s="41" t="s">
        <v>33</v>
      </c>
      <c r="O5" s="42" t="s">
        <v>34</v>
      </c>
    </row>
    <row r="6" spans="1:15">
      <c r="A6" s="114"/>
      <c r="B6" s="114"/>
      <c r="C6" s="43" t="s">
        <v>35</v>
      </c>
      <c r="D6" s="44" t="s">
        <v>36</v>
      </c>
      <c r="E6" s="45"/>
      <c r="F6" s="45" t="s">
        <v>37</v>
      </c>
      <c r="G6" s="45"/>
      <c r="H6" s="46" t="s">
        <v>38</v>
      </c>
      <c r="I6" s="46" t="s">
        <v>39</v>
      </c>
      <c r="J6" s="46" t="s">
        <v>40</v>
      </c>
      <c r="K6" s="47" t="s">
        <v>39</v>
      </c>
      <c r="L6" s="46" t="s">
        <v>40</v>
      </c>
      <c r="M6" s="48" t="s">
        <v>41</v>
      </c>
      <c r="N6" s="48" t="s">
        <v>42</v>
      </c>
      <c r="O6" s="49" t="s">
        <v>43</v>
      </c>
    </row>
    <row r="7" spans="1:15">
      <c r="A7" s="115"/>
      <c r="B7" s="115"/>
      <c r="C7" s="50" t="s">
        <v>44</v>
      </c>
      <c r="D7" s="50" t="s">
        <v>45</v>
      </c>
      <c r="E7" s="51"/>
      <c r="F7" s="52" t="s">
        <v>46</v>
      </c>
      <c r="G7" s="52"/>
      <c r="H7" s="53" t="s">
        <v>44</v>
      </c>
      <c r="I7" s="53" t="s">
        <v>44</v>
      </c>
      <c r="J7" s="53" t="s">
        <v>44</v>
      </c>
      <c r="K7" s="54" t="s">
        <v>47</v>
      </c>
      <c r="L7" s="54" t="s">
        <v>47</v>
      </c>
      <c r="M7" s="54" t="s">
        <v>48</v>
      </c>
      <c r="N7" s="54" t="s">
        <v>49</v>
      </c>
      <c r="O7" s="54" t="s">
        <v>48</v>
      </c>
    </row>
    <row r="8" spans="1:15" ht="45">
      <c r="A8" s="55">
        <v>1</v>
      </c>
      <c r="B8" s="56" t="s">
        <v>50</v>
      </c>
      <c r="C8" s="57"/>
      <c r="D8" s="56"/>
      <c r="E8" s="56"/>
      <c r="F8" s="56"/>
      <c r="G8" s="56"/>
      <c r="H8" s="56"/>
      <c r="I8" s="56"/>
      <c r="J8" s="56"/>
      <c r="K8" s="58">
        <v>0</v>
      </c>
      <c r="L8" s="59">
        <f>K8</f>
        <v>0</v>
      </c>
      <c r="M8" s="55">
        <v>0</v>
      </c>
      <c r="N8" s="108">
        <f>+C10/1000</f>
        <v>0.18</v>
      </c>
      <c r="O8" s="108">
        <f>+C10/1000</f>
        <v>0.18</v>
      </c>
    </row>
    <row r="9" spans="1:15" ht="30">
      <c r="A9" s="60"/>
      <c r="B9" s="61" t="s">
        <v>54</v>
      </c>
      <c r="C9" s="80">
        <f>+KL!I22</f>
        <v>180</v>
      </c>
      <c r="D9" s="62">
        <v>6</v>
      </c>
      <c r="E9" s="62" t="s">
        <v>51</v>
      </c>
      <c r="F9" s="62">
        <v>30</v>
      </c>
      <c r="G9" s="62" t="s">
        <v>52</v>
      </c>
      <c r="H9" s="63">
        <f>D9*F9</f>
        <v>180</v>
      </c>
      <c r="I9" s="64">
        <f>H9*0.2</f>
        <v>36</v>
      </c>
      <c r="J9" s="64">
        <f>H9*0.8</f>
        <v>144</v>
      </c>
      <c r="K9" s="65"/>
      <c r="L9" s="65"/>
      <c r="M9" s="66"/>
      <c r="N9" s="109"/>
      <c r="O9" s="109"/>
    </row>
    <row r="10" spans="1:15">
      <c r="A10" s="67"/>
      <c r="B10" s="68" t="s">
        <v>53</v>
      </c>
      <c r="C10" s="69">
        <f>SUM(C8:C9)</f>
        <v>180</v>
      </c>
      <c r="D10" s="68"/>
      <c r="E10" s="68"/>
      <c r="F10" s="68"/>
      <c r="G10" s="68"/>
      <c r="H10" s="69">
        <f t="shared" ref="H10:O10" si="0">SUM(H8:H9)</f>
        <v>180</v>
      </c>
      <c r="I10" s="70">
        <f t="shared" si="0"/>
        <v>36</v>
      </c>
      <c r="J10" s="70">
        <f t="shared" si="0"/>
        <v>144</v>
      </c>
      <c r="K10" s="70">
        <f t="shared" si="0"/>
        <v>0</v>
      </c>
      <c r="L10" s="70">
        <f t="shared" si="0"/>
        <v>0</v>
      </c>
      <c r="M10" s="70">
        <f t="shared" si="0"/>
        <v>0</v>
      </c>
      <c r="N10" s="82">
        <f t="shared" si="0"/>
        <v>0.18</v>
      </c>
      <c r="O10" s="82">
        <f t="shared" si="0"/>
        <v>0.18</v>
      </c>
    </row>
    <row r="11" spans="1:15">
      <c r="A11" s="30"/>
      <c r="B11" s="31"/>
      <c r="C11" s="32"/>
      <c r="D11" s="31"/>
      <c r="E11" s="31"/>
      <c r="F11" s="31"/>
      <c r="G11" s="31"/>
      <c r="H11" s="32"/>
      <c r="I11" s="33"/>
      <c r="J11" s="33"/>
      <c r="K11" s="33"/>
      <c r="L11" s="33"/>
      <c r="M11" s="33"/>
      <c r="N11" s="33"/>
      <c r="O11" s="33"/>
    </row>
  </sheetData>
  <mergeCells count="9">
    <mergeCell ref="N8:N9"/>
    <mergeCell ref="O8:O9"/>
    <mergeCell ref="A1:O1"/>
    <mergeCell ref="A2:O2"/>
    <mergeCell ref="A3:O3"/>
    <mergeCell ref="A5:A7"/>
    <mergeCell ref="B5:B7"/>
    <mergeCell ref="D5:I5"/>
    <mergeCell ref="K5:L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KL</vt:lpstr>
      <vt:lpstr>Sheet1</vt:lpstr>
      <vt:lpstr>KL!Print_Area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cp:lastPrinted>2025-10-21T07:58:59Z</cp:lastPrinted>
  <dcterms:created xsi:type="dcterms:W3CDTF">2023-04-13T21:12:00Z</dcterms:created>
  <dcterms:modified xsi:type="dcterms:W3CDTF">2025-10-25T02:17:47Z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2057-12.2.0.13306</vt:lpwstr>
  </property>
</Properties>
</file>