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UBND Kiến Hưng/Sửa chữa hệ thống chiếu sáng/DỰ TOÁN/"/>
    </mc:Choice>
  </mc:AlternateContent>
  <xr:revisionPtr revIDLastSave="0" documentId="8_{BC3BC5FD-7162-6E4C-931E-0821A868C5C9}" xr6:coauthVersionLast="47" xr6:coauthVersionMax="47" xr10:uidLastSave="{00000000-0000-0000-0000-000000000000}"/>
  <bookViews>
    <workbookView xWindow="2380" yWindow="2800" windowWidth="26040" windowHeight="14940" xr2:uid="{48BE338D-4904-9542-AF98-4DD39553EA3E}"/>
  </bookViews>
  <sheets>
    <sheet name="TH kinh phí" sheetId="1" r:id="rId1"/>
  </sheets>
  <externalReferences>
    <externalReference r:id="rId2"/>
  </externalReferences>
  <definedNames>
    <definedName name="_xlnm.Print_Area" localSheetId="0">'TH kinh phí'!$A$1:$I$87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84" i="1" l="1"/>
  <c r="D83" i="1"/>
  <c r="F82" i="1"/>
  <c r="D81" i="1"/>
  <c r="H78" i="1"/>
  <c r="F77" i="1"/>
  <c r="F75" i="1"/>
  <c r="F74" i="1"/>
  <c r="F73" i="1"/>
  <c r="H72" i="1"/>
  <c r="I72" i="1" s="1"/>
  <c r="I71" i="1"/>
  <c r="I70" i="1"/>
  <c r="H69" i="1"/>
  <c r="I69" i="1" s="1"/>
  <c r="F69" i="1"/>
  <c r="H68" i="1"/>
  <c r="I68" i="1" s="1"/>
  <c r="D67" i="1"/>
  <c r="F67" i="1" s="1"/>
  <c r="F66" i="1"/>
  <c r="D66" i="1"/>
  <c r="I64" i="1"/>
  <c r="H64" i="1"/>
  <c r="D62" i="1"/>
  <c r="I61" i="1"/>
  <c r="H61" i="1"/>
  <c r="I60" i="1"/>
  <c r="H60" i="1"/>
  <c r="F60" i="1"/>
  <c r="H59" i="1"/>
  <c r="I59" i="1" s="1"/>
  <c r="F59" i="1"/>
  <c r="I58" i="1"/>
  <c r="H58" i="1"/>
  <c r="D57" i="1"/>
  <c r="F57" i="1" s="1"/>
  <c r="H56" i="1"/>
  <c r="G56" i="1"/>
  <c r="I56" i="1" s="1"/>
  <c r="H55" i="1"/>
  <c r="I55" i="1" s="1"/>
  <c r="G55" i="1"/>
  <c r="H54" i="1"/>
  <c r="G54" i="1"/>
  <c r="I54" i="1" s="1"/>
  <c r="I53" i="1"/>
  <c r="H53" i="1"/>
  <c r="H52" i="1"/>
  <c r="I52" i="1" s="1"/>
  <c r="G52" i="1"/>
  <c r="H51" i="1"/>
  <c r="I51" i="1" s="1"/>
  <c r="H50" i="1"/>
  <c r="I50" i="1" s="1"/>
  <c r="H49" i="1"/>
  <c r="I49" i="1" s="1"/>
  <c r="F48" i="1"/>
  <c r="D48" i="1"/>
  <c r="G48" i="1" s="1"/>
  <c r="G47" i="1"/>
  <c r="H47" i="1" s="1"/>
  <c r="I47" i="1" s="1"/>
  <c r="F47" i="1"/>
  <c r="D47" i="1"/>
  <c r="H46" i="1"/>
  <c r="G46" i="1"/>
  <c r="I46" i="1" s="1"/>
  <c r="I45" i="1"/>
  <c r="H45" i="1"/>
  <c r="H44" i="1"/>
  <c r="I44" i="1" s="1"/>
  <c r="I43" i="1"/>
  <c r="H43" i="1"/>
  <c r="I42" i="1"/>
  <c r="H42" i="1"/>
  <c r="G41" i="1"/>
  <c r="H41" i="1" s="1"/>
  <c r="I41" i="1" s="1"/>
  <c r="F41" i="1"/>
  <c r="F40" i="1"/>
  <c r="I39" i="1"/>
  <c r="H39" i="1"/>
  <c r="H38" i="1"/>
  <c r="I38" i="1" s="1"/>
  <c r="I37" i="1"/>
  <c r="H37" i="1"/>
  <c r="F37" i="1"/>
  <c r="D36" i="1"/>
  <c r="I35" i="1"/>
  <c r="H35" i="1"/>
  <c r="I34" i="1"/>
  <c r="H34" i="1"/>
  <c r="F33" i="1"/>
  <c r="D33" i="1"/>
  <c r="H32" i="1"/>
  <c r="I32" i="1" s="1"/>
  <c r="H31" i="1"/>
  <c r="I31" i="1" s="1"/>
  <c r="H30" i="1"/>
  <c r="H29" i="1"/>
  <c r="D28" i="1"/>
  <c r="G28" i="1" s="1"/>
  <c r="H27" i="1"/>
  <c r="G27" i="1"/>
  <c r="F27" i="1"/>
  <c r="I26" i="1"/>
  <c r="H26" i="1"/>
  <c r="I24" i="1"/>
  <c r="H24" i="1"/>
  <c r="D23" i="1"/>
  <c r="G23" i="1" s="1"/>
  <c r="N22" i="1"/>
  <c r="M22" i="1"/>
  <c r="M17" i="1" s="1"/>
  <c r="L22" i="1"/>
  <c r="H22" i="1"/>
  <c r="I22" i="1" s="1"/>
  <c r="B22" i="1"/>
  <c r="I20" i="1"/>
  <c r="I19" i="1"/>
  <c r="N17" i="1"/>
  <c r="L17" i="1"/>
  <c r="I17" i="1"/>
  <c r="H16" i="1"/>
  <c r="G16" i="1"/>
  <c r="G15" i="1"/>
  <c r="L15" i="1" s="1"/>
  <c r="L14" i="1" s="1"/>
  <c r="L13" i="1" s="1"/>
  <c r="B15" i="1"/>
  <c r="G14" i="1"/>
  <c r="G67" i="1" s="1"/>
  <c r="G13" i="1"/>
  <c r="H12" i="1"/>
  <c r="A10" i="1"/>
  <c r="A2" i="1"/>
  <c r="H23" i="1" l="1"/>
  <c r="I23" i="1" s="1"/>
  <c r="H28" i="1"/>
  <c r="H67" i="1"/>
  <c r="I67" i="1" s="1"/>
  <c r="H48" i="1"/>
  <c r="I48" i="1" s="1"/>
  <c r="G36" i="1"/>
  <c r="M15" i="1"/>
  <c r="M14" i="1" s="1"/>
  <c r="N15" i="1"/>
  <c r="N14" i="1" s="1"/>
  <c r="N13" i="1" s="1"/>
  <c r="F23" i="1"/>
  <c r="G57" i="1"/>
  <c r="G66" i="1"/>
  <c r="F36" i="1"/>
  <c r="I12" i="1"/>
  <c r="H15" i="1"/>
  <c r="G73" i="1"/>
  <c r="K14" i="1"/>
  <c r="I27" i="1"/>
  <c r="H66" i="1" l="1"/>
  <c r="I28" i="1"/>
  <c r="H73" i="1"/>
  <c r="I73" i="1" s="1"/>
  <c r="G75" i="1"/>
  <c r="I75" i="1" s="1"/>
  <c r="H57" i="1"/>
  <c r="I57" i="1" s="1"/>
  <c r="H36" i="1"/>
  <c r="I36" i="1" s="1"/>
  <c r="G40" i="1"/>
  <c r="I15" i="1"/>
  <c r="H14" i="1"/>
  <c r="G33" i="1"/>
  <c r="M13" i="1"/>
  <c r="H40" i="1" l="1"/>
  <c r="I40" i="1"/>
  <c r="I66" i="1"/>
  <c r="H13" i="1"/>
  <c r="I14" i="1"/>
  <c r="I13" i="1" s="1"/>
  <c r="I33" i="1"/>
  <c r="H33" i="1"/>
  <c r="L62" i="1"/>
  <c r="G62" i="1"/>
  <c r="G25" i="1" s="1"/>
  <c r="G74" i="1" l="1"/>
  <c r="H62" i="1"/>
  <c r="I62" i="1" s="1"/>
  <c r="I25" i="1" s="1"/>
  <c r="H25" i="1" l="1"/>
  <c r="H74" i="1"/>
  <c r="H63" i="1" s="1"/>
  <c r="G63" i="1"/>
  <c r="I74" i="1" l="1"/>
  <c r="I63" i="1" s="1"/>
  <c r="I77" i="1" l="1"/>
  <c r="K78" i="1"/>
  <c r="I76" i="1" l="1"/>
  <c r="I79" i="1" s="1"/>
  <c r="G77" i="1"/>
  <c r="G76" i="1" s="1"/>
  <c r="G79" i="1" s="1"/>
  <c r="H77" i="1" l="1"/>
  <c r="H76" i="1" s="1"/>
  <c r="H79" i="1" s="1"/>
  <c r="G84" i="1"/>
  <c r="G81" i="1"/>
  <c r="G83" i="1"/>
  <c r="H81" i="1" l="1"/>
  <c r="G82" i="1"/>
  <c r="G80" i="1"/>
  <c r="G85" i="1" s="1"/>
  <c r="H83" i="1"/>
  <c r="I83" i="1" s="1"/>
  <c r="H84" i="1"/>
  <c r="I84" i="1" s="1"/>
  <c r="H82" i="1" l="1"/>
  <c r="I82" i="1" s="1"/>
  <c r="H80" i="1"/>
  <c r="H85" i="1" s="1"/>
  <c r="I81" i="1"/>
  <c r="I80" i="1" l="1"/>
  <c r="I85" i="1" s="1"/>
  <c r="I86" i="1" s="1"/>
</calcChain>
</file>

<file path=xl/sharedStrings.xml><?xml version="1.0" encoding="utf-8"?>
<sst xmlns="http://schemas.openxmlformats.org/spreadsheetml/2006/main" count="318" uniqueCount="245">
  <si>
    <t>BẢNG TỔNG HỢP DỰ TOÁN CÔNG TRÌNH</t>
  </si>
  <si>
    <t>Chủ đầu tư/ Cơ quan chuẩn bị dự án: UBND XÃ KIẾN HƯNG</t>
  </si>
  <si>
    <t xml:space="preserve">Tư vấn lập dự án: </t>
  </si>
  <si>
    <t>Địa điểm XD: xã Kiến Hưng, huyện Kiến Thụy, thành phố Hải Phòng</t>
  </si>
  <si>
    <t>Thời điểm lập dự án: 05/2025</t>
  </si>
  <si>
    <t xml:space="preserve">Thời gian thực hiện dự án: </t>
  </si>
  <si>
    <t>Nguồn vốn đầu tư: NHÀ NƯỚC</t>
  </si>
  <si>
    <t>Loại, cấp công trình có cấp cao nhất: 4</t>
  </si>
  <si>
    <t>Tổng mức đầu tư</t>
  </si>
  <si>
    <t>STT</t>
  </si>
  <si>
    <t>Khoản mục chi phí</t>
  </si>
  <si>
    <t>Ký hiệu</t>
  </si>
  <si>
    <t>Định mức</t>
  </si>
  <si>
    <t>Hệ số</t>
  </si>
  <si>
    <t>Cách tính</t>
  </si>
  <si>
    <t>Chi phí trước thuế</t>
  </si>
  <si>
    <t>Thuế giá trị gia tăng</t>
  </si>
  <si>
    <t>Chi phí sau thuế</t>
  </si>
  <si>
    <t>Dự kiến</t>
  </si>
  <si>
    <t>Tiền khả thi</t>
  </si>
  <si>
    <t>Được duyệt</t>
  </si>
  <si>
    <t>1</t>
  </si>
  <si>
    <t>Chi phí bồi thường, hỗ trợ và tái định cư</t>
  </si>
  <si>
    <t>Gbt,tđc</t>
  </si>
  <si>
    <t/>
  </si>
  <si>
    <t>Gbttdc</t>
  </si>
  <si>
    <t>Chi phí xây dựng</t>
  </si>
  <si>
    <t>Gcpxd</t>
  </si>
  <si>
    <t>Gxd</t>
  </si>
  <si>
    <t>2.1</t>
  </si>
  <si>
    <t>Chi phí xây dựng công trình chính, phụ trợ tạm phục vụ thi công</t>
  </si>
  <si>
    <t>Gxdcpt</t>
  </si>
  <si>
    <t>Gxd.1</t>
  </si>
  <si>
    <t>Chi phí xây dựng nhà tạm tại hiện trường để ở và điều hành thi công</t>
  </si>
  <si>
    <t>Gnt</t>
  </si>
  <si>
    <t>Gxdnt</t>
  </si>
  <si>
    <t>Chi phí thiết bị</t>
  </si>
  <si>
    <t>Gtb</t>
  </si>
  <si>
    <t>Trong đó :</t>
  </si>
  <si>
    <t>Gtb_CT</t>
  </si>
  <si>
    <t>+ Chi phí Mua sắm thiết bị</t>
  </si>
  <si>
    <t>Gtb_MS</t>
  </si>
  <si>
    <t>+ Chi phí lắp đặt, thí nghiệm, hiệu chỉnh, đào tạo và chuyển giao thiết bị</t>
  </si>
  <si>
    <t>Gtb_LD</t>
  </si>
  <si>
    <t>Phân bổ chi phí thiết bị cho các hạng mục, công trình</t>
  </si>
  <si>
    <t>Gtb_PB</t>
  </si>
  <si>
    <t>Gtb.1</t>
  </si>
  <si>
    <t>Chi phí quản lý dự án</t>
  </si>
  <si>
    <t>Gqlda</t>
  </si>
  <si>
    <t>Chi phí hoạt động của đơn vị quản lý dự án thuộc cơ quan nhà nước có thẩm quyền thực hiện dự án theo hình thức đối tác công tư (PPP)</t>
  </si>
  <si>
    <t>GqldaPPP</t>
  </si>
  <si>
    <t>Chi phí tư vấn đầu tư xây dựng</t>
  </si>
  <si>
    <t>Gtv</t>
  </si>
  <si>
    <t>Gtv1 : Gtv37</t>
  </si>
  <si>
    <t>5.1</t>
  </si>
  <si>
    <t>Chi phí khảo sát</t>
  </si>
  <si>
    <t>Gtv1</t>
  </si>
  <si>
    <t>Gks</t>
  </si>
  <si>
    <t>5.2</t>
  </si>
  <si>
    <t>Chi phí lập nhiệm vụ khảo sát xây dựng</t>
  </si>
  <si>
    <t>Gtv2</t>
  </si>
  <si>
    <t>Glnvks</t>
  </si>
  <si>
    <t>5.3</t>
  </si>
  <si>
    <t>Chi phí giám sát công tác khảo sát xây dựng</t>
  </si>
  <si>
    <t>Gtv3</t>
  </si>
  <si>
    <t>=D28*100&amp;"%*"&amp;C26</t>
  </si>
  <si>
    <t>Ggsks</t>
  </si>
  <si>
    <t>Chi phí lập dự án</t>
  </si>
  <si>
    <t>Gtv4</t>
  </si>
  <si>
    <t>Glapda</t>
  </si>
  <si>
    <t>Chi phí thẩm tra tính hiệu quả và tính khả thi của dự án đầu tư</t>
  </si>
  <si>
    <t>Gtv5</t>
  </si>
  <si>
    <t>Ghqkt</t>
  </si>
  <si>
    <t>5.4</t>
  </si>
  <si>
    <t>Chi phí Thẩm định báo cáo đánh giá tác động môi trường (Thông tư 195/2016/TT-BTC)</t>
  </si>
  <si>
    <t>Gdgtdmt</t>
  </si>
  <si>
    <t>Chi phí lập báo cáo nghiên cứu tiền khả thi</t>
  </si>
  <si>
    <t>Gtv7</t>
  </si>
  <si>
    <t>Gbcnctkt</t>
  </si>
  <si>
    <t>Chi phí lập báo cáo nghiên cứu khả thi</t>
  </si>
  <si>
    <t>Gbcnckt</t>
  </si>
  <si>
    <t>Chi phí lập báo cáo kinh tế - kỹ thuật</t>
  </si>
  <si>
    <t>Gtv9</t>
  </si>
  <si>
    <t>Gbcktkt</t>
  </si>
  <si>
    <t>Chi phí thẩm tra báo cáo nghiên cứu tiền khả thi</t>
  </si>
  <si>
    <t>Gtv10</t>
  </si>
  <si>
    <t>Gttbcnctkt</t>
  </si>
  <si>
    <t>Chi phí thẩm tra báo cáo nghiên cứu khả thi</t>
  </si>
  <si>
    <t>Gtv6</t>
  </si>
  <si>
    <t>Gttbcnckt</t>
  </si>
  <si>
    <t>Chi phí thẩm tra thiết kế công nghệ</t>
  </si>
  <si>
    <t>Gtv12</t>
  </si>
  <si>
    <t>Gtttkcn</t>
  </si>
  <si>
    <t>Chi phí thẩm tra Báo cáo kinh tế - kỹ thuật, phần thiết kế</t>
  </si>
  <si>
    <t>Gtv13</t>
  </si>
  <si>
    <t>Gttbcktkt_tk</t>
  </si>
  <si>
    <t>Chi phí thẩm tra Báo cáo kinh tế - kỹ thuật, phần dự toán</t>
  </si>
  <si>
    <t>Gtv14</t>
  </si>
  <si>
    <t>Gttbcktkt_dt</t>
  </si>
  <si>
    <t>5.7</t>
  </si>
  <si>
    <t>Chi phí thẩm định Báo cáo nghiên cứu khả thi</t>
  </si>
  <si>
    <t>Gtdbcnckt</t>
  </si>
  <si>
    <t>5.8</t>
  </si>
  <si>
    <t>Chi phí thẩm định Báo cáo kinh tế - kỹ thuật</t>
  </si>
  <si>
    <t>Gtv8</t>
  </si>
  <si>
    <t>Gtdbcktkt</t>
  </si>
  <si>
    <t>Chi phí thi tuyển thiết kế kiến trúc</t>
  </si>
  <si>
    <t>Gtv17</t>
  </si>
  <si>
    <t>Gkt</t>
  </si>
  <si>
    <t>Chi phí thiết kế kỹ thuật</t>
  </si>
  <si>
    <t>Gtv18</t>
  </si>
  <si>
    <t>Gtk</t>
  </si>
  <si>
    <t>5.9</t>
  </si>
  <si>
    <t>Chi phí thiết kế bản vẽ thi công</t>
  </si>
  <si>
    <t>Gtkbv</t>
  </si>
  <si>
    <t>5.10</t>
  </si>
  <si>
    <t>Chi phí thẩm tra thiết kế kỹ thuật</t>
  </si>
  <si>
    <t>Gtttkkt</t>
  </si>
  <si>
    <t>5.11</t>
  </si>
  <si>
    <t>Chi phí thẩm tra thiết kế bản vẽ thi công</t>
  </si>
  <si>
    <t>Gtv11</t>
  </si>
  <si>
    <t>Gtttktc</t>
  </si>
  <si>
    <t>Chi phí thẩm tra dự toán công trình</t>
  </si>
  <si>
    <t>Gttdt</t>
  </si>
  <si>
    <t>Chi phí Lập hồ sơ mời thầu, đánh giá hồ sơ dự thầu thi công xây dựng</t>
  </si>
  <si>
    <t>Glcnt</t>
  </si>
  <si>
    <t>Chi phí lập hồ sơ mời quan tâm, hồ sơ mời sơ tuyển (Nghị định 63/2014/NĐ-CP)</t>
  </si>
  <si>
    <t>Gtv24</t>
  </si>
  <si>
    <t>0,05%*Gcpxd</t>
  </si>
  <si>
    <t>Glhsmqt</t>
  </si>
  <si>
    <t>Chi phí thẩm định hồ sơ mời quan tâm, hồ sơ mời sơ tuyển (Nghị định 63/2014/NĐ-CP)</t>
  </si>
  <si>
    <t>Gtv25</t>
  </si>
  <si>
    <t>0,03%*Gcpxd</t>
  </si>
  <si>
    <t>Gtdhsmqt</t>
  </si>
  <si>
    <t>Chi phí lập hồ sơ mời thầu, hồ sơ yêu cầu (Nghị định 63/2014/NĐ-CP)</t>
  </si>
  <si>
    <t>Gtv26</t>
  </si>
  <si>
    <t>0,1%*Gcpxd</t>
  </si>
  <si>
    <t>Glhsmt</t>
  </si>
  <si>
    <t>5.5</t>
  </si>
  <si>
    <t>Chi phí thẩm định hồ sơ mời thầu, hồ sơ yêu cầu (Nghị định 63/2014/NĐ-CP)</t>
  </si>
  <si>
    <t>0,05%*GGTXD (Dự toán gói thầu)</t>
  </si>
  <si>
    <t>Gtdhsmt</t>
  </si>
  <si>
    <t>Chi phí đánh giá hồ sơ quan tâm, hồ sơ dự sơ tuyển (Nghị định 63/2014/NĐ-CP)</t>
  </si>
  <si>
    <t>Gtv28</t>
  </si>
  <si>
    <t>Gdghsqt</t>
  </si>
  <si>
    <t>5.6</t>
  </si>
  <si>
    <t>Chi phí đánh giá hồ sơ dự thầu, hồ sơ đề xuất (Nghị định 63/2014/NĐ-CP)</t>
  </si>
  <si>
    <t>Gtv15</t>
  </si>
  <si>
    <t>0,1%*GGTXD (Dự toán gói thầu)</t>
  </si>
  <si>
    <t>Gdghsdt</t>
  </si>
  <si>
    <t>Chi phí thẩm định kết quả lựa chọn nhà thầu (Nghị định 63/2014/NĐ-CP)</t>
  </si>
  <si>
    <t>Gtv16</t>
  </si>
  <si>
    <t>Gtdkqnt</t>
  </si>
  <si>
    <t>Chi phí cho Hội đồng tư vấn giải quyết kiến nghị của nhà thầu (Nghị định 63/2014/NĐ-CP)</t>
  </si>
  <si>
    <t>0,02%*GGTXD (Dự toán gói thầu)</t>
  </si>
  <si>
    <t>Ghdtvgqkn</t>
  </si>
  <si>
    <t>Chi phí giám sát thi công xây dựng</t>
  </si>
  <si>
    <t>Ggstcxd</t>
  </si>
  <si>
    <t>Chi phí lập hồ sơ mời thầu, đánh giá hồ sơ dự thầu mua sắm thiết bị</t>
  </si>
  <si>
    <t>Gtv33</t>
  </si>
  <si>
    <t>Glcldtb</t>
  </si>
  <si>
    <t>Chi phí lập hồ sơ mời quan tâm, đánh giá hồ sơ quan tâm</t>
  </si>
  <si>
    <t>Gtv34</t>
  </si>
  <si>
    <t>Glhsmqt79</t>
  </si>
  <si>
    <t>Chi phí lập hồ sơ yêu cầu, đánh giá hồ sơ đề xuất</t>
  </si>
  <si>
    <t>Gtv35</t>
  </si>
  <si>
    <t>Glhsyc79</t>
  </si>
  <si>
    <t>Chi phí giám sát lắp đặt thiết bị</t>
  </si>
  <si>
    <t>Gtv36</t>
  </si>
  <si>
    <t>Ggsldtb</t>
  </si>
  <si>
    <t>Chi phí Lập hồ sơ mời thầu, đánh giá hồ sơ dự thầu tư vấn</t>
  </si>
  <si>
    <t>Gtv19</t>
  </si>
  <si>
    <t>Gthautv</t>
  </si>
  <si>
    <t>Chi phí khác</t>
  </si>
  <si>
    <t>Gk</t>
  </si>
  <si>
    <t>Gk1 : Gk12</t>
  </si>
  <si>
    <t>6.1</t>
  </si>
  <si>
    <t>Chi phí rà phá bom mìn, vật nổ</t>
  </si>
  <si>
    <t>Gk1</t>
  </si>
  <si>
    <t>Gbommin</t>
  </si>
  <si>
    <t>Chi phí hạng mục chung, phụ trợ khác</t>
  </si>
  <si>
    <t>Gk2</t>
  </si>
  <si>
    <t>Ghmc</t>
  </si>
  <si>
    <t>6.2</t>
  </si>
  <si>
    <t>Phí thẩm định thiết kế (Thông tư 210/2016/TT-BTC)</t>
  </si>
  <si>
    <t>Gtttk_BTC</t>
  </si>
  <si>
    <t>6.3</t>
  </si>
  <si>
    <t>Phí thẩm định dự toán (Thông tư 210/2016/TT-BTC)</t>
  </si>
  <si>
    <t>Gk3</t>
  </si>
  <si>
    <t>Gttdt_BTC</t>
  </si>
  <si>
    <t>Phí thẩm định dự án đầu tư xây dựng (Thông tư 209/2016/TT-BTC)</t>
  </si>
  <si>
    <t>Gk5</t>
  </si>
  <si>
    <t>Gthamdinh</t>
  </si>
  <si>
    <t>Phí thẩm định thiết kế cơ sở (Thông tư 209/2016/TT-BTC)</t>
  </si>
  <si>
    <t>Gk6</t>
  </si>
  <si>
    <t>GthamdinhTKCSTruoc</t>
  </si>
  <si>
    <t>Phí thẩm định phê duyệt thiết kế về phòng cháy và chữa cháy (Thông tư 258/2016/TT-BTC)</t>
  </si>
  <si>
    <t>Gk7</t>
  </si>
  <si>
    <t>GthamdinhPCCC</t>
  </si>
  <si>
    <t>Chi phí thẩm tra, phê duyệt quyết toán</t>
  </si>
  <si>
    <t>Gk8</t>
  </si>
  <si>
    <t>Gthamtra</t>
  </si>
  <si>
    <t>Chi phí kiểm toán độc lập</t>
  </si>
  <si>
    <t>Gk9</t>
  </si>
  <si>
    <t>Gkiemtoan</t>
  </si>
  <si>
    <t>6.4</t>
  </si>
  <si>
    <t>Phí bảo hiểm công trình (Phụ lục 7 - Thông tư 329/2016/TT-BTC)</t>
  </si>
  <si>
    <t>Gk4</t>
  </si>
  <si>
    <t>Gbaohiem</t>
  </si>
  <si>
    <t>6.5</t>
  </si>
  <si>
    <t>Phí bảo hiểm trách nhiệm nghề nghiệp Tư vấn đầu tư xây dựng (Phụ lục 8 - Thông tư 329/2016/TT-BTC)</t>
  </si>
  <si>
    <t>Gbaohiemtuvan</t>
  </si>
  <si>
    <t>6.6</t>
  </si>
  <si>
    <t>Chi phí kiểm tra công tác nghiệm thu công trình xây dựng (Thông tư 10/2021/TT-BXD)</t>
  </si>
  <si>
    <t>Gkiemtranghiemthu</t>
  </si>
  <si>
    <t>Chi phí dự phòng</t>
  </si>
  <si>
    <t>Gdp</t>
  </si>
  <si>
    <t>Gdp1 + Gdp2</t>
  </si>
  <si>
    <t>7.1</t>
  </si>
  <si>
    <t>Chi phí dự phòng cho yếu tố khối lượng phát sinh</t>
  </si>
  <si>
    <t>Gdp1</t>
  </si>
  <si>
    <t>Chi phí dự phòng cho yếu tố trượt giá</t>
  </si>
  <si>
    <t>Gdp2</t>
  </si>
  <si>
    <t>TỔNG CỘNG</t>
  </si>
  <si>
    <t>Gtmdt</t>
  </si>
  <si>
    <t>Chi phí thẩm định, thẩm tra, kiểm toán</t>
  </si>
  <si>
    <t>Gkt1 : Gkt4</t>
  </si>
  <si>
    <t>Gthamdinhkiemtoan</t>
  </si>
  <si>
    <t>8.1</t>
  </si>
  <si>
    <t>Gkt1</t>
  </si>
  <si>
    <t>GthamdinhSau</t>
  </si>
  <si>
    <t>8.2</t>
  </si>
  <si>
    <t>Gkt2</t>
  </si>
  <si>
    <t>GthamdinhTKCS</t>
  </si>
  <si>
    <t>8.3</t>
  </si>
  <si>
    <t>Gkt3</t>
  </si>
  <si>
    <t>GthamtraSau</t>
  </si>
  <si>
    <t>8.4</t>
  </si>
  <si>
    <t>Gkt4</t>
  </si>
  <si>
    <t>GkiemtoanSau</t>
  </si>
  <si>
    <t>TỔNG CỘNG (SAU KIỂM TOÁN)</t>
  </si>
  <si>
    <t>GtmdtSau</t>
  </si>
  <si>
    <t>LÀM TRÒN</t>
  </si>
  <si>
    <t>Glamtron</t>
  </si>
  <si>
    <t>Bằng chữ : Bốn trăm ba mươi chín triệu năm trăm hai mươi mốt nghìn đồng chẵn./.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</si>
</sst>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0.00000\ %"/>
    <numFmt numFmtId="165" formatCode="#,##0.00000;\-#,##0.00000"/>
    <numFmt numFmtId="166" formatCode="0.000\ %;\-0.000\ %"/>
    <numFmt numFmtId="167" formatCode="0\ %;\-0\ %"/>
    <numFmt numFmtId="168" formatCode="0.00\ %;\-0.00\ %"/>
    <numFmt numFmtId="169" formatCode="0.0\ %;\-0.0\ %"/>
  </numFmts>
  <fonts count="11" x14ac:knownFonts="1">
    <font>
      <sz val="8.25"/>
      <name val="Microsoft Sans Serif"/>
    </font>
    <font>
      <sz val="8.25"/>
      <name val="Microsoft Sans Serif"/>
    </font>
    <font>
      <b/>
      <sz val="15"/>
      <name val="Times New Roman"/>
      <charset val="1"/>
    </font>
    <font>
      <sz val="8.25"/>
      <color indexed="33"/>
      <name val="Microsoft Sans Serif"/>
      <family val="2"/>
    </font>
    <font>
      <b/>
      <sz val="12"/>
      <name val="Times New Roman"/>
      <family val="1"/>
    </font>
    <font>
      <i/>
      <sz val="12"/>
      <name val="Times New Roman"/>
      <family val="1"/>
    </font>
    <font>
      <b/>
      <sz val="11"/>
      <name val="Times New Roman"/>
      <family val="1"/>
    </font>
    <font>
      <sz val="10"/>
      <name val="Times New Roman"/>
      <family val="1"/>
    </font>
    <font>
      <sz val="11"/>
      <name val="Times New Roman"/>
      <family val="1"/>
    </font>
    <font>
      <b/>
      <sz val="12"/>
      <color indexed="32"/>
      <name val="Times New Roman"/>
      <family val="1"/>
    </font>
    <font>
      <b/>
      <i/>
      <sz val="11"/>
      <name val="Times New Roman"/>
      <family val="1"/>
    </font>
  </fonts>
  <fills count="3">
    <fill>
      <patternFill patternType="none"/>
    </fill>
    <fill>
      <patternFill patternType="gray125"/>
    </fill>
    <fill>
      <patternFill patternType="solid">
        <fgColor indexed="34"/>
      </patternFill>
    </fill>
  </fills>
  <borders count="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protection locked="0"/>
    </xf>
  </cellStyleXfs>
  <cellXfs count="55">
    <xf numFmtId="0" fontId="0" fillId="0" borderId="0" xfId="0">
      <protection locked="0"/>
    </xf>
    <xf numFmtId="0" fontId="2" fillId="0" borderId="0" xfId="0" applyFont="1" applyAlignment="1">
      <alignment horizontal="center" vertical="top"/>
      <protection locked="0"/>
    </xf>
    <xf numFmtId="0" fontId="1" fillId="0" borderId="0" xfId="0" applyFont="1" applyAlignment="1">
      <alignment vertical="top"/>
      <protection locked="0"/>
    </xf>
    <xf numFmtId="0" fontId="3" fillId="0" borderId="0" xfId="0" applyFont="1" applyAlignment="1" applyProtection="1">
      <alignment vertical="top"/>
    </xf>
    <xf numFmtId="0" fontId="3" fillId="0" borderId="0" xfId="0" applyFont="1" applyAlignment="1" applyProtection="1">
      <alignment horizontal="right" vertical="top"/>
    </xf>
    <xf numFmtId="0" fontId="1" fillId="0" borderId="0" xfId="0" applyFont="1" applyAlignment="1" applyProtection="1">
      <alignment vertical="top"/>
    </xf>
    <xf numFmtId="0" fontId="1" fillId="0" borderId="0" xfId="0" applyFont="1" applyAlignment="1">
      <alignment vertical="top"/>
      <protection locked="0"/>
    </xf>
    <xf numFmtId="0" fontId="4" fillId="0" borderId="0" xfId="0" applyFont="1" applyAlignment="1">
      <alignment vertical="top" wrapText="1"/>
      <protection locked="0"/>
    </xf>
    <xf numFmtId="0" fontId="4" fillId="0" borderId="0" xfId="0" applyFont="1" applyAlignment="1">
      <alignment vertical="top"/>
      <protection locked="0"/>
    </xf>
    <xf numFmtId="0" fontId="5" fillId="0" borderId="0" xfId="0" applyFont="1" applyAlignment="1">
      <alignment horizontal="right"/>
      <protection locked="0"/>
    </xf>
    <xf numFmtId="0" fontId="1" fillId="0" borderId="0" xfId="0" applyFont="1" applyAlignment="1" applyProtection="1">
      <alignment horizontal="center" vertical="top"/>
    </xf>
    <xf numFmtId="49" fontId="6" fillId="2" borderId="1" xfId="0" applyNumberFormat="1" applyFont="1" applyFill="1" applyBorder="1" applyAlignment="1">
      <alignment horizontal="center" vertical="center" wrapText="1"/>
      <protection locked="0"/>
    </xf>
    <xf numFmtId="49" fontId="6" fillId="2" borderId="2" xfId="0" applyNumberFormat="1" applyFont="1" applyFill="1" applyBorder="1" applyAlignment="1">
      <alignment horizontal="center" vertical="center" wrapText="1"/>
      <protection locked="0"/>
    </xf>
    <xf numFmtId="164" fontId="3" fillId="0" borderId="0" xfId="0" applyNumberFormat="1" applyFont="1" applyAlignment="1" applyProtection="1">
      <alignment horizontal="right" vertical="top" wrapText="1"/>
    </xf>
    <xf numFmtId="0" fontId="1" fillId="0" borderId="0" xfId="0" applyFont="1" applyAlignment="1" applyProtection="1">
      <alignment horizontal="center" vertical="top"/>
    </xf>
    <xf numFmtId="49" fontId="4" fillId="0" borderId="3" xfId="0" applyNumberFormat="1" applyFont="1" applyBorder="1" applyAlignment="1">
      <alignment horizontal="center" vertical="top" wrapText="1"/>
      <protection locked="0"/>
    </xf>
    <xf numFmtId="0" fontId="4" fillId="0" borderId="4" xfId="0" applyFont="1" applyBorder="1" applyAlignment="1">
      <alignment vertical="top" wrapText="1"/>
      <protection locked="0"/>
    </xf>
    <xf numFmtId="0" fontId="4" fillId="0" borderId="4" xfId="0" applyFont="1" applyBorder="1" applyAlignment="1">
      <alignment horizontal="center" vertical="top" wrapText="1"/>
      <protection locked="0"/>
    </xf>
    <xf numFmtId="164" fontId="4" fillId="0" borderId="4" xfId="0" applyNumberFormat="1" applyFont="1" applyBorder="1" applyAlignment="1">
      <alignment horizontal="center" vertical="top" wrapText="1"/>
      <protection locked="0"/>
    </xf>
    <xf numFmtId="165" fontId="4" fillId="0" borderId="4" xfId="0" applyNumberFormat="1" applyFont="1" applyBorder="1" applyAlignment="1">
      <alignment horizontal="center" vertical="top" wrapText="1"/>
      <protection locked="0"/>
    </xf>
    <xf numFmtId="49" fontId="4" fillId="0" borderId="4" xfId="0" applyNumberFormat="1" applyFont="1" applyBorder="1" applyAlignment="1">
      <alignment horizontal="center" vertical="top" wrapText="1"/>
      <protection locked="0"/>
    </xf>
    <xf numFmtId="3" fontId="4" fillId="0" borderId="4" xfId="0" applyNumberFormat="1" applyFont="1" applyBorder="1" applyAlignment="1">
      <alignment vertical="top" wrapText="1"/>
      <protection locked="0"/>
    </xf>
    <xf numFmtId="0" fontId="3" fillId="0" borderId="0" xfId="0" applyFont="1" applyAlignment="1" applyProtection="1">
      <alignment horizontal="center" vertical="top"/>
    </xf>
    <xf numFmtId="3" fontId="1" fillId="0" borderId="0" xfId="0" applyNumberFormat="1" applyFont="1" applyAlignment="1" applyProtection="1">
      <alignment vertical="top" wrapText="1"/>
    </xf>
    <xf numFmtId="49" fontId="5" fillId="0" borderId="3" xfId="0" applyNumberFormat="1" applyFont="1" applyBorder="1" applyAlignment="1">
      <alignment horizontal="center" vertical="top" wrapText="1"/>
      <protection locked="0"/>
    </xf>
    <xf numFmtId="0" fontId="5" fillId="0" borderId="4" xfId="0" applyFont="1" applyBorder="1" applyAlignment="1">
      <alignment vertical="top" wrapText="1"/>
      <protection locked="0"/>
    </xf>
    <xf numFmtId="0" fontId="5" fillId="0" borderId="4" xfId="0" applyFont="1" applyBorder="1" applyAlignment="1">
      <alignment horizontal="center" vertical="top" wrapText="1"/>
      <protection locked="0"/>
    </xf>
    <xf numFmtId="164" fontId="5" fillId="0" borderId="4" xfId="0" applyNumberFormat="1" applyFont="1" applyBorder="1" applyAlignment="1">
      <alignment horizontal="center" vertical="top" wrapText="1"/>
      <protection locked="0"/>
    </xf>
    <xf numFmtId="165" fontId="5" fillId="0" borderId="4" xfId="0" applyNumberFormat="1" applyFont="1" applyBorder="1" applyAlignment="1">
      <alignment horizontal="center" vertical="top" wrapText="1"/>
      <protection locked="0"/>
    </xf>
    <xf numFmtId="49" fontId="5" fillId="0" borderId="4" xfId="0" applyNumberFormat="1" applyFont="1" applyBorder="1" applyAlignment="1">
      <alignment horizontal="center" vertical="top" wrapText="1"/>
      <protection locked="0"/>
    </xf>
    <xf numFmtId="3" fontId="5" fillId="0" borderId="4" xfId="0" applyNumberFormat="1" applyFont="1" applyBorder="1" applyAlignment="1">
      <alignment vertical="top" wrapText="1"/>
      <protection locked="0"/>
    </xf>
    <xf numFmtId="3" fontId="3" fillId="0" borderId="0" xfId="0" applyNumberFormat="1" applyFont="1" applyAlignment="1" applyProtection="1">
      <alignment horizontal="right" vertical="top" wrapText="1"/>
    </xf>
    <xf numFmtId="49" fontId="7" fillId="0" borderId="3" xfId="0" applyNumberFormat="1" applyFont="1" applyBorder="1" applyAlignment="1">
      <alignment horizontal="center" vertical="top" wrapText="1"/>
      <protection locked="0"/>
    </xf>
    <xf numFmtId="0" fontId="7" fillId="0" borderId="4" xfId="0" applyFont="1" applyBorder="1" applyAlignment="1">
      <alignment vertical="top" wrapText="1"/>
      <protection locked="0"/>
    </xf>
    <xf numFmtId="0" fontId="7" fillId="0" borderId="4" xfId="0" applyFont="1" applyBorder="1" applyAlignment="1">
      <alignment horizontal="center" vertical="top" wrapText="1"/>
      <protection locked="0"/>
    </xf>
    <xf numFmtId="164" fontId="1" fillId="0" borderId="4" xfId="0" applyNumberFormat="1" applyFont="1" applyBorder="1" applyAlignment="1">
      <alignment horizontal="center" vertical="top" wrapText="1"/>
      <protection locked="0"/>
    </xf>
    <xf numFmtId="165" fontId="1" fillId="0" borderId="4" xfId="0" applyNumberFormat="1" applyFont="1" applyBorder="1" applyAlignment="1">
      <alignment horizontal="center" vertical="top" wrapText="1"/>
      <protection locked="0"/>
    </xf>
    <xf numFmtId="49" fontId="1" fillId="0" borderId="4" xfId="0" applyNumberFormat="1" applyFont="1" applyBorder="1" applyAlignment="1">
      <alignment horizontal="center" vertical="top" wrapText="1"/>
      <protection locked="0"/>
    </xf>
    <xf numFmtId="3" fontId="8" fillId="0" borderId="4" xfId="0" applyNumberFormat="1" applyFont="1" applyBorder="1" applyAlignment="1">
      <alignment vertical="top" wrapText="1"/>
      <protection locked="0"/>
    </xf>
    <xf numFmtId="166" fontId="4" fillId="0" borderId="4" xfId="0" applyNumberFormat="1" applyFont="1" applyBorder="1" applyAlignment="1">
      <alignment horizontal="center" vertical="top" wrapText="1"/>
      <protection locked="0"/>
    </xf>
    <xf numFmtId="167" fontId="5" fillId="0" borderId="4" xfId="0" applyNumberFormat="1" applyFont="1" applyBorder="1" applyAlignment="1">
      <alignment horizontal="center" vertical="top" wrapText="1"/>
      <protection locked="0"/>
    </xf>
    <xf numFmtId="166" fontId="5" fillId="0" borderId="4" xfId="0" applyNumberFormat="1" applyFont="1" applyBorder="1" applyAlignment="1">
      <alignment horizontal="center" vertical="top" wrapText="1"/>
      <protection locked="0"/>
    </xf>
    <xf numFmtId="168" fontId="5" fillId="0" borderId="4" xfId="0" applyNumberFormat="1" applyFont="1" applyBorder="1" applyAlignment="1">
      <alignment horizontal="center" vertical="top" wrapText="1"/>
      <protection locked="0"/>
    </xf>
    <xf numFmtId="169" fontId="5" fillId="0" borderId="4" xfId="0" applyNumberFormat="1" applyFont="1" applyBorder="1" applyAlignment="1">
      <alignment horizontal="center" vertical="top" wrapText="1"/>
      <protection locked="0"/>
    </xf>
    <xf numFmtId="49" fontId="9" fillId="0" borderId="3" xfId="0" applyNumberFormat="1" applyFont="1" applyBorder="1" applyAlignment="1">
      <alignment horizontal="center" vertical="top" wrapText="1"/>
      <protection locked="0"/>
    </xf>
    <xf numFmtId="0" fontId="9" fillId="0" borderId="4" xfId="0" applyFont="1" applyBorder="1" applyAlignment="1">
      <alignment vertical="top" wrapText="1"/>
      <protection locked="0"/>
    </xf>
    <xf numFmtId="0" fontId="9" fillId="0" borderId="4" xfId="0" applyFont="1" applyBorder="1" applyAlignment="1">
      <alignment horizontal="center" vertical="top" wrapText="1"/>
      <protection locked="0"/>
    </xf>
    <xf numFmtId="164" fontId="9" fillId="0" borderId="4" xfId="0" applyNumberFormat="1" applyFont="1" applyBorder="1" applyAlignment="1">
      <alignment horizontal="center" vertical="top" wrapText="1"/>
      <protection locked="0"/>
    </xf>
    <xf numFmtId="165" fontId="9" fillId="0" borderId="4" xfId="0" applyNumberFormat="1" applyFont="1" applyBorder="1" applyAlignment="1">
      <alignment horizontal="center" vertical="top" wrapText="1"/>
      <protection locked="0"/>
    </xf>
    <xf numFmtId="49" fontId="9" fillId="0" borderId="4" xfId="0" applyNumberFormat="1" applyFont="1" applyBorder="1" applyAlignment="1">
      <alignment horizontal="center" vertical="top" wrapText="1"/>
      <protection locked="0"/>
    </xf>
    <xf numFmtId="3" fontId="9" fillId="0" borderId="4" xfId="0" applyNumberFormat="1" applyFont="1" applyBorder="1" applyAlignment="1">
      <alignment vertical="top" wrapText="1"/>
      <protection locked="0"/>
    </xf>
    <xf numFmtId="49" fontId="10" fillId="0" borderId="5" xfId="0" applyNumberFormat="1" applyFont="1" applyBorder="1" applyAlignment="1">
      <alignment horizontal="center" vertical="center" wrapText="1"/>
      <protection locked="0"/>
    </xf>
    <xf numFmtId="0" fontId="1" fillId="0" borderId="6" xfId="0" applyFont="1" applyBorder="1" applyAlignment="1">
      <alignment vertical="top" wrapText="1"/>
      <protection locked="0"/>
    </xf>
    <xf numFmtId="0" fontId="1" fillId="0" borderId="6" xfId="0" applyFont="1" applyBorder="1" applyAlignment="1">
      <alignment vertical="top"/>
      <protection locked="0"/>
    </xf>
    <xf numFmtId="0" fontId="1" fillId="0" borderId="7" xfId="0" applyFont="1" applyBorder="1" applyAlignment="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pain/Library/Mobile%20Documents/com~apple~CloudDocs/&#272;i&#803;nh%20So&#795;n/Ho&#795;&#803;p%20&#273;o&#770;&#768;ng/2025/UBND%20Kie&#770;&#769;n%20Hu&#795;ng/Su&#795;&#777;a%20chu&#795;&#771;a%20he&#803;&#770;%20tho&#770;&#769;ng%20chie&#770;&#769;u%20sa&#769;ng/DU&#795;&#803;%20TOA&#769;N/7.%20Du&#795;&#803;%20toa&#769;n%20SU&#795;&#777;A%20CHU&#795;&#771;A%20HE&#803;&#770;%20THO&#770;&#769;NG%20&#272;IE&#803;&#770;N%20CHIE&#770;&#769;U%20SA&#769;NG%20TRE&#770;N%20CA&#769;C%20TUYE&#770;&#769;N%20&#272;U&#795;O&#795;&#768;NG%20NO&#770;NG%20THO&#770;N%20MO&#795;&#769;I%20KIE&#770;&#777;U%20MA&#770;&#771;U%20THUO&#803;&#770;C%20&#272;I&#803;A%20BA&#768;N%20XA&#771;%20KIE&#770;&#769;N%20HU&#795;NG.xls" TargetMode="External"/><Relationship Id="rId2" Type="http://schemas.microsoft.com/office/2019/04/relationships/externalLinkLongPath" Target="7.%20Du&#795;&#803;%20toa&#769;n%20SU&#795;&#777;A%20CHU&#795;&#771;A%20HE&#803;&#770;%20THO&#770;&#769;NG%20&#272;IE&#803;&#770;N%20CHIE&#770;&#769;U%20SA&#769;NG%20TRE&#770;N%20CA&#769;C%20TUYE&#770;&#769;N%20&#272;U&#795;O&#795;&#768;NG%20NO&#770;NG%20THO&#770;N%20MO&#795;&#769;I%20KIE&#770;&#777;U%20MA&#770;&#771;U%20THUO&#803;&#770;C%20&#272;I&#803;A%20BA&#768;N%20XA&#771;%20KIE&#770;&#769;N%20HU&#795;NG.xls?55A5DB89" TargetMode="External"/><Relationship Id="rId1" Type="http://schemas.openxmlformats.org/officeDocument/2006/relationships/externalLinkPath" Target="file:///55A5DB89/7.%20Du&#795;&#803;%20toa&#769;n%20SU&#795;&#777;A%20CHU&#795;&#771;A%20HE&#803;&#770;%20THO&#770;&#769;NG%20&#272;IE&#803;&#770;N%20CHIE&#770;&#769;U%20SA&#769;NG%20TRE&#770;N%20CA&#769;C%20TUYE&#770;&#769;N%20&#272;U&#795;O&#795;&#768;NG%20NO&#770;NG%20THO&#770;N%20MO&#795;&#769;I%20KIE&#770;&#777;U%20MA&#770;&#771;U%20THUO&#803;&#770;C%20&#272;I&#803;A%20BA&#768;N%20XA&#771;%20KIE&#770;&#769;N%20HU&#795;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Bìa"/>
      <sheetName val="Công trình"/>
      <sheetName val="Giá tháng"/>
      <sheetName val="Đầu vào"/>
      <sheetName val="Nhân công"/>
      <sheetName val="Máy"/>
      <sheetName val="HaoPhiVatTu"/>
      <sheetName val="Tổng hợp VT"/>
      <sheetName val="THVT gộp"/>
      <sheetName val="Cước VC"/>
      <sheetName val="Cước bộ"/>
      <sheetName val="Đơn giá chi tiết"/>
      <sheetName val="Giá tổng hợp"/>
      <sheetName val="THKP hạng mục"/>
      <sheetName val="TH chi phí XD"/>
      <sheetName val="TH chi phí TB"/>
      <sheetName val="HM chung"/>
      <sheetName val="Dự phòng"/>
      <sheetName val="TH kinh phí"/>
      <sheetName val="Chi tiết KL"/>
      <sheetName val="Luật XD"/>
      <sheetName val="Công trình TL"/>
      <sheetName val="Chiết tính"/>
      <sheetName val="Hệ số"/>
      <sheetName val="Đơn giá TH"/>
      <sheetName val="Dự thầu"/>
      <sheetName val="HM chung thầu"/>
      <sheetName val="Dự phòng thầu"/>
      <sheetName val="Dự toán gói thầu"/>
      <sheetName val="Phân tích VT"/>
      <sheetName val="NhiênLiệu"/>
      <sheetName val="Thẩm định"/>
      <sheetName val="TH chi phí tư vấn"/>
      <sheetName val="Thép"/>
      <sheetName val="HSXL"/>
      <sheetName val="Định mức tư vấn"/>
      <sheetName val="Quyết toán"/>
      <sheetName val="Giá tháng QT"/>
      <sheetName val="Đầu vào QT"/>
      <sheetName val="Nhân công QT"/>
      <sheetName val="Máy QT"/>
      <sheetName val="HaoPhiVatTu QT"/>
      <sheetName val="Tổng hợp VT QT"/>
      <sheetName val="Cước VC QT"/>
      <sheetName val="Cước bộ QT"/>
      <sheetName val="NhiênLiệu QT"/>
      <sheetName val="Chiết tính QT"/>
      <sheetName val="Dự thầu QT"/>
      <sheetName val="Hệ số QT"/>
      <sheetName val="HSXLQT"/>
      <sheetName val="KL hoàn thành"/>
      <sheetName val="KL phát sinh"/>
      <sheetName val="Hệ số Pn"/>
      <sheetName val="Tổng hợp QT"/>
      <sheetName val="Cấu hình"/>
    </sheetNames>
    <sheetDataSet>
      <sheetData sheetId="0"/>
      <sheetData sheetId="1">
        <row r="1">
          <cell r="AL1" t="str">
            <v>(đ)</v>
          </cell>
        </row>
        <row r="2">
          <cell r="A2" t="str">
            <v>SỬA CHỮA HỆ THỐNG ĐIỆN CHIẾU SÁNG TRÊN CÁC TUYẾN ĐƯỜNG NÔNG THÔN MỚI KIỂU MẪU THUỘC ĐỊA BÀN XÃ KIẾN HƯNG</v>
          </cell>
        </row>
        <row r="6">
          <cell r="F6" t="str">
            <v>HẠNG MỤC: THAY THẾ CỘT ĐÈN CHIẾU SÁNG HƯ HỎNG</v>
          </cell>
        </row>
      </sheetData>
      <sheetData sheetId="2"/>
      <sheetData sheetId="3"/>
      <sheetData sheetId="4"/>
      <sheetData sheetId="5"/>
      <sheetData sheetId="6"/>
      <sheetData sheetId="7"/>
      <sheetData sheetId="8"/>
      <sheetData sheetId="9"/>
      <sheetData sheetId="10"/>
      <sheetData sheetId="11"/>
      <sheetData sheetId="12"/>
      <sheetData sheetId="13"/>
      <sheetData sheetId="14">
        <row r="5">
          <cell r="C5">
            <v>369827375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9">
          <cell r="C9">
            <v>369827375</v>
          </cell>
          <cell r="F9" t="str">
            <v>GXD</v>
          </cell>
        </row>
        <row r="22">
          <cell r="C22">
            <v>385360125</v>
          </cell>
        </row>
      </sheetData>
      <sheetData sheetId="29"/>
      <sheetData sheetId="30"/>
      <sheetData sheetId="31"/>
      <sheetData sheetId="32"/>
      <sheetData sheetId="33"/>
      <sheetData sheetId="34">
        <row r="17">
          <cell r="D17">
            <v>0.08</v>
          </cell>
        </row>
      </sheetData>
      <sheetData sheetId="35">
        <row r="3">
          <cell r="E3">
            <v>2.7629999999999998E-2</v>
          </cell>
        </row>
        <row r="4">
          <cell r="E4">
            <v>7.1900000000000002E-3</v>
          </cell>
        </row>
        <row r="5">
          <cell r="E5">
            <v>1.6000000000000001E-3</v>
          </cell>
        </row>
        <row r="8">
          <cell r="E8">
            <v>1.91E-3</v>
          </cell>
        </row>
        <row r="9">
          <cell r="E9">
            <v>3.8800000000000002E-3</v>
          </cell>
        </row>
        <row r="10">
          <cell r="E10">
            <v>2.5659999999999999E-2</v>
          </cell>
        </row>
        <row r="11">
          <cell r="E11">
            <v>1.2600000000000001E-3</v>
          </cell>
        </row>
        <row r="12">
          <cell r="E12">
            <v>1.2199999999999999E-3</v>
          </cell>
        </row>
        <row r="14">
          <cell r="E14">
            <v>4.0719999999999999E-2</v>
          </cell>
        </row>
        <row r="15">
          <cell r="E15">
            <v>8.1600000000000006E-3</v>
          </cell>
        </row>
        <row r="16">
          <cell r="E16">
            <v>1.9000000000000001E-4</v>
          </cell>
        </row>
        <row r="17">
          <cell r="E17">
            <v>5.7000000000000002E-3</v>
          </cell>
        </row>
        <row r="18">
          <cell r="E18">
            <v>9.5999999999999992E-3</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07B5F-80D4-EF48-BC6A-7A95B8CD65CF}">
  <sheetPr>
    <pageSetUpPr fitToPage="1"/>
  </sheetPr>
  <dimension ref="A1:N87"/>
  <sheetViews>
    <sheetView tabSelected="1" workbookViewId="0">
      <selection activeCell="A8" sqref="A8:I8"/>
    </sheetView>
  </sheetViews>
  <sheetFormatPr baseColWidth="10" defaultColWidth="10" defaultRowHeight="15" customHeight="1" x14ac:dyDescent="0.15"/>
  <cols>
    <col min="1" max="1" width="6.75" style="6" customWidth="1"/>
    <col min="2" max="2" width="44.5" style="6" customWidth="1"/>
    <col min="3" max="3" width="10" style="6" customWidth="1"/>
    <col min="4" max="4" width="16.5" style="6" customWidth="1"/>
    <col min="5" max="5" width="6.75" style="6" customWidth="1"/>
    <col min="6" max="6" width="19.25" style="6" customWidth="1"/>
    <col min="7" max="7" width="23.5" style="6" customWidth="1"/>
    <col min="8" max="8" width="18.5" style="6" customWidth="1"/>
    <col min="9" max="9" width="23.5" style="6" customWidth="1"/>
    <col min="10" max="10" width="10" style="3" hidden="1" customWidth="1"/>
    <col min="11" max="11" width="15" style="4" customWidth="1"/>
    <col min="12" max="14" width="15" style="5" customWidth="1"/>
    <col min="15" max="256" width="10" style="6"/>
    <col min="257" max="257" width="6.75" style="6" customWidth="1"/>
    <col min="258" max="258" width="44.5" style="6" customWidth="1"/>
    <col min="259" max="259" width="10" style="6"/>
    <col min="260" max="260" width="16.5" style="6" customWidth="1"/>
    <col min="261" max="261" width="6.75" style="6" customWidth="1"/>
    <col min="262" max="262" width="19.25" style="6" customWidth="1"/>
    <col min="263" max="263" width="23.5" style="6" customWidth="1"/>
    <col min="264" max="264" width="18.5" style="6" customWidth="1"/>
    <col min="265" max="265" width="23.5" style="6" customWidth="1"/>
    <col min="266" max="266" width="0" style="6" hidden="1" customWidth="1"/>
    <col min="267" max="270" width="15" style="6" customWidth="1"/>
    <col min="271" max="512" width="10" style="6"/>
    <col min="513" max="513" width="6.75" style="6" customWidth="1"/>
    <col min="514" max="514" width="44.5" style="6" customWidth="1"/>
    <col min="515" max="515" width="10" style="6"/>
    <col min="516" max="516" width="16.5" style="6" customWidth="1"/>
    <col min="517" max="517" width="6.75" style="6" customWidth="1"/>
    <col min="518" max="518" width="19.25" style="6" customWidth="1"/>
    <col min="519" max="519" width="23.5" style="6" customWidth="1"/>
    <col min="520" max="520" width="18.5" style="6" customWidth="1"/>
    <col min="521" max="521" width="23.5" style="6" customWidth="1"/>
    <col min="522" max="522" width="0" style="6" hidden="1" customWidth="1"/>
    <col min="523" max="526" width="15" style="6" customWidth="1"/>
    <col min="527" max="768" width="10" style="6"/>
    <col min="769" max="769" width="6.75" style="6" customWidth="1"/>
    <col min="770" max="770" width="44.5" style="6" customWidth="1"/>
    <col min="771" max="771" width="10" style="6"/>
    <col min="772" max="772" width="16.5" style="6" customWidth="1"/>
    <col min="773" max="773" width="6.75" style="6" customWidth="1"/>
    <col min="774" max="774" width="19.25" style="6" customWidth="1"/>
    <col min="775" max="775" width="23.5" style="6" customWidth="1"/>
    <col min="776" max="776" width="18.5" style="6" customWidth="1"/>
    <col min="777" max="777" width="23.5" style="6" customWidth="1"/>
    <col min="778" max="778" width="0" style="6" hidden="1" customWidth="1"/>
    <col min="779" max="782" width="15" style="6" customWidth="1"/>
    <col min="783" max="1024" width="10" style="6"/>
    <col min="1025" max="1025" width="6.75" style="6" customWidth="1"/>
    <col min="1026" max="1026" width="44.5" style="6" customWidth="1"/>
    <col min="1027" max="1027" width="10" style="6"/>
    <col min="1028" max="1028" width="16.5" style="6" customWidth="1"/>
    <col min="1029" max="1029" width="6.75" style="6" customWidth="1"/>
    <col min="1030" max="1030" width="19.25" style="6" customWidth="1"/>
    <col min="1031" max="1031" width="23.5" style="6" customWidth="1"/>
    <col min="1032" max="1032" width="18.5" style="6" customWidth="1"/>
    <col min="1033" max="1033" width="23.5" style="6" customWidth="1"/>
    <col min="1034" max="1034" width="0" style="6" hidden="1" customWidth="1"/>
    <col min="1035" max="1038" width="15" style="6" customWidth="1"/>
    <col min="1039" max="1280" width="10" style="6"/>
    <col min="1281" max="1281" width="6.75" style="6" customWidth="1"/>
    <col min="1282" max="1282" width="44.5" style="6" customWidth="1"/>
    <col min="1283" max="1283" width="10" style="6"/>
    <col min="1284" max="1284" width="16.5" style="6" customWidth="1"/>
    <col min="1285" max="1285" width="6.75" style="6" customWidth="1"/>
    <col min="1286" max="1286" width="19.25" style="6" customWidth="1"/>
    <col min="1287" max="1287" width="23.5" style="6" customWidth="1"/>
    <col min="1288" max="1288" width="18.5" style="6" customWidth="1"/>
    <col min="1289" max="1289" width="23.5" style="6" customWidth="1"/>
    <col min="1290" max="1290" width="0" style="6" hidden="1" customWidth="1"/>
    <col min="1291" max="1294" width="15" style="6" customWidth="1"/>
    <col min="1295" max="1536" width="10" style="6"/>
    <col min="1537" max="1537" width="6.75" style="6" customWidth="1"/>
    <col min="1538" max="1538" width="44.5" style="6" customWidth="1"/>
    <col min="1539" max="1539" width="10" style="6"/>
    <col min="1540" max="1540" width="16.5" style="6" customWidth="1"/>
    <col min="1541" max="1541" width="6.75" style="6" customWidth="1"/>
    <col min="1542" max="1542" width="19.25" style="6" customWidth="1"/>
    <col min="1543" max="1543" width="23.5" style="6" customWidth="1"/>
    <col min="1544" max="1544" width="18.5" style="6" customWidth="1"/>
    <col min="1545" max="1545" width="23.5" style="6" customWidth="1"/>
    <col min="1546" max="1546" width="0" style="6" hidden="1" customWidth="1"/>
    <col min="1547" max="1550" width="15" style="6" customWidth="1"/>
    <col min="1551" max="1792" width="10" style="6"/>
    <col min="1793" max="1793" width="6.75" style="6" customWidth="1"/>
    <col min="1794" max="1794" width="44.5" style="6" customWidth="1"/>
    <col min="1795" max="1795" width="10" style="6"/>
    <col min="1796" max="1796" width="16.5" style="6" customWidth="1"/>
    <col min="1797" max="1797" width="6.75" style="6" customWidth="1"/>
    <col min="1798" max="1798" width="19.25" style="6" customWidth="1"/>
    <col min="1799" max="1799" width="23.5" style="6" customWidth="1"/>
    <col min="1800" max="1800" width="18.5" style="6" customWidth="1"/>
    <col min="1801" max="1801" width="23.5" style="6" customWidth="1"/>
    <col min="1802" max="1802" width="0" style="6" hidden="1" customWidth="1"/>
    <col min="1803" max="1806" width="15" style="6" customWidth="1"/>
    <col min="1807" max="2048" width="10" style="6"/>
    <col min="2049" max="2049" width="6.75" style="6" customWidth="1"/>
    <col min="2050" max="2050" width="44.5" style="6" customWidth="1"/>
    <col min="2051" max="2051" width="10" style="6"/>
    <col min="2052" max="2052" width="16.5" style="6" customWidth="1"/>
    <col min="2053" max="2053" width="6.75" style="6" customWidth="1"/>
    <col min="2054" max="2054" width="19.25" style="6" customWidth="1"/>
    <col min="2055" max="2055" width="23.5" style="6" customWidth="1"/>
    <col min="2056" max="2056" width="18.5" style="6" customWidth="1"/>
    <col min="2057" max="2057" width="23.5" style="6" customWidth="1"/>
    <col min="2058" max="2058" width="0" style="6" hidden="1" customWidth="1"/>
    <col min="2059" max="2062" width="15" style="6" customWidth="1"/>
    <col min="2063" max="2304" width="10" style="6"/>
    <col min="2305" max="2305" width="6.75" style="6" customWidth="1"/>
    <col min="2306" max="2306" width="44.5" style="6" customWidth="1"/>
    <col min="2307" max="2307" width="10" style="6"/>
    <col min="2308" max="2308" width="16.5" style="6" customWidth="1"/>
    <col min="2309" max="2309" width="6.75" style="6" customWidth="1"/>
    <col min="2310" max="2310" width="19.25" style="6" customWidth="1"/>
    <col min="2311" max="2311" width="23.5" style="6" customWidth="1"/>
    <col min="2312" max="2312" width="18.5" style="6" customWidth="1"/>
    <col min="2313" max="2313" width="23.5" style="6" customWidth="1"/>
    <col min="2314" max="2314" width="0" style="6" hidden="1" customWidth="1"/>
    <col min="2315" max="2318" width="15" style="6" customWidth="1"/>
    <col min="2319" max="2560" width="10" style="6"/>
    <col min="2561" max="2561" width="6.75" style="6" customWidth="1"/>
    <col min="2562" max="2562" width="44.5" style="6" customWidth="1"/>
    <col min="2563" max="2563" width="10" style="6"/>
    <col min="2564" max="2564" width="16.5" style="6" customWidth="1"/>
    <col min="2565" max="2565" width="6.75" style="6" customWidth="1"/>
    <col min="2566" max="2566" width="19.25" style="6" customWidth="1"/>
    <col min="2567" max="2567" width="23.5" style="6" customWidth="1"/>
    <col min="2568" max="2568" width="18.5" style="6" customWidth="1"/>
    <col min="2569" max="2569" width="23.5" style="6" customWidth="1"/>
    <col min="2570" max="2570" width="0" style="6" hidden="1" customWidth="1"/>
    <col min="2571" max="2574" width="15" style="6" customWidth="1"/>
    <col min="2575" max="2816" width="10" style="6"/>
    <col min="2817" max="2817" width="6.75" style="6" customWidth="1"/>
    <col min="2818" max="2818" width="44.5" style="6" customWidth="1"/>
    <col min="2819" max="2819" width="10" style="6"/>
    <col min="2820" max="2820" width="16.5" style="6" customWidth="1"/>
    <col min="2821" max="2821" width="6.75" style="6" customWidth="1"/>
    <col min="2822" max="2822" width="19.25" style="6" customWidth="1"/>
    <col min="2823" max="2823" width="23.5" style="6" customWidth="1"/>
    <col min="2824" max="2824" width="18.5" style="6" customWidth="1"/>
    <col min="2825" max="2825" width="23.5" style="6" customWidth="1"/>
    <col min="2826" max="2826" width="0" style="6" hidden="1" customWidth="1"/>
    <col min="2827" max="2830" width="15" style="6" customWidth="1"/>
    <col min="2831" max="3072" width="10" style="6"/>
    <col min="3073" max="3073" width="6.75" style="6" customWidth="1"/>
    <col min="3074" max="3074" width="44.5" style="6" customWidth="1"/>
    <col min="3075" max="3075" width="10" style="6"/>
    <col min="3076" max="3076" width="16.5" style="6" customWidth="1"/>
    <col min="3077" max="3077" width="6.75" style="6" customWidth="1"/>
    <col min="3078" max="3078" width="19.25" style="6" customWidth="1"/>
    <col min="3079" max="3079" width="23.5" style="6" customWidth="1"/>
    <col min="3080" max="3080" width="18.5" style="6" customWidth="1"/>
    <col min="3081" max="3081" width="23.5" style="6" customWidth="1"/>
    <col min="3082" max="3082" width="0" style="6" hidden="1" customWidth="1"/>
    <col min="3083" max="3086" width="15" style="6" customWidth="1"/>
    <col min="3087" max="3328" width="10" style="6"/>
    <col min="3329" max="3329" width="6.75" style="6" customWidth="1"/>
    <col min="3330" max="3330" width="44.5" style="6" customWidth="1"/>
    <col min="3331" max="3331" width="10" style="6"/>
    <col min="3332" max="3332" width="16.5" style="6" customWidth="1"/>
    <col min="3333" max="3333" width="6.75" style="6" customWidth="1"/>
    <col min="3334" max="3334" width="19.25" style="6" customWidth="1"/>
    <col min="3335" max="3335" width="23.5" style="6" customWidth="1"/>
    <col min="3336" max="3336" width="18.5" style="6" customWidth="1"/>
    <col min="3337" max="3337" width="23.5" style="6" customWidth="1"/>
    <col min="3338" max="3338" width="0" style="6" hidden="1" customWidth="1"/>
    <col min="3339" max="3342" width="15" style="6" customWidth="1"/>
    <col min="3343" max="3584" width="10" style="6"/>
    <col min="3585" max="3585" width="6.75" style="6" customWidth="1"/>
    <col min="3586" max="3586" width="44.5" style="6" customWidth="1"/>
    <col min="3587" max="3587" width="10" style="6"/>
    <col min="3588" max="3588" width="16.5" style="6" customWidth="1"/>
    <col min="3589" max="3589" width="6.75" style="6" customWidth="1"/>
    <col min="3590" max="3590" width="19.25" style="6" customWidth="1"/>
    <col min="3591" max="3591" width="23.5" style="6" customWidth="1"/>
    <col min="3592" max="3592" width="18.5" style="6" customWidth="1"/>
    <col min="3593" max="3593" width="23.5" style="6" customWidth="1"/>
    <col min="3594" max="3594" width="0" style="6" hidden="1" customWidth="1"/>
    <col min="3595" max="3598" width="15" style="6" customWidth="1"/>
    <col min="3599" max="3840" width="10" style="6"/>
    <col min="3841" max="3841" width="6.75" style="6" customWidth="1"/>
    <col min="3842" max="3842" width="44.5" style="6" customWidth="1"/>
    <col min="3843" max="3843" width="10" style="6"/>
    <col min="3844" max="3844" width="16.5" style="6" customWidth="1"/>
    <col min="3845" max="3845" width="6.75" style="6" customWidth="1"/>
    <col min="3846" max="3846" width="19.25" style="6" customWidth="1"/>
    <col min="3847" max="3847" width="23.5" style="6" customWidth="1"/>
    <col min="3848" max="3848" width="18.5" style="6" customWidth="1"/>
    <col min="3849" max="3849" width="23.5" style="6" customWidth="1"/>
    <col min="3850" max="3850" width="0" style="6" hidden="1" customWidth="1"/>
    <col min="3851" max="3854" width="15" style="6" customWidth="1"/>
    <col min="3855" max="4096" width="10" style="6"/>
    <col min="4097" max="4097" width="6.75" style="6" customWidth="1"/>
    <col min="4098" max="4098" width="44.5" style="6" customWidth="1"/>
    <col min="4099" max="4099" width="10" style="6"/>
    <col min="4100" max="4100" width="16.5" style="6" customWidth="1"/>
    <col min="4101" max="4101" width="6.75" style="6" customWidth="1"/>
    <col min="4102" max="4102" width="19.25" style="6" customWidth="1"/>
    <col min="4103" max="4103" width="23.5" style="6" customWidth="1"/>
    <col min="4104" max="4104" width="18.5" style="6" customWidth="1"/>
    <col min="4105" max="4105" width="23.5" style="6" customWidth="1"/>
    <col min="4106" max="4106" width="0" style="6" hidden="1" customWidth="1"/>
    <col min="4107" max="4110" width="15" style="6" customWidth="1"/>
    <col min="4111" max="4352" width="10" style="6"/>
    <col min="4353" max="4353" width="6.75" style="6" customWidth="1"/>
    <col min="4354" max="4354" width="44.5" style="6" customWidth="1"/>
    <col min="4355" max="4355" width="10" style="6"/>
    <col min="4356" max="4356" width="16.5" style="6" customWidth="1"/>
    <col min="4357" max="4357" width="6.75" style="6" customWidth="1"/>
    <col min="4358" max="4358" width="19.25" style="6" customWidth="1"/>
    <col min="4359" max="4359" width="23.5" style="6" customWidth="1"/>
    <col min="4360" max="4360" width="18.5" style="6" customWidth="1"/>
    <col min="4361" max="4361" width="23.5" style="6" customWidth="1"/>
    <col min="4362" max="4362" width="0" style="6" hidden="1" customWidth="1"/>
    <col min="4363" max="4366" width="15" style="6" customWidth="1"/>
    <col min="4367" max="4608" width="10" style="6"/>
    <col min="4609" max="4609" width="6.75" style="6" customWidth="1"/>
    <col min="4610" max="4610" width="44.5" style="6" customWidth="1"/>
    <col min="4611" max="4611" width="10" style="6"/>
    <col min="4612" max="4612" width="16.5" style="6" customWidth="1"/>
    <col min="4613" max="4613" width="6.75" style="6" customWidth="1"/>
    <col min="4614" max="4614" width="19.25" style="6" customWidth="1"/>
    <col min="4615" max="4615" width="23.5" style="6" customWidth="1"/>
    <col min="4616" max="4616" width="18.5" style="6" customWidth="1"/>
    <col min="4617" max="4617" width="23.5" style="6" customWidth="1"/>
    <col min="4618" max="4618" width="0" style="6" hidden="1" customWidth="1"/>
    <col min="4619" max="4622" width="15" style="6" customWidth="1"/>
    <col min="4623" max="4864" width="10" style="6"/>
    <col min="4865" max="4865" width="6.75" style="6" customWidth="1"/>
    <col min="4866" max="4866" width="44.5" style="6" customWidth="1"/>
    <col min="4867" max="4867" width="10" style="6"/>
    <col min="4868" max="4868" width="16.5" style="6" customWidth="1"/>
    <col min="4869" max="4869" width="6.75" style="6" customWidth="1"/>
    <col min="4870" max="4870" width="19.25" style="6" customWidth="1"/>
    <col min="4871" max="4871" width="23.5" style="6" customWidth="1"/>
    <col min="4872" max="4872" width="18.5" style="6" customWidth="1"/>
    <col min="4873" max="4873" width="23.5" style="6" customWidth="1"/>
    <col min="4874" max="4874" width="0" style="6" hidden="1" customWidth="1"/>
    <col min="4875" max="4878" width="15" style="6" customWidth="1"/>
    <col min="4879" max="5120" width="10" style="6"/>
    <col min="5121" max="5121" width="6.75" style="6" customWidth="1"/>
    <col min="5122" max="5122" width="44.5" style="6" customWidth="1"/>
    <col min="5123" max="5123" width="10" style="6"/>
    <col min="5124" max="5124" width="16.5" style="6" customWidth="1"/>
    <col min="5125" max="5125" width="6.75" style="6" customWidth="1"/>
    <col min="5126" max="5126" width="19.25" style="6" customWidth="1"/>
    <col min="5127" max="5127" width="23.5" style="6" customWidth="1"/>
    <col min="5128" max="5128" width="18.5" style="6" customWidth="1"/>
    <col min="5129" max="5129" width="23.5" style="6" customWidth="1"/>
    <col min="5130" max="5130" width="0" style="6" hidden="1" customWidth="1"/>
    <col min="5131" max="5134" width="15" style="6" customWidth="1"/>
    <col min="5135" max="5376" width="10" style="6"/>
    <col min="5377" max="5377" width="6.75" style="6" customWidth="1"/>
    <col min="5378" max="5378" width="44.5" style="6" customWidth="1"/>
    <col min="5379" max="5379" width="10" style="6"/>
    <col min="5380" max="5380" width="16.5" style="6" customWidth="1"/>
    <col min="5381" max="5381" width="6.75" style="6" customWidth="1"/>
    <col min="5382" max="5382" width="19.25" style="6" customWidth="1"/>
    <col min="5383" max="5383" width="23.5" style="6" customWidth="1"/>
    <col min="5384" max="5384" width="18.5" style="6" customWidth="1"/>
    <col min="5385" max="5385" width="23.5" style="6" customWidth="1"/>
    <col min="5386" max="5386" width="0" style="6" hidden="1" customWidth="1"/>
    <col min="5387" max="5390" width="15" style="6" customWidth="1"/>
    <col min="5391" max="5632" width="10" style="6"/>
    <col min="5633" max="5633" width="6.75" style="6" customWidth="1"/>
    <col min="5634" max="5634" width="44.5" style="6" customWidth="1"/>
    <col min="5635" max="5635" width="10" style="6"/>
    <col min="5636" max="5636" width="16.5" style="6" customWidth="1"/>
    <col min="5637" max="5637" width="6.75" style="6" customWidth="1"/>
    <col min="5638" max="5638" width="19.25" style="6" customWidth="1"/>
    <col min="5639" max="5639" width="23.5" style="6" customWidth="1"/>
    <col min="5640" max="5640" width="18.5" style="6" customWidth="1"/>
    <col min="5641" max="5641" width="23.5" style="6" customWidth="1"/>
    <col min="5642" max="5642" width="0" style="6" hidden="1" customWidth="1"/>
    <col min="5643" max="5646" width="15" style="6" customWidth="1"/>
    <col min="5647" max="5888" width="10" style="6"/>
    <col min="5889" max="5889" width="6.75" style="6" customWidth="1"/>
    <col min="5890" max="5890" width="44.5" style="6" customWidth="1"/>
    <col min="5891" max="5891" width="10" style="6"/>
    <col min="5892" max="5892" width="16.5" style="6" customWidth="1"/>
    <col min="5893" max="5893" width="6.75" style="6" customWidth="1"/>
    <col min="5894" max="5894" width="19.25" style="6" customWidth="1"/>
    <col min="5895" max="5895" width="23.5" style="6" customWidth="1"/>
    <col min="5896" max="5896" width="18.5" style="6" customWidth="1"/>
    <col min="5897" max="5897" width="23.5" style="6" customWidth="1"/>
    <col min="5898" max="5898" width="0" style="6" hidden="1" customWidth="1"/>
    <col min="5899" max="5902" width="15" style="6" customWidth="1"/>
    <col min="5903" max="6144" width="10" style="6"/>
    <col min="6145" max="6145" width="6.75" style="6" customWidth="1"/>
    <col min="6146" max="6146" width="44.5" style="6" customWidth="1"/>
    <col min="6147" max="6147" width="10" style="6"/>
    <col min="6148" max="6148" width="16.5" style="6" customWidth="1"/>
    <col min="6149" max="6149" width="6.75" style="6" customWidth="1"/>
    <col min="6150" max="6150" width="19.25" style="6" customWidth="1"/>
    <col min="6151" max="6151" width="23.5" style="6" customWidth="1"/>
    <col min="6152" max="6152" width="18.5" style="6" customWidth="1"/>
    <col min="6153" max="6153" width="23.5" style="6" customWidth="1"/>
    <col min="6154" max="6154" width="0" style="6" hidden="1" customWidth="1"/>
    <col min="6155" max="6158" width="15" style="6" customWidth="1"/>
    <col min="6159" max="6400" width="10" style="6"/>
    <col min="6401" max="6401" width="6.75" style="6" customWidth="1"/>
    <col min="6402" max="6402" width="44.5" style="6" customWidth="1"/>
    <col min="6403" max="6403" width="10" style="6"/>
    <col min="6404" max="6404" width="16.5" style="6" customWidth="1"/>
    <col min="6405" max="6405" width="6.75" style="6" customWidth="1"/>
    <col min="6406" max="6406" width="19.25" style="6" customWidth="1"/>
    <col min="6407" max="6407" width="23.5" style="6" customWidth="1"/>
    <col min="6408" max="6408" width="18.5" style="6" customWidth="1"/>
    <col min="6409" max="6409" width="23.5" style="6" customWidth="1"/>
    <col min="6410" max="6410" width="0" style="6" hidden="1" customWidth="1"/>
    <col min="6411" max="6414" width="15" style="6" customWidth="1"/>
    <col min="6415" max="6656" width="10" style="6"/>
    <col min="6657" max="6657" width="6.75" style="6" customWidth="1"/>
    <col min="6658" max="6658" width="44.5" style="6" customWidth="1"/>
    <col min="6659" max="6659" width="10" style="6"/>
    <col min="6660" max="6660" width="16.5" style="6" customWidth="1"/>
    <col min="6661" max="6661" width="6.75" style="6" customWidth="1"/>
    <col min="6662" max="6662" width="19.25" style="6" customWidth="1"/>
    <col min="6663" max="6663" width="23.5" style="6" customWidth="1"/>
    <col min="6664" max="6664" width="18.5" style="6" customWidth="1"/>
    <col min="6665" max="6665" width="23.5" style="6" customWidth="1"/>
    <col min="6666" max="6666" width="0" style="6" hidden="1" customWidth="1"/>
    <col min="6667" max="6670" width="15" style="6" customWidth="1"/>
    <col min="6671" max="6912" width="10" style="6"/>
    <col min="6913" max="6913" width="6.75" style="6" customWidth="1"/>
    <col min="6914" max="6914" width="44.5" style="6" customWidth="1"/>
    <col min="6915" max="6915" width="10" style="6"/>
    <col min="6916" max="6916" width="16.5" style="6" customWidth="1"/>
    <col min="6917" max="6917" width="6.75" style="6" customWidth="1"/>
    <col min="6918" max="6918" width="19.25" style="6" customWidth="1"/>
    <col min="6919" max="6919" width="23.5" style="6" customWidth="1"/>
    <col min="6920" max="6920" width="18.5" style="6" customWidth="1"/>
    <col min="6921" max="6921" width="23.5" style="6" customWidth="1"/>
    <col min="6922" max="6922" width="0" style="6" hidden="1" customWidth="1"/>
    <col min="6923" max="6926" width="15" style="6" customWidth="1"/>
    <col min="6927" max="7168" width="10" style="6"/>
    <col min="7169" max="7169" width="6.75" style="6" customWidth="1"/>
    <col min="7170" max="7170" width="44.5" style="6" customWidth="1"/>
    <col min="7171" max="7171" width="10" style="6"/>
    <col min="7172" max="7172" width="16.5" style="6" customWidth="1"/>
    <col min="7173" max="7173" width="6.75" style="6" customWidth="1"/>
    <col min="7174" max="7174" width="19.25" style="6" customWidth="1"/>
    <col min="7175" max="7175" width="23.5" style="6" customWidth="1"/>
    <col min="7176" max="7176" width="18.5" style="6" customWidth="1"/>
    <col min="7177" max="7177" width="23.5" style="6" customWidth="1"/>
    <col min="7178" max="7178" width="0" style="6" hidden="1" customWidth="1"/>
    <col min="7179" max="7182" width="15" style="6" customWidth="1"/>
    <col min="7183" max="7424" width="10" style="6"/>
    <col min="7425" max="7425" width="6.75" style="6" customWidth="1"/>
    <col min="7426" max="7426" width="44.5" style="6" customWidth="1"/>
    <col min="7427" max="7427" width="10" style="6"/>
    <col min="7428" max="7428" width="16.5" style="6" customWidth="1"/>
    <col min="7429" max="7429" width="6.75" style="6" customWidth="1"/>
    <col min="7430" max="7430" width="19.25" style="6" customWidth="1"/>
    <col min="7431" max="7431" width="23.5" style="6" customWidth="1"/>
    <col min="7432" max="7432" width="18.5" style="6" customWidth="1"/>
    <col min="7433" max="7433" width="23.5" style="6" customWidth="1"/>
    <col min="7434" max="7434" width="0" style="6" hidden="1" customWidth="1"/>
    <col min="7435" max="7438" width="15" style="6" customWidth="1"/>
    <col min="7439" max="7680" width="10" style="6"/>
    <col min="7681" max="7681" width="6.75" style="6" customWidth="1"/>
    <col min="7682" max="7682" width="44.5" style="6" customWidth="1"/>
    <col min="7683" max="7683" width="10" style="6"/>
    <col min="7684" max="7684" width="16.5" style="6" customWidth="1"/>
    <col min="7685" max="7685" width="6.75" style="6" customWidth="1"/>
    <col min="7686" max="7686" width="19.25" style="6" customWidth="1"/>
    <col min="7687" max="7687" width="23.5" style="6" customWidth="1"/>
    <col min="7688" max="7688" width="18.5" style="6" customWidth="1"/>
    <col min="7689" max="7689" width="23.5" style="6" customWidth="1"/>
    <col min="7690" max="7690" width="0" style="6" hidden="1" customWidth="1"/>
    <col min="7691" max="7694" width="15" style="6" customWidth="1"/>
    <col min="7695" max="7936" width="10" style="6"/>
    <col min="7937" max="7937" width="6.75" style="6" customWidth="1"/>
    <col min="7938" max="7938" width="44.5" style="6" customWidth="1"/>
    <col min="7939" max="7939" width="10" style="6"/>
    <col min="7940" max="7940" width="16.5" style="6" customWidth="1"/>
    <col min="7941" max="7941" width="6.75" style="6" customWidth="1"/>
    <col min="7942" max="7942" width="19.25" style="6" customWidth="1"/>
    <col min="7943" max="7943" width="23.5" style="6" customWidth="1"/>
    <col min="7944" max="7944" width="18.5" style="6" customWidth="1"/>
    <col min="7945" max="7945" width="23.5" style="6" customWidth="1"/>
    <col min="7946" max="7946" width="0" style="6" hidden="1" customWidth="1"/>
    <col min="7947" max="7950" width="15" style="6" customWidth="1"/>
    <col min="7951" max="8192" width="10" style="6"/>
    <col min="8193" max="8193" width="6.75" style="6" customWidth="1"/>
    <col min="8194" max="8194" width="44.5" style="6" customWidth="1"/>
    <col min="8195" max="8195" width="10" style="6"/>
    <col min="8196" max="8196" width="16.5" style="6" customWidth="1"/>
    <col min="8197" max="8197" width="6.75" style="6" customWidth="1"/>
    <col min="8198" max="8198" width="19.25" style="6" customWidth="1"/>
    <col min="8199" max="8199" width="23.5" style="6" customWidth="1"/>
    <col min="8200" max="8200" width="18.5" style="6" customWidth="1"/>
    <col min="8201" max="8201" width="23.5" style="6" customWidth="1"/>
    <col min="8202" max="8202" width="0" style="6" hidden="1" customWidth="1"/>
    <col min="8203" max="8206" width="15" style="6" customWidth="1"/>
    <col min="8207" max="8448" width="10" style="6"/>
    <col min="8449" max="8449" width="6.75" style="6" customWidth="1"/>
    <col min="8450" max="8450" width="44.5" style="6" customWidth="1"/>
    <col min="8451" max="8451" width="10" style="6"/>
    <col min="8452" max="8452" width="16.5" style="6" customWidth="1"/>
    <col min="8453" max="8453" width="6.75" style="6" customWidth="1"/>
    <col min="8454" max="8454" width="19.25" style="6" customWidth="1"/>
    <col min="8455" max="8455" width="23.5" style="6" customWidth="1"/>
    <col min="8456" max="8456" width="18.5" style="6" customWidth="1"/>
    <col min="8457" max="8457" width="23.5" style="6" customWidth="1"/>
    <col min="8458" max="8458" width="0" style="6" hidden="1" customWidth="1"/>
    <col min="8459" max="8462" width="15" style="6" customWidth="1"/>
    <col min="8463" max="8704" width="10" style="6"/>
    <col min="8705" max="8705" width="6.75" style="6" customWidth="1"/>
    <col min="8706" max="8706" width="44.5" style="6" customWidth="1"/>
    <col min="8707" max="8707" width="10" style="6"/>
    <col min="8708" max="8708" width="16.5" style="6" customWidth="1"/>
    <col min="8709" max="8709" width="6.75" style="6" customWidth="1"/>
    <col min="8710" max="8710" width="19.25" style="6" customWidth="1"/>
    <col min="8711" max="8711" width="23.5" style="6" customWidth="1"/>
    <col min="8712" max="8712" width="18.5" style="6" customWidth="1"/>
    <col min="8713" max="8713" width="23.5" style="6" customWidth="1"/>
    <col min="8714" max="8714" width="0" style="6" hidden="1" customWidth="1"/>
    <col min="8715" max="8718" width="15" style="6" customWidth="1"/>
    <col min="8719" max="8960" width="10" style="6"/>
    <col min="8961" max="8961" width="6.75" style="6" customWidth="1"/>
    <col min="8962" max="8962" width="44.5" style="6" customWidth="1"/>
    <col min="8963" max="8963" width="10" style="6"/>
    <col min="8964" max="8964" width="16.5" style="6" customWidth="1"/>
    <col min="8965" max="8965" width="6.75" style="6" customWidth="1"/>
    <col min="8966" max="8966" width="19.25" style="6" customWidth="1"/>
    <col min="8967" max="8967" width="23.5" style="6" customWidth="1"/>
    <col min="8968" max="8968" width="18.5" style="6" customWidth="1"/>
    <col min="8969" max="8969" width="23.5" style="6" customWidth="1"/>
    <col min="8970" max="8970" width="0" style="6" hidden="1" customWidth="1"/>
    <col min="8971" max="8974" width="15" style="6" customWidth="1"/>
    <col min="8975" max="9216" width="10" style="6"/>
    <col min="9217" max="9217" width="6.75" style="6" customWidth="1"/>
    <col min="9218" max="9218" width="44.5" style="6" customWidth="1"/>
    <col min="9219" max="9219" width="10" style="6"/>
    <col min="9220" max="9220" width="16.5" style="6" customWidth="1"/>
    <col min="9221" max="9221" width="6.75" style="6" customWidth="1"/>
    <col min="9222" max="9222" width="19.25" style="6" customWidth="1"/>
    <col min="9223" max="9223" width="23.5" style="6" customWidth="1"/>
    <col min="9224" max="9224" width="18.5" style="6" customWidth="1"/>
    <col min="9225" max="9225" width="23.5" style="6" customWidth="1"/>
    <col min="9226" max="9226" width="0" style="6" hidden="1" customWidth="1"/>
    <col min="9227" max="9230" width="15" style="6" customWidth="1"/>
    <col min="9231" max="9472" width="10" style="6"/>
    <col min="9473" max="9473" width="6.75" style="6" customWidth="1"/>
    <col min="9474" max="9474" width="44.5" style="6" customWidth="1"/>
    <col min="9475" max="9475" width="10" style="6"/>
    <col min="9476" max="9476" width="16.5" style="6" customWidth="1"/>
    <col min="9477" max="9477" width="6.75" style="6" customWidth="1"/>
    <col min="9478" max="9478" width="19.25" style="6" customWidth="1"/>
    <col min="9479" max="9479" width="23.5" style="6" customWidth="1"/>
    <col min="9480" max="9480" width="18.5" style="6" customWidth="1"/>
    <col min="9481" max="9481" width="23.5" style="6" customWidth="1"/>
    <col min="9482" max="9482" width="0" style="6" hidden="1" customWidth="1"/>
    <col min="9483" max="9486" width="15" style="6" customWidth="1"/>
    <col min="9487" max="9728" width="10" style="6"/>
    <col min="9729" max="9729" width="6.75" style="6" customWidth="1"/>
    <col min="9730" max="9730" width="44.5" style="6" customWidth="1"/>
    <col min="9731" max="9731" width="10" style="6"/>
    <col min="9732" max="9732" width="16.5" style="6" customWidth="1"/>
    <col min="9733" max="9733" width="6.75" style="6" customWidth="1"/>
    <col min="9734" max="9734" width="19.25" style="6" customWidth="1"/>
    <col min="9735" max="9735" width="23.5" style="6" customWidth="1"/>
    <col min="9736" max="9736" width="18.5" style="6" customWidth="1"/>
    <col min="9737" max="9737" width="23.5" style="6" customWidth="1"/>
    <col min="9738" max="9738" width="0" style="6" hidden="1" customWidth="1"/>
    <col min="9739" max="9742" width="15" style="6" customWidth="1"/>
    <col min="9743" max="9984" width="10" style="6"/>
    <col min="9985" max="9985" width="6.75" style="6" customWidth="1"/>
    <col min="9986" max="9986" width="44.5" style="6" customWidth="1"/>
    <col min="9987" max="9987" width="10" style="6"/>
    <col min="9988" max="9988" width="16.5" style="6" customWidth="1"/>
    <col min="9989" max="9989" width="6.75" style="6" customWidth="1"/>
    <col min="9990" max="9990" width="19.25" style="6" customWidth="1"/>
    <col min="9991" max="9991" width="23.5" style="6" customWidth="1"/>
    <col min="9992" max="9992" width="18.5" style="6" customWidth="1"/>
    <col min="9993" max="9993" width="23.5" style="6" customWidth="1"/>
    <col min="9994" max="9994" width="0" style="6" hidden="1" customWidth="1"/>
    <col min="9995" max="9998" width="15" style="6" customWidth="1"/>
    <col min="9999" max="10240" width="10" style="6"/>
    <col min="10241" max="10241" width="6.75" style="6" customWidth="1"/>
    <col min="10242" max="10242" width="44.5" style="6" customWidth="1"/>
    <col min="10243" max="10243" width="10" style="6"/>
    <col min="10244" max="10244" width="16.5" style="6" customWidth="1"/>
    <col min="10245" max="10245" width="6.75" style="6" customWidth="1"/>
    <col min="10246" max="10246" width="19.25" style="6" customWidth="1"/>
    <col min="10247" max="10247" width="23.5" style="6" customWidth="1"/>
    <col min="10248" max="10248" width="18.5" style="6" customWidth="1"/>
    <col min="10249" max="10249" width="23.5" style="6" customWidth="1"/>
    <col min="10250" max="10250" width="0" style="6" hidden="1" customWidth="1"/>
    <col min="10251" max="10254" width="15" style="6" customWidth="1"/>
    <col min="10255" max="10496" width="10" style="6"/>
    <col min="10497" max="10497" width="6.75" style="6" customWidth="1"/>
    <col min="10498" max="10498" width="44.5" style="6" customWidth="1"/>
    <col min="10499" max="10499" width="10" style="6"/>
    <col min="10500" max="10500" width="16.5" style="6" customWidth="1"/>
    <col min="10501" max="10501" width="6.75" style="6" customWidth="1"/>
    <col min="10502" max="10502" width="19.25" style="6" customWidth="1"/>
    <col min="10503" max="10503" width="23.5" style="6" customWidth="1"/>
    <col min="10504" max="10504" width="18.5" style="6" customWidth="1"/>
    <col min="10505" max="10505" width="23.5" style="6" customWidth="1"/>
    <col min="10506" max="10506" width="0" style="6" hidden="1" customWidth="1"/>
    <col min="10507" max="10510" width="15" style="6" customWidth="1"/>
    <col min="10511" max="10752" width="10" style="6"/>
    <col min="10753" max="10753" width="6.75" style="6" customWidth="1"/>
    <col min="10754" max="10754" width="44.5" style="6" customWidth="1"/>
    <col min="10755" max="10755" width="10" style="6"/>
    <col min="10756" max="10756" width="16.5" style="6" customWidth="1"/>
    <col min="10757" max="10757" width="6.75" style="6" customWidth="1"/>
    <col min="10758" max="10758" width="19.25" style="6" customWidth="1"/>
    <col min="10759" max="10759" width="23.5" style="6" customWidth="1"/>
    <col min="10760" max="10760" width="18.5" style="6" customWidth="1"/>
    <col min="10761" max="10761" width="23.5" style="6" customWidth="1"/>
    <col min="10762" max="10762" width="0" style="6" hidden="1" customWidth="1"/>
    <col min="10763" max="10766" width="15" style="6" customWidth="1"/>
    <col min="10767" max="11008" width="10" style="6"/>
    <col min="11009" max="11009" width="6.75" style="6" customWidth="1"/>
    <col min="11010" max="11010" width="44.5" style="6" customWidth="1"/>
    <col min="11011" max="11011" width="10" style="6"/>
    <col min="11012" max="11012" width="16.5" style="6" customWidth="1"/>
    <col min="11013" max="11013" width="6.75" style="6" customWidth="1"/>
    <col min="11014" max="11014" width="19.25" style="6" customWidth="1"/>
    <col min="11015" max="11015" width="23.5" style="6" customWidth="1"/>
    <col min="11016" max="11016" width="18.5" style="6" customWidth="1"/>
    <col min="11017" max="11017" width="23.5" style="6" customWidth="1"/>
    <col min="11018" max="11018" width="0" style="6" hidden="1" customWidth="1"/>
    <col min="11019" max="11022" width="15" style="6" customWidth="1"/>
    <col min="11023" max="11264" width="10" style="6"/>
    <col min="11265" max="11265" width="6.75" style="6" customWidth="1"/>
    <col min="11266" max="11266" width="44.5" style="6" customWidth="1"/>
    <col min="11267" max="11267" width="10" style="6"/>
    <col min="11268" max="11268" width="16.5" style="6" customWidth="1"/>
    <col min="11269" max="11269" width="6.75" style="6" customWidth="1"/>
    <col min="11270" max="11270" width="19.25" style="6" customWidth="1"/>
    <col min="11271" max="11271" width="23.5" style="6" customWidth="1"/>
    <col min="11272" max="11272" width="18.5" style="6" customWidth="1"/>
    <col min="11273" max="11273" width="23.5" style="6" customWidth="1"/>
    <col min="11274" max="11274" width="0" style="6" hidden="1" customWidth="1"/>
    <col min="11275" max="11278" width="15" style="6" customWidth="1"/>
    <col min="11279" max="11520" width="10" style="6"/>
    <col min="11521" max="11521" width="6.75" style="6" customWidth="1"/>
    <col min="11522" max="11522" width="44.5" style="6" customWidth="1"/>
    <col min="11523" max="11523" width="10" style="6"/>
    <col min="11524" max="11524" width="16.5" style="6" customWidth="1"/>
    <col min="11525" max="11525" width="6.75" style="6" customWidth="1"/>
    <col min="11526" max="11526" width="19.25" style="6" customWidth="1"/>
    <col min="11527" max="11527" width="23.5" style="6" customWidth="1"/>
    <col min="11528" max="11528" width="18.5" style="6" customWidth="1"/>
    <col min="11529" max="11529" width="23.5" style="6" customWidth="1"/>
    <col min="11530" max="11530" width="0" style="6" hidden="1" customWidth="1"/>
    <col min="11531" max="11534" width="15" style="6" customWidth="1"/>
    <col min="11535" max="11776" width="10" style="6"/>
    <col min="11777" max="11777" width="6.75" style="6" customWidth="1"/>
    <col min="11778" max="11778" width="44.5" style="6" customWidth="1"/>
    <col min="11779" max="11779" width="10" style="6"/>
    <col min="11780" max="11780" width="16.5" style="6" customWidth="1"/>
    <col min="11781" max="11781" width="6.75" style="6" customWidth="1"/>
    <col min="11782" max="11782" width="19.25" style="6" customWidth="1"/>
    <col min="11783" max="11783" width="23.5" style="6" customWidth="1"/>
    <col min="11784" max="11784" width="18.5" style="6" customWidth="1"/>
    <col min="11785" max="11785" width="23.5" style="6" customWidth="1"/>
    <col min="11786" max="11786" width="0" style="6" hidden="1" customWidth="1"/>
    <col min="11787" max="11790" width="15" style="6" customWidth="1"/>
    <col min="11791" max="12032" width="10" style="6"/>
    <col min="12033" max="12033" width="6.75" style="6" customWidth="1"/>
    <col min="12034" max="12034" width="44.5" style="6" customWidth="1"/>
    <col min="12035" max="12035" width="10" style="6"/>
    <col min="12036" max="12036" width="16.5" style="6" customWidth="1"/>
    <col min="12037" max="12037" width="6.75" style="6" customWidth="1"/>
    <col min="12038" max="12038" width="19.25" style="6" customWidth="1"/>
    <col min="12039" max="12039" width="23.5" style="6" customWidth="1"/>
    <col min="12040" max="12040" width="18.5" style="6" customWidth="1"/>
    <col min="12041" max="12041" width="23.5" style="6" customWidth="1"/>
    <col min="12042" max="12042" width="0" style="6" hidden="1" customWidth="1"/>
    <col min="12043" max="12046" width="15" style="6" customWidth="1"/>
    <col min="12047" max="12288" width="10" style="6"/>
    <col min="12289" max="12289" width="6.75" style="6" customWidth="1"/>
    <col min="12290" max="12290" width="44.5" style="6" customWidth="1"/>
    <col min="12291" max="12291" width="10" style="6"/>
    <col min="12292" max="12292" width="16.5" style="6" customWidth="1"/>
    <col min="12293" max="12293" width="6.75" style="6" customWidth="1"/>
    <col min="12294" max="12294" width="19.25" style="6" customWidth="1"/>
    <col min="12295" max="12295" width="23.5" style="6" customWidth="1"/>
    <col min="12296" max="12296" width="18.5" style="6" customWidth="1"/>
    <col min="12297" max="12297" width="23.5" style="6" customWidth="1"/>
    <col min="12298" max="12298" width="0" style="6" hidden="1" customWidth="1"/>
    <col min="12299" max="12302" width="15" style="6" customWidth="1"/>
    <col min="12303" max="12544" width="10" style="6"/>
    <col min="12545" max="12545" width="6.75" style="6" customWidth="1"/>
    <col min="12546" max="12546" width="44.5" style="6" customWidth="1"/>
    <col min="12547" max="12547" width="10" style="6"/>
    <col min="12548" max="12548" width="16.5" style="6" customWidth="1"/>
    <col min="12549" max="12549" width="6.75" style="6" customWidth="1"/>
    <col min="12550" max="12550" width="19.25" style="6" customWidth="1"/>
    <col min="12551" max="12551" width="23.5" style="6" customWidth="1"/>
    <col min="12552" max="12552" width="18.5" style="6" customWidth="1"/>
    <col min="12553" max="12553" width="23.5" style="6" customWidth="1"/>
    <col min="12554" max="12554" width="0" style="6" hidden="1" customWidth="1"/>
    <col min="12555" max="12558" width="15" style="6" customWidth="1"/>
    <col min="12559" max="12800" width="10" style="6"/>
    <col min="12801" max="12801" width="6.75" style="6" customWidth="1"/>
    <col min="12802" max="12802" width="44.5" style="6" customWidth="1"/>
    <col min="12803" max="12803" width="10" style="6"/>
    <col min="12804" max="12804" width="16.5" style="6" customWidth="1"/>
    <col min="12805" max="12805" width="6.75" style="6" customWidth="1"/>
    <col min="12806" max="12806" width="19.25" style="6" customWidth="1"/>
    <col min="12807" max="12807" width="23.5" style="6" customWidth="1"/>
    <col min="12808" max="12808" width="18.5" style="6" customWidth="1"/>
    <col min="12809" max="12809" width="23.5" style="6" customWidth="1"/>
    <col min="12810" max="12810" width="0" style="6" hidden="1" customWidth="1"/>
    <col min="12811" max="12814" width="15" style="6" customWidth="1"/>
    <col min="12815" max="13056" width="10" style="6"/>
    <col min="13057" max="13057" width="6.75" style="6" customWidth="1"/>
    <col min="13058" max="13058" width="44.5" style="6" customWidth="1"/>
    <col min="13059" max="13059" width="10" style="6"/>
    <col min="13060" max="13060" width="16.5" style="6" customWidth="1"/>
    <col min="13061" max="13061" width="6.75" style="6" customWidth="1"/>
    <col min="13062" max="13062" width="19.25" style="6" customWidth="1"/>
    <col min="13063" max="13063" width="23.5" style="6" customWidth="1"/>
    <col min="13064" max="13064" width="18.5" style="6" customWidth="1"/>
    <col min="13065" max="13065" width="23.5" style="6" customWidth="1"/>
    <col min="13066" max="13066" width="0" style="6" hidden="1" customWidth="1"/>
    <col min="13067" max="13070" width="15" style="6" customWidth="1"/>
    <col min="13071" max="13312" width="10" style="6"/>
    <col min="13313" max="13313" width="6.75" style="6" customWidth="1"/>
    <col min="13314" max="13314" width="44.5" style="6" customWidth="1"/>
    <col min="13315" max="13315" width="10" style="6"/>
    <col min="13316" max="13316" width="16.5" style="6" customWidth="1"/>
    <col min="13317" max="13317" width="6.75" style="6" customWidth="1"/>
    <col min="13318" max="13318" width="19.25" style="6" customWidth="1"/>
    <col min="13319" max="13319" width="23.5" style="6" customWidth="1"/>
    <col min="13320" max="13320" width="18.5" style="6" customWidth="1"/>
    <col min="13321" max="13321" width="23.5" style="6" customWidth="1"/>
    <col min="13322" max="13322" width="0" style="6" hidden="1" customWidth="1"/>
    <col min="13323" max="13326" width="15" style="6" customWidth="1"/>
    <col min="13327" max="13568" width="10" style="6"/>
    <col min="13569" max="13569" width="6.75" style="6" customWidth="1"/>
    <col min="13570" max="13570" width="44.5" style="6" customWidth="1"/>
    <col min="13571" max="13571" width="10" style="6"/>
    <col min="13572" max="13572" width="16.5" style="6" customWidth="1"/>
    <col min="13573" max="13573" width="6.75" style="6" customWidth="1"/>
    <col min="13574" max="13574" width="19.25" style="6" customWidth="1"/>
    <col min="13575" max="13575" width="23.5" style="6" customWidth="1"/>
    <col min="13576" max="13576" width="18.5" style="6" customWidth="1"/>
    <col min="13577" max="13577" width="23.5" style="6" customWidth="1"/>
    <col min="13578" max="13578" width="0" style="6" hidden="1" customWidth="1"/>
    <col min="13579" max="13582" width="15" style="6" customWidth="1"/>
    <col min="13583" max="13824" width="10" style="6"/>
    <col min="13825" max="13825" width="6.75" style="6" customWidth="1"/>
    <col min="13826" max="13826" width="44.5" style="6" customWidth="1"/>
    <col min="13827" max="13827" width="10" style="6"/>
    <col min="13828" max="13828" width="16.5" style="6" customWidth="1"/>
    <col min="13829" max="13829" width="6.75" style="6" customWidth="1"/>
    <col min="13830" max="13830" width="19.25" style="6" customWidth="1"/>
    <col min="13831" max="13831" width="23.5" style="6" customWidth="1"/>
    <col min="13832" max="13832" width="18.5" style="6" customWidth="1"/>
    <col min="13833" max="13833" width="23.5" style="6" customWidth="1"/>
    <col min="13834" max="13834" width="0" style="6" hidden="1" customWidth="1"/>
    <col min="13835" max="13838" width="15" style="6" customWidth="1"/>
    <col min="13839" max="14080" width="10" style="6"/>
    <col min="14081" max="14081" width="6.75" style="6" customWidth="1"/>
    <col min="14082" max="14082" width="44.5" style="6" customWidth="1"/>
    <col min="14083" max="14083" width="10" style="6"/>
    <col min="14084" max="14084" width="16.5" style="6" customWidth="1"/>
    <col min="14085" max="14085" width="6.75" style="6" customWidth="1"/>
    <col min="14086" max="14086" width="19.25" style="6" customWidth="1"/>
    <col min="14087" max="14087" width="23.5" style="6" customWidth="1"/>
    <col min="14088" max="14088" width="18.5" style="6" customWidth="1"/>
    <col min="14089" max="14089" width="23.5" style="6" customWidth="1"/>
    <col min="14090" max="14090" width="0" style="6" hidden="1" customWidth="1"/>
    <col min="14091" max="14094" width="15" style="6" customWidth="1"/>
    <col min="14095" max="14336" width="10" style="6"/>
    <col min="14337" max="14337" width="6.75" style="6" customWidth="1"/>
    <col min="14338" max="14338" width="44.5" style="6" customWidth="1"/>
    <col min="14339" max="14339" width="10" style="6"/>
    <col min="14340" max="14340" width="16.5" style="6" customWidth="1"/>
    <col min="14341" max="14341" width="6.75" style="6" customWidth="1"/>
    <col min="14342" max="14342" width="19.25" style="6" customWidth="1"/>
    <col min="14343" max="14343" width="23.5" style="6" customWidth="1"/>
    <col min="14344" max="14344" width="18.5" style="6" customWidth="1"/>
    <col min="14345" max="14345" width="23.5" style="6" customWidth="1"/>
    <col min="14346" max="14346" width="0" style="6" hidden="1" customWidth="1"/>
    <col min="14347" max="14350" width="15" style="6" customWidth="1"/>
    <col min="14351" max="14592" width="10" style="6"/>
    <col min="14593" max="14593" width="6.75" style="6" customWidth="1"/>
    <col min="14594" max="14594" width="44.5" style="6" customWidth="1"/>
    <col min="14595" max="14595" width="10" style="6"/>
    <col min="14596" max="14596" width="16.5" style="6" customWidth="1"/>
    <col min="14597" max="14597" width="6.75" style="6" customWidth="1"/>
    <col min="14598" max="14598" width="19.25" style="6" customWidth="1"/>
    <col min="14599" max="14599" width="23.5" style="6" customWidth="1"/>
    <col min="14600" max="14600" width="18.5" style="6" customWidth="1"/>
    <col min="14601" max="14601" width="23.5" style="6" customWidth="1"/>
    <col min="14602" max="14602" width="0" style="6" hidden="1" customWidth="1"/>
    <col min="14603" max="14606" width="15" style="6" customWidth="1"/>
    <col min="14607" max="14848" width="10" style="6"/>
    <col min="14849" max="14849" width="6.75" style="6" customWidth="1"/>
    <col min="14850" max="14850" width="44.5" style="6" customWidth="1"/>
    <col min="14851" max="14851" width="10" style="6"/>
    <col min="14852" max="14852" width="16.5" style="6" customWidth="1"/>
    <col min="14853" max="14853" width="6.75" style="6" customWidth="1"/>
    <col min="14854" max="14854" width="19.25" style="6" customWidth="1"/>
    <col min="14855" max="14855" width="23.5" style="6" customWidth="1"/>
    <col min="14856" max="14856" width="18.5" style="6" customWidth="1"/>
    <col min="14857" max="14857" width="23.5" style="6" customWidth="1"/>
    <col min="14858" max="14858" width="0" style="6" hidden="1" customWidth="1"/>
    <col min="14859" max="14862" width="15" style="6" customWidth="1"/>
    <col min="14863" max="15104" width="10" style="6"/>
    <col min="15105" max="15105" width="6.75" style="6" customWidth="1"/>
    <col min="15106" max="15106" width="44.5" style="6" customWidth="1"/>
    <col min="15107" max="15107" width="10" style="6"/>
    <col min="15108" max="15108" width="16.5" style="6" customWidth="1"/>
    <col min="15109" max="15109" width="6.75" style="6" customWidth="1"/>
    <col min="15110" max="15110" width="19.25" style="6" customWidth="1"/>
    <col min="15111" max="15111" width="23.5" style="6" customWidth="1"/>
    <col min="15112" max="15112" width="18.5" style="6" customWidth="1"/>
    <col min="15113" max="15113" width="23.5" style="6" customWidth="1"/>
    <col min="15114" max="15114" width="0" style="6" hidden="1" customWidth="1"/>
    <col min="15115" max="15118" width="15" style="6" customWidth="1"/>
    <col min="15119" max="15360" width="10" style="6"/>
    <col min="15361" max="15361" width="6.75" style="6" customWidth="1"/>
    <col min="15362" max="15362" width="44.5" style="6" customWidth="1"/>
    <col min="15363" max="15363" width="10" style="6"/>
    <col min="15364" max="15364" width="16.5" style="6" customWidth="1"/>
    <col min="15365" max="15365" width="6.75" style="6" customWidth="1"/>
    <col min="15366" max="15366" width="19.25" style="6" customWidth="1"/>
    <col min="15367" max="15367" width="23.5" style="6" customWidth="1"/>
    <col min="15368" max="15368" width="18.5" style="6" customWidth="1"/>
    <col min="15369" max="15369" width="23.5" style="6" customWidth="1"/>
    <col min="15370" max="15370" width="0" style="6" hidden="1" customWidth="1"/>
    <col min="15371" max="15374" width="15" style="6" customWidth="1"/>
    <col min="15375" max="15616" width="10" style="6"/>
    <col min="15617" max="15617" width="6.75" style="6" customWidth="1"/>
    <col min="15618" max="15618" width="44.5" style="6" customWidth="1"/>
    <col min="15619" max="15619" width="10" style="6"/>
    <col min="15620" max="15620" width="16.5" style="6" customWidth="1"/>
    <col min="15621" max="15621" width="6.75" style="6" customWidth="1"/>
    <col min="15622" max="15622" width="19.25" style="6" customWidth="1"/>
    <col min="15623" max="15623" width="23.5" style="6" customWidth="1"/>
    <col min="15624" max="15624" width="18.5" style="6" customWidth="1"/>
    <col min="15625" max="15625" width="23.5" style="6" customWidth="1"/>
    <col min="15626" max="15626" width="0" style="6" hidden="1" customWidth="1"/>
    <col min="15627" max="15630" width="15" style="6" customWidth="1"/>
    <col min="15631" max="15872" width="10" style="6"/>
    <col min="15873" max="15873" width="6.75" style="6" customWidth="1"/>
    <col min="15874" max="15874" width="44.5" style="6" customWidth="1"/>
    <col min="15875" max="15875" width="10" style="6"/>
    <col min="15876" max="15876" width="16.5" style="6" customWidth="1"/>
    <col min="15877" max="15877" width="6.75" style="6" customWidth="1"/>
    <col min="15878" max="15878" width="19.25" style="6" customWidth="1"/>
    <col min="15879" max="15879" width="23.5" style="6" customWidth="1"/>
    <col min="15880" max="15880" width="18.5" style="6" customWidth="1"/>
    <col min="15881" max="15881" width="23.5" style="6" customWidth="1"/>
    <col min="15882" max="15882" width="0" style="6" hidden="1" customWidth="1"/>
    <col min="15883" max="15886" width="15" style="6" customWidth="1"/>
    <col min="15887" max="16128" width="10" style="6"/>
    <col min="16129" max="16129" width="6.75" style="6" customWidth="1"/>
    <col min="16130" max="16130" width="44.5" style="6" customWidth="1"/>
    <col min="16131" max="16131" width="10" style="6"/>
    <col min="16132" max="16132" width="16.5" style="6" customWidth="1"/>
    <col min="16133" max="16133" width="6.75" style="6" customWidth="1"/>
    <col min="16134" max="16134" width="19.25" style="6" customWidth="1"/>
    <col min="16135" max="16135" width="23.5" style="6" customWidth="1"/>
    <col min="16136" max="16136" width="18.5" style="6" customWidth="1"/>
    <col min="16137" max="16137" width="23.5" style="6" customWidth="1"/>
    <col min="16138" max="16138" width="0" style="6" hidden="1" customWidth="1"/>
    <col min="16139" max="16142" width="15" style="6" customWidth="1"/>
    <col min="16143" max="16384" width="10" style="6"/>
  </cols>
  <sheetData>
    <row r="1" spans="1:14" ht="26.25" customHeight="1" x14ac:dyDescent="0.15">
      <c r="A1" s="1" t="s">
        <v>0</v>
      </c>
      <c r="B1" s="2"/>
      <c r="C1" s="2"/>
      <c r="D1" s="2"/>
      <c r="E1" s="2"/>
      <c r="F1" s="2"/>
      <c r="G1" s="2"/>
      <c r="H1" s="2"/>
      <c r="I1" s="2"/>
    </row>
    <row r="2" spans="1:14" ht="37" customHeight="1" x14ac:dyDescent="0.15">
      <c r="A2" s="7" t="str">
        <f>"Dự án: " &amp;'[1]Công trình'!A2</f>
        <v>Dự án: SỬA CHỮA HỆ THỐNG ĐIỆN CHIẾU SÁNG TRÊN CÁC TUYẾN ĐƯỜNG NÔNG THÔN MỚI KIỂU MẪU THUỘC ĐỊA BÀN XÃ KIẾN HƯNG</v>
      </c>
      <c r="B2" s="2"/>
      <c r="C2" s="2"/>
      <c r="D2" s="2"/>
      <c r="E2" s="2"/>
      <c r="F2" s="2"/>
      <c r="G2" s="2"/>
      <c r="H2" s="2"/>
      <c r="I2" s="2"/>
    </row>
    <row r="3" spans="1:14" ht="18.75" customHeight="1" x14ac:dyDescent="0.15">
      <c r="A3" s="8" t="s">
        <v>1</v>
      </c>
      <c r="B3" s="2"/>
      <c r="C3" s="2"/>
      <c r="D3" s="2"/>
      <c r="E3" s="2"/>
      <c r="F3" s="2"/>
      <c r="G3" s="2"/>
      <c r="H3" s="2"/>
      <c r="I3" s="2"/>
    </row>
    <row r="4" spans="1:14" ht="18.75" hidden="1" customHeight="1" x14ac:dyDescent="0.15">
      <c r="A4" s="8" t="s">
        <v>2</v>
      </c>
      <c r="B4" s="2"/>
      <c r="C4" s="2"/>
      <c r="D4" s="2"/>
      <c r="E4" s="2"/>
      <c r="F4" s="2"/>
      <c r="G4" s="2"/>
      <c r="H4" s="2"/>
      <c r="I4" s="2"/>
    </row>
    <row r="5" spans="1:14" ht="18.75" customHeight="1" x14ac:dyDescent="0.15">
      <c r="A5" s="8" t="s">
        <v>3</v>
      </c>
      <c r="B5" s="2"/>
      <c r="C5" s="2"/>
      <c r="D5" s="2"/>
      <c r="E5" s="2"/>
      <c r="F5" s="2"/>
      <c r="G5" s="2"/>
      <c r="H5" s="2"/>
      <c r="I5" s="2"/>
    </row>
    <row r="6" spans="1:14" ht="18.75" customHeight="1" x14ac:dyDescent="0.15">
      <c r="A6" s="8" t="s">
        <v>4</v>
      </c>
      <c r="B6" s="2"/>
      <c r="C6" s="2"/>
      <c r="D6" s="2"/>
      <c r="E6" s="2"/>
      <c r="F6" s="2"/>
      <c r="G6" s="2"/>
      <c r="H6" s="2"/>
      <c r="I6" s="2"/>
    </row>
    <row r="7" spans="1:14" ht="18.75" customHeight="1" x14ac:dyDescent="0.15">
      <c r="A7" s="8" t="s">
        <v>5</v>
      </c>
      <c r="B7" s="2"/>
      <c r="C7" s="2"/>
      <c r="D7" s="2"/>
      <c r="E7" s="2"/>
      <c r="F7" s="2"/>
      <c r="G7" s="2"/>
      <c r="H7" s="2"/>
      <c r="I7" s="2"/>
    </row>
    <row r="8" spans="1:14" ht="18.75" customHeight="1" x14ac:dyDescent="0.15">
      <c r="A8" s="8" t="s">
        <v>6</v>
      </c>
      <c r="B8" s="2"/>
      <c r="C8" s="2"/>
      <c r="D8" s="2"/>
      <c r="E8" s="2"/>
      <c r="F8" s="2"/>
      <c r="G8" s="2"/>
      <c r="H8" s="2"/>
      <c r="I8" s="2"/>
    </row>
    <row r="9" spans="1:14" ht="18.75" customHeight="1" x14ac:dyDescent="0.15">
      <c r="A9" s="8" t="s">
        <v>7</v>
      </c>
      <c r="B9" s="2"/>
      <c r="C9" s="2"/>
      <c r="D9" s="2"/>
      <c r="E9" s="2"/>
      <c r="F9" s="2"/>
      <c r="G9" s="2"/>
      <c r="H9" s="2"/>
      <c r="I9" s="2"/>
    </row>
    <row r="10" spans="1:14" ht="22.5" customHeight="1" x14ac:dyDescent="0.2">
      <c r="A10" s="9" t="str">
        <f>"Đơn vị tính:  "&amp;'[1]Công trình'!AL1</f>
        <v>Đơn vị tính:  (đ)</v>
      </c>
      <c r="B10" s="2"/>
      <c r="C10" s="2"/>
      <c r="D10" s="2"/>
      <c r="E10" s="2"/>
      <c r="F10" s="2"/>
      <c r="G10" s="2"/>
      <c r="H10" s="2"/>
      <c r="I10" s="2"/>
      <c r="L10" s="10" t="s">
        <v>8</v>
      </c>
      <c r="M10" s="10"/>
      <c r="N10" s="10"/>
    </row>
    <row r="11" spans="1:14" ht="30" x14ac:dyDescent="0.15">
      <c r="A11" s="11" t="s">
        <v>9</v>
      </c>
      <c r="B11" s="12" t="s">
        <v>10</v>
      </c>
      <c r="C11" s="12" t="s">
        <v>11</v>
      </c>
      <c r="D11" s="12" t="s">
        <v>12</v>
      </c>
      <c r="E11" s="12" t="s">
        <v>13</v>
      </c>
      <c r="F11" s="12" t="s">
        <v>14</v>
      </c>
      <c r="G11" s="12" t="s">
        <v>15</v>
      </c>
      <c r="H11" s="12" t="s">
        <v>16</v>
      </c>
      <c r="I11" s="12" t="s">
        <v>17</v>
      </c>
      <c r="K11" s="13">
        <v>0.08</v>
      </c>
      <c r="L11" s="14" t="s">
        <v>18</v>
      </c>
      <c r="M11" s="14" t="s">
        <v>19</v>
      </c>
      <c r="N11" s="14" t="s">
        <v>20</v>
      </c>
    </row>
    <row r="12" spans="1:14" ht="34" x14ac:dyDescent="0.15">
      <c r="A12" s="15" t="s">
        <v>21</v>
      </c>
      <c r="B12" s="16" t="s">
        <v>22</v>
      </c>
      <c r="C12" s="17" t="s">
        <v>23</v>
      </c>
      <c r="D12" s="18"/>
      <c r="E12" s="19"/>
      <c r="F12" s="20" t="s">
        <v>24</v>
      </c>
      <c r="G12" s="21"/>
      <c r="H12" s="21">
        <f>ROUND(K11*G12,0)</f>
        <v>0</v>
      </c>
      <c r="I12" s="21">
        <f>G12+H12</f>
        <v>0</v>
      </c>
      <c r="J12" s="22" t="s">
        <v>25</v>
      </c>
      <c r="K12" s="4">
        <v>1</v>
      </c>
    </row>
    <row r="13" spans="1:14" ht="34" x14ac:dyDescent="0.15">
      <c r="A13" s="15">
        <v>2</v>
      </c>
      <c r="B13" s="16" t="s">
        <v>26</v>
      </c>
      <c r="C13" s="17" t="s">
        <v>27</v>
      </c>
      <c r="D13" s="18"/>
      <c r="E13" s="19"/>
      <c r="F13" s="20" t="s">
        <v>24</v>
      </c>
      <c r="G13" s="21">
        <f>G14+G16</f>
        <v>369827375</v>
      </c>
      <c r="H13" s="21">
        <f>H14+H16</f>
        <v>29586190</v>
      </c>
      <c r="I13" s="21">
        <f>I14+I16</f>
        <v>399413565</v>
      </c>
      <c r="J13" s="22" t="s">
        <v>28</v>
      </c>
      <c r="K13" s="4">
        <v>1</v>
      </c>
      <c r="L13" s="23">
        <f>L14+L16</f>
        <v>369827375</v>
      </c>
      <c r="M13" s="23">
        <f>M14+M16</f>
        <v>369827375</v>
      </c>
      <c r="N13" s="23">
        <f>N14+N16</f>
        <v>369827375</v>
      </c>
    </row>
    <row r="14" spans="1:14" ht="51" x14ac:dyDescent="0.15">
      <c r="A14" s="24" t="s">
        <v>29</v>
      </c>
      <c r="B14" s="25" t="s">
        <v>30</v>
      </c>
      <c r="C14" s="26" t="s">
        <v>28</v>
      </c>
      <c r="D14" s="27"/>
      <c r="E14" s="28"/>
      <c r="F14" s="29" t="s">
        <v>24</v>
      </c>
      <c r="G14" s="30">
        <f>SUM(G15:G15)</f>
        <v>369827375</v>
      </c>
      <c r="H14" s="30">
        <f>SUM(H15:H15)</f>
        <v>29586190</v>
      </c>
      <c r="I14" s="30">
        <f>G14+H14</f>
        <v>399413565</v>
      </c>
      <c r="J14" s="22" t="s">
        <v>31</v>
      </c>
      <c r="K14" s="31">
        <f>G14+G65</f>
        <v>369827375</v>
      </c>
      <c r="L14" s="23">
        <f>SUM(L15:L15)</f>
        <v>369827375</v>
      </c>
      <c r="M14" s="23">
        <f>SUM(M15:M15)</f>
        <v>369827375</v>
      </c>
      <c r="N14" s="23">
        <f>SUM(N15:N15)</f>
        <v>369827375</v>
      </c>
    </row>
    <row r="15" spans="1:14" ht="28" x14ac:dyDescent="0.15">
      <c r="A15" s="32"/>
      <c r="B15" s="33" t="str">
        <f>"+ "&amp;'[1]Công trình'!F6</f>
        <v>+ HẠNG MỤC: THAY THẾ CỘT ĐÈN CHIẾU SÁNG HƯ HỎNG</v>
      </c>
      <c r="C15" s="34" t="s">
        <v>32</v>
      </c>
      <c r="D15" s="35"/>
      <c r="E15" s="36"/>
      <c r="F15" s="37"/>
      <c r="G15" s="38">
        <f>ROUND('[1]TH chi phí XD'!C5,0)</f>
        <v>369827375</v>
      </c>
      <c r="H15" s="38">
        <f>ROUND(G15*[1]HSXL!D17,0)</f>
        <v>29586190</v>
      </c>
      <c r="I15" s="38">
        <f>G15+H15</f>
        <v>399413565</v>
      </c>
      <c r="J15" s="22"/>
      <c r="L15" s="23">
        <f>G15</f>
        <v>369827375</v>
      </c>
      <c r="M15" s="23">
        <f>G15</f>
        <v>369827375</v>
      </c>
      <c r="N15" s="23">
        <f>G15</f>
        <v>369827375</v>
      </c>
    </row>
    <row r="16" spans="1:14" ht="34" x14ac:dyDescent="0.15">
      <c r="A16" s="24"/>
      <c r="B16" s="25" t="s">
        <v>33</v>
      </c>
      <c r="C16" s="26" t="s">
        <v>34</v>
      </c>
      <c r="D16" s="27"/>
      <c r="E16" s="28"/>
      <c r="F16" s="29" t="s">
        <v>24</v>
      </c>
      <c r="G16" s="30">
        <f>ROUND(I16/(1+0.08),0)</f>
        <v>0</v>
      </c>
      <c r="H16" s="30">
        <f>ROUND(G16*0.08,0)</f>
        <v>0</v>
      </c>
      <c r="I16" s="30"/>
      <c r="J16" s="22" t="s">
        <v>35</v>
      </c>
      <c r="K16" s="4">
        <v>1</v>
      </c>
    </row>
    <row r="17" spans="1:14" ht="17" x14ac:dyDescent="0.15">
      <c r="A17" s="15"/>
      <c r="B17" s="16" t="s">
        <v>36</v>
      </c>
      <c r="C17" s="17" t="s">
        <v>37</v>
      </c>
      <c r="D17" s="18"/>
      <c r="E17" s="19"/>
      <c r="F17" s="20" t="s">
        <v>24</v>
      </c>
      <c r="G17" s="21"/>
      <c r="H17" s="21"/>
      <c r="I17" s="21">
        <f>G17+H17</f>
        <v>0</v>
      </c>
      <c r="J17" s="22" t="s">
        <v>37</v>
      </c>
      <c r="K17" s="4">
        <v>1</v>
      </c>
      <c r="L17" s="23">
        <f>SUM(L22:L22)</f>
        <v>0</v>
      </c>
      <c r="M17" s="23">
        <f>SUM(M22:M22)</f>
        <v>0</v>
      </c>
      <c r="N17" s="23">
        <f>SUM(N22:N22)</f>
        <v>0</v>
      </c>
    </row>
    <row r="18" spans="1:14" ht="17" x14ac:dyDescent="0.15">
      <c r="A18" s="15"/>
      <c r="B18" s="16" t="s">
        <v>38</v>
      </c>
      <c r="C18" s="17"/>
      <c r="D18" s="18"/>
      <c r="E18" s="19"/>
      <c r="F18" s="20" t="s">
        <v>24</v>
      </c>
      <c r="G18" s="21"/>
      <c r="H18" s="21"/>
      <c r="I18" s="21"/>
      <c r="J18" s="22" t="s">
        <v>39</v>
      </c>
      <c r="K18" s="4">
        <v>1</v>
      </c>
    </row>
    <row r="19" spans="1:14" ht="17" x14ac:dyDescent="0.15">
      <c r="A19" s="24"/>
      <c r="B19" s="25" t="s">
        <v>40</v>
      </c>
      <c r="C19" s="26"/>
      <c r="D19" s="27"/>
      <c r="E19" s="28"/>
      <c r="F19" s="29" t="s">
        <v>24</v>
      </c>
      <c r="G19" s="30"/>
      <c r="H19" s="30"/>
      <c r="I19" s="30">
        <f>G19+H19</f>
        <v>0</v>
      </c>
      <c r="J19" s="22" t="s">
        <v>41</v>
      </c>
      <c r="K19" s="4">
        <v>1</v>
      </c>
    </row>
    <row r="20" spans="1:14" ht="51" x14ac:dyDescent="0.15">
      <c r="A20" s="24"/>
      <c r="B20" s="25" t="s">
        <v>42</v>
      </c>
      <c r="C20" s="26"/>
      <c r="D20" s="27"/>
      <c r="E20" s="28"/>
      <c r="F20" s="29" t="s">
        <v>24</v>
      </c>
      <c r="G20" s="30"/>
      <c r="H20" s="30"/>
      <c r="I20" s="30">
        <f>G20+H20</f>
        <v>0</v>
      </c>
      <c r="J20" s="22" t="s">
        <v>43</v>
      </c>
      <c r="K20" s="4">
        <v>1</v>
      </c>
    </row>
    <row r="21" spans="1:14" ht="34" x14ac:dyDescent="0.15">
      <c r="A21" s="15"/>
      <c r="B21" s="16" t="s">
        <v>44</v>
      </c>
      <c r="C21" s="17"/>
      <c r="D21" s="18"/>
      <c r="E21" s="19"/>
      <c r="F21" s="20" t="s">
        <v>24</v>
      </c>
      <c r="G21" s="21"/>
      <c r="H21" s="21"/>
      <c r="I21" s="21"/>
      <c r="J21" s="22" t="s">
        <v>45</v>
      </c>
      <c r="K21" s="4">
        <v>1</v>
      </c>
    </row>
    <row r="22" spans="1:14" ht="28" x14ac:dyDescent="0.15">
      <c r="A22" s="32"/>
      <c r="B22" s="33" t="str">
        <f>"+ "&amp;'[1]Công trình'!F6</f>
        <v>+ HẠNG MỤC: THAY THẾ CỘT ĐÈN CHIẾU SÁNG HƯ HỎNG</v>
      </c>
      <c r="C22" s="34" t="s">
        <v>46</v>
      </c>
      <c r="D22" s="35"/>
      <c r="E22" s="36"/>
      <c r="F22" s="37"/>
      <c r="G22" s="38"/>
      <c r="H22" s="38">
        <f>ROUND(G22*[1]HSXL!D17,0)</f>
        <v>0</v>
      </c>
      <c r="I22" s="38">
        <f>G22+H22</f>
        <v>0</v>
      </c>
      <c r="J22" s="22"/>
      <c r="L22" s="23">
        <f>G22</f>
        <v>0</v>
      </c>
      <c r="M22" s="23">
        <f>G22</f>
        <v>0</v>
      </c>
      <c r="N22" s="23">
        <f>G22</f>
        <v>0</v>
      </c>
    </row>
    <row r="23" spans="1:14" ht="68" x14ac:dyDescent="0.15">
      <c r="A23" s="15">
        <v>4</v>
      </c>
      <c r="B23" s="16" t="s">
        <v>47</v>
      </c>
      <c r="C23" s="17" t="s">
        <v>48</v>
      </c>
      <c r="D23" s="39">
        <f>'[1]Định mức tư vấn'!E3</f>
        <v>2.7629999999999998E-2</v>
      </c>
      <c r="E23" s="19"/>
      <c r="F23" s="20" t="str">
        <f>D23*100&amp;"% x "&amp;"("&amp;'[1]Dự toán gói thầu'!F9&amp;"(Dự toán gói thầu)"&amp;"+"&amp;C17&amp;")"</f>
        <v>2,763% x (GXD(Dự toán gói thầu)+Gtb)</v>
      </c>
      <c r="G23" s="21">
        <f>ROUND(D23*('[1]Dự toán gói thầu'!C9+G17),0)</f>
        <v>10218330</v>
      </c>
      <c r="H23" s="21">
        <f>ROUND(K11*G23,0)</f>
        <v>817466</v>
      </c>
      <c r="I23" s="21">
        <f>G23+H23</f>
        <v>11035796</v>
      </c>
      <c r="J23" s="22" t="s">
        <v>48</v>
      </c>
      <c r="K23" s="4">
        <v>1</v>
      </c>
    </row>
    <row r="24" spans="1:14" ht="85" x14ac:dyDescent="0.15">
      <c r="A24" s="15"/>
      <c r="B24" s="16" t="s">
        <v>49</v>
      </c>
      <c r="C24" s="17" t="s">
        <v>48</v>
      </c>
      <c r="D24" s="18"/>
      <c r="E24" s="19"/>
      <c r="F24" s="20" t="s">
        <v>24</v>
      </c>
      <c r="G24" s="21"/>
      <c r="H24" s="21">
        <f>ROUND(K11*G24,0)</f>
        <v>0</v>
      </c>
      <c r="I24" s="21">
        <f>G24+H24</f>
        <v>0</v>
      </c>
      <c r="J24" s="22" t="s">
        <v>50</v>
      </c>
      <c r="K24" s="4">
        <v>1</v>
      </c>
    </row>
    <row r="25" spans="1:14" ht="17" x14ac:dyDescent="0.15">
      <c r="A25" s="15">
        <v>5</v>
      </c>
      <c r="B25" s="16" t="s">
        <v>51</v>
      </c>
      <c r="C25" s="17" t="s">
        <v>52</v>
      </c>
      <c r="D25" s="18"/>
      <c r="E25" s="19"/>
      <c r="F25" s="20" t="s">
        <v>53</v>
      </c>
      <c r="G25" s="21">
        <f>SUMIF(K26:K62,1,G26:G62)</f>
        <v>19035929</v>
      </c>
      <c r="H25" s="21">
        <f>SUMIF(K26:K62,1,H26:H62)</f>
        <v>1522875</v>
      </c>
      <c r="I25" s="21">
        <f>SUMIF(K26:K62,1,I26:I62)</f>
        <v>20558804</v>
      </c>
      <c r="J25" s="22" t="s">
        <v>52</v>
      </c>
      <c r="K25" s="4">
        <v>1</v>
      </c>
    </row>
    <row r="26" spans="1:14" ht="17" x14ac:dyDescent="0.15">
      <c r="A26" s="24" t="s">
        <v>54</v>
      </c>
      <c r="B26" s="25" t="s">
        <v>55</v>
      </c>
      <c r="C26" s="26" t="s">
        <v>56</v>
      </c>
      <c r="D26" s="27"/>
      <c r="E26" s="28"/>
      <c r="F26" s="29" t="s">
        <v>24</v>
      </c>
      <c r="G26" s="30"/>
      <c r="H26" s="30">
        <f>ROUND(K11*G26,0)</f>
        <v>0</v>
      </c>
      <c r="I26" s="30">
        <f>G26+H26</f>
        <v>0</v>
      </c>
      <c r="J26" s="22" t="s">
        <v>57</v>
      </c>
      <c r="K26" s="4">
        <v>1</v>
      </c>
    </row>
    <row r="27" spans="1:14" ht="34" x14ac:dyDescent="0.15">
      <c r="A27" s="24" t="s">
        <v>58</v>
      </c>
      <c r="B27" s="25" t="s">
        <v>59</v>
      </c>
      <c r="C27" s="26" t="s">
        <v>60</v>
      </c>
      <c r="D27" s="40">
        <v>0.03</v>
      </c>
      <c r="E27" s="28"/>
      <c r="F27" s="29" t="str">
        <f>D27*100&amp;"%*"&amp;C26</f>
        <v>3%*Gtv1</v>
      </c>
      <c r="G27" s="30">
        <f>D27*G26</f>
        <v>0</v>
      </c>
      <c r="H27" s="30">
        <f>ROUND(K11*G27,0)</f>
        <v>0</v>
      </c>
      <c r="I27" s="30">
        <f>G27+H27</f>
        <v>0</v>
      </c>
      <c r="J27" s="22" t="s">
        <v>61</v>
      </c>
      <c r="K27" s="4">
        <v>1</v>
      </c>
    </row>
    <row r="28" spans="1:14" ht="34" x14ac:dyDescent="0.15">
      <c r="A28" s="24" t="s">
        <v>62</v>
      </c>
      <c r="B28" s="25" t="s">
        <v>63</v>
      </c>
      <c r="C28" s="26" t="s">
        <v>64</v>
      </c>
      <c r="D28" s="41">
        <f>'[1]Định mức tư vấn'!E14</f>
        <v>4.0719999999999999E-2</v>
      </c>
      <c r="E28" s="28"/>
      <c r="F28" s="29" t="s">
        <v>65</v>
      </c>
      <c r="G28" s="30">
        <f>D28*G26</f>
        <v>0</v>
      </c>
      <c r="H28" s="30">
        <f>ROUND(K11*G28,0)</f>
        <v>0</v>
      </c>
      <c r="I28" s="30">
        <f>G28+H28</f>
        <v>0</v>
      </c>
      <c r="J28" s="22" t="s">
        <v>66</v>
      </c>
      <c r="K28" s="4">
        <v>1</v>
      </c>
    </row>
    <row r="29" spans="1:14" ht="17" x14ac:dyDescent="0.15">
      <c r="A29" s="24"/>
      <c r="B29" s="25" t="s">
        <v>67</v>
      </c>
      <c r="C29" s="26" t="s">
        <v>68</v>
      </c>
      <c r="D29" s="27">
        <v>0</v>
      </c>
      <c r="E29" s="28"/>
      <c r="F29" s="29"/>
      <c r="G29" s="30"/>
      <c r="H29" s="30">
        <f>ROUND(K11*G29,0)</f>
        <v>0</v>
      </c>
      <c r="I29" s="30"/>
      <c r="J29" s="22" t="s">
        <v>69</v>
      </c>
      <c r="K29" s="4">
        <v>1</v>
      </c>
    </row>
    <row r="30" spans="1:14" ht="34" x14ac:dyDescent="0.15">
      <c r="A30" s="24"/>
      <c r="B30" s="25" t="s">
        <v>70</v>
      </c>
      <c r="C30" s="26" t="s">
        <v>71</v>
      </c>
      <c r="D30" s="27"/>
      <c r="E30" s="28"/>
      <c r="F30" s="29" t="s">
        <v>24</v>
      </c>
      <c r="G30" s="30"/>
      <c r="H30" s="30">
        <f>ROUND(K11*G30,0)</f>
        <v>0</v>
      </c>
      <c r="I30" s="30"/>
      <c r="J30" s="22" t="s">
        <v>72</v>
      </c>
      <c r="K30" s="4">
        <v>1</v>
      </c>
    </row>
    <row r="31" spans="1:14" ht="51" x14ac:dyDescent="0.15">
      <c r="A31" s="24" t="s">
        <v>73</v>
      </c>
      <c r="B31" s="25" t="s">
        <v>74</v>
      </c>
      <c r="C31" s="26" t="s">
        <v>68</v>
      </c>
      <c r="D31" s="27"/>
      <c r="E31" s="28"/>
      <c r="F31" s="29" t="s">
        <v>24</v>
      </c>
      <c r="G31" s="30"/>
      <c r="H31" s="30">
        <f>ROUND(K11*G31,0)</f>
        <v>0</v>
      </c>
      <c r="I31" s="30">
        <f t="shared" ref="I31:I62" si="0">G31+H31</f>
        <v>0</v>
      </c>
      <c r="J31" s="22" t="s">
        <v>75</v>
      </c>
      <c r="K31" s="4">
        <v>1</v>
      </c>
    </row>
    <row r="32" spans="1:14" ht="34" x14ac:dyDescent="0.15">
      <c r="A32" s="24"/>
      <c r="B32" s="25" t="s">
        <v>76</v>
      </c>
      <c r="C32" s="26" t="s">
        <v>77</v>
      </c>
      <c r="D32" s="27"/>
      <c r="E32" s="28"/>
      <c r="F32" s="29" t="s">
        <v>24</v>
      </c>
      <c r="G32" s="30"/>
      <c r="H32" s="30">
        <f>ROUND(K11*G32,0)</f>
        <v>0</v>
      </c>
      <c r="I32" s="30">
        <f t="shared" si="0"/>
        <v>0</v>
      </c>
      <c r="J32" s="22" t="s">
        <v>78</v>
      </c>
      <c r="K32" s="4">
        <v>1</v>
      </c>
    </row>
    <row r="33" spans="1:11" ht="34" x14ac:dyDescent="0.15">
      <c r="A33" s="24" t="s">
        <v>54</v>
      </c>
      <c r="B33" s="25" t="s">
        <v>79</v>
      </c>
      <c r="C33" s="26" t="s">
        <v>71</v>
      </c>
      <c r="D33" s="41">
        <f>'[1]Định mức tư vấn'!E4</f>
        <v>7.1900000000000002E-3</v>
      </c>
      <c r="E33" s="28"/>
      <c r="F33" s="29" t="str">
        <f>D33*100&amp;"% x "&amp;"("&amp;C14&amp;"+"&amp;C17&amp;")"</f>
        <v>0,719% x (Gxd+Gtb)</v>
      </c>
      <c r="G33" s="30">
        <f>ROUND(D33*(M14+M17),0)</f>
        <v>2659059</v>
      </c>
      <c r="H33" s="30">
        <f>ROUND(K11*G33,0)</f>
        <v>212725</v>
      </c>
      <c r="I33" s="30">
        <f t="shared" si="0"/>
        <v>2871784</v>
      </c>
      <c r="J33" s="22" t="s">
        <v>80</v>
      </c>
      <c r="K33" s="4">
        <v>1</v>
      </c>
    </row>
    <row r="34" spans="1:11" ht="34" x14ac:dyDescent="0.15">
      <c r="A34" s="24"/>
      <c r="B34" s="25" t="s">
        <v>81</v>
      </c>
      <c r="C34" s="26" t="s">
        <v>82</v>
      </c>
      <c r="D34" s="27"/>
      <c r="E34" s="28"/>
      <c r="F34" s="29" t="s">
        <v>24</v>
      </c>
      <c r="G34" s="30"/>
      <c r="H34" s="30">
        <f>ROUND(K11*G34,0)</f>
        <v>0</v>
      </c>
      <c r="I34" s="30">
        <f t="shared" si="0"/>
        <v>0</v>
      </c>
      <c r="J34" s="22" t="s">
        <v>83</v>
      </c>
      <c r="K34" s="4">
        <v>1</v>
      </c>
    </row>
    <row r="35" spans="1:11" ht="34" x14ac:dyDescent="0.15">
      <c r="A35" s="24"/>
      <c r="B35" s="25" t="s">
        <v>84</v>
      </c>
      <c r="C35" s="26" t="s">
        <v>85</v>
      </c>
      <c r="D35" s="27"/>
      <c r="E35" s="28"/>
      <c r="F35" s="29" t="s">
        <v>24</v>
      </c>
      <c r="G35" s="30"/>
      <c r="H35" s="30">
        <f>ROUND(K11*G35,0)</f>
        <v>0</v>
      </c>
      <c r="I35" s="30">
        <f t="shared" si="0"/>
        <v>0</v>
      </c>
      <c r="J35" s="22" t="s">
        <v>86</v>
      </c>
      <c r="K35" s="4">
        <v>1</v>
      </c>
    </row>
    <row r="36" spans="1:11" ht="34" x14ac:dyDescent="0.15">
      <c r="A36" s="24" t="s">
        <v>58</v>
      </c>
      <c r="B36" s="25" t="s">
        <v>87</v>
      </c>
      <c r="C36" s="26" t="s">
        <v>88</v>
      </c>
      <c r="D36" s="42">
        <f>'[1]Định mức tư vấn'!E5</f>
        <v>1.6000000000000001E-3</v>
      </c>
      <c r="E36" s="28"/>
      <c r="F36" s="29" t="str">
        <f>D36*100&amp;"% x "&amp;"("&amp;C14&amp;"+"&amp;C17&amp;")"</f>
        <v>0,16% x (Gxd+Gtb)</v>
      </c>
      <c r="G36" s="30">
        <f>ROUND(D36*(M14+M17),0)</f>
        <v>591724</v>
      </c>
      <c r="H36" s="30">
        <f>ROUND(K11*G36,0)</f>
        <v>47338</v>
      </c>
      <c r="I36" s="30">
        <f t="shared" si="0"/>
        <v>639062</v>
      </c>
      <c r="J36" s="22" t="s">
        <v>89</v>
      </c>
      <c r="K36" s="4">
        <v>1</v>
      </c>
    </row>
    <row r="37" spans="1:11" ht="34" x14ac:dyDescent="0.15">
      <c r="A37" s="24"/>
      <c r="B37" s="25" t="s">
        <v>90</v>
      </c>
      <c r="C37" s="26" t="s">
        <v>91</v>
      </c>
      <c r="D37" s="27">
        <v>0.2</v>
      </c>
      <c r="E37" s="28"/>
      <c r="F37" s="29" t="str">
        <f>D37*100&amp;"%*"&amp;C36</f>
        <v>20%*Gtv6</v>
      </c>
      <c r="G37" s="30"/>
      <c r="H37" s="30">
        <f>ROUND(K11*G37,0)</f>
        <v>0</v>
      </c>
      <c r="I37" s="30">
        <f t="shared" si="0"/>
        <v>0</v>
      </c>
      <c r="J37" s="22" t="s">
        <v>92</v>
      </c>
      <c r="K37" s="4">
        <v>1</v>
      </c>
    </row>
    <row r="38" spans="1:11" ht="34" x14ac:dyDescent="0.15">
      <c r="A38" s="24"/>
      <c r="B38" s="25" t="s">
        <v>93</v>
      </c>
      <c r="C38" s="26" t="s">
        <v>94</v>
      </c>
      <c r="D38" s="27"/>
      <c r="E38" s="28"/>
      <c r="F38" s="29" t="s">
        <v>24</v>
      </c>
      <c r="G38" s="30"/>
      <c r="H38" s="30">
        <f>ROUND(K11*G38,0)</f>
        <v>0</v>
      </c>
      <c r="I38" s="30">
        <f t="shared" si="0"/>
        <v>0</v>
      </c>
      <c r="J38" s="22" t="s">
        <v>95</v>
      </c>
      <c r="K38" s="4">
        <v>1</v>
      </c>
    </row>
    <row r="39" spans="1:11" ht="34" x14ac:dyDescent="0.15">
      <c r="A39" s="24"/>
      <c r="B39" s="25" t="s">
        <v>96</v>
      </c>
      <c r="C39" s="26" t="s">
        <v>97</v>
      </c>
      <c r="D39" s="27"/>
      <c r="E39" s="28"/>
      <c r="F39" s="29" t="s">
        <v>24</v>
      </c>
      <c r="G39" s="30"/>
      <c r="H39" s="30">
        <f>ROUND(K11*G39,0)</f>
        <v>0</v>
      </c>
      <c r="I39" s="30">
        <f t="shared" si="0"/>
        <v>0</v>
      </c>
      <c r="J39" s="22" t="s">
        <v>98</v>
      </c>
      <c r="K39" s="4">
        <v>1</v>
      </c>
    </row>
    <row r="40" spans="1:11" ht="34" x14ac:dyDescent="0.15">
      <c r="A40" s="24" t="s">
        <v>99</v>
      </c>
      <c r="B40" s="25" t="s">
        <v>100</v>
      </c>
      <c r="C40" s="26" t="s">
        <v>77</v>
      </c>
      <c r="D40" s="27"/>
      <c r="E40" s="28"/>
      <c r="F40" s="29" t="str">
        <f>D40*100&amp;"%*"&amp;C36</f>
        <v>0%*Gtv6</v>
      </c>
      <c r="G40" s="30">
        <f>D40*G36</f>
        <v>0</v>
      </c>
      <c r="H40" s="30">
        <f>ROUND(K11*G40,0)</f>
        <v>0</v>
      </c>
      <c r="I40" s="30">
        <f t="shared" si="0"/>
        <v>0</v>
      </c>
      <c r="J40" s="22" t="s">
        <v>101</v>
      </c>
      <c r="K40" s="4">
        <v>1</v>
      </c>
    </row>
    <row r="41" spans="1:11" ht="34" x14ac:dyDescent="0.15">
      <c r="A41" s="24" t="s">
        <v>102</v>
      </c>
      <c r="B41" s="25" t="s">
        <v>103</v>
      </c>
      <c r="C41" s="26" t="s">
        <v>104</v>
      </c>
      <c r="D41" s="27"/>
      <c r="E41" s="28"/>
      <c r="F41" s="29" t="str">
        <f>D41*100&amp;"%*("&amp;C38&amp;"+"&amp;C39&amp;")"</f>
        <v>0%*(Gtv13+Gtv14)</v>
      </c>
      <c r="G41" s="30">
        <f>D41*(G38+G39)</f>
        <v>0</v>
      </c>
      <c r="H41" s="30">
        <f>ROUND(K11*G41,0)</f>
        <v>0</v>
      </c>
      <c r="I41" s="30">
        <f t="shared" si="0"/>
        <v>0</v>
      </c>
      <c r="J41" s="22" t="s">
        <v>105</v>
      </c>
      <c r="K41" s="4">
        <v>1</v>
      </c>
    </row>
    <row r="42" spans="1:11" ht="17" x14ac:dyDescent="0.15">
      <c r="A42" s="24"/>
      <c r="B42" s="25" t="s">
        <v>106</v>
      </c>
      <c r="C42" s="26" t="s">
        <v>107</v>
      </c>
      <c r="D42" s="27"/>
      <c r="E42" s="28"/>
      <c r="F42" s="29" t="s">
        <v>24</v>
      </c>
      <c r="G42" s="30"/>
      <c r="H42" s="30">
        <f>ROUND(K11*G42,0)</f>
        <v>0</v>
      </c>
      <c r="I42" s="30">
        <f t="shared" si="0"/>
        <v>0</v>
      </c>
      <c r="J42" s="22" t="s">
        <v>108</v>
      </c>
      <c r="K42" s="4">
        <v>1</v>
      </c>
    </row>
    <row r="43" spans="1:11" ht="17" x14ac:dyDescent="0.15">
      <c r="A43" s="24"/>
      <c r="B43" s="25" t="s">
        <v>109</v>
      </c>
      <c r="C43" s="26" t="s">
        <v>110</v>
      </c>
      <c r="D43" s="27"/>
      <c r="E43" s="28"/>
      <c r="F43" s="29" t="s">
        <v>24</v>
      </c>
      <c r="G43" s="30"/>
      <c r="H43" s="30">
        <f>ROUND(K11*G43,0)</f>
        <v>0</v>
      </c>
      <c r="I43" s="30">
        <f t="shared" si="0"/>
        <v>0</v>
      </c>
      <c r="J43" s="22" t="s">
        <v>111</v>
      </c>
      <c r="K43" s="4">
        <v>1</v>
      </c>
    </row>
    <row r="44" spans="1:11" ht="17" x14ac:dyDescent="0.15">
      <c r="A44" s="24" t="s">
        <v>112</v>
      </c>
      <c r="B44" s="25" t="s">
        <v>113</v>
      </c>
      <c r="C44" s="26" t="s">
        <v>82</v>
      </c>
      <c r="D44" s="27"/>
      <c r="E44" s="28"/>
      <c r="F44" s="29" t="s">
        <v>24</v>
      </c>
      <c r="G44" s="30"/>
      <c r="H44" s="30">
        <f>ROUND(K11*G44,0)</f>
        <v>0</v>
      </c>
      <c r="I44" s="30">
        <f t="shared" si="0"/>
        <v>0</v>
      </c>
      <c r="J44" s="22" t="s">
        <v>114</v>
      </c>
      <c r="K44" s="4">
        <v>1</v>
      </c>
    </row>
    <row r="45" spans="1:11" ht="34" x14ac:dyDescent="0.15">
      <c r="A45" s="24" t="s">
        <v>115</v>
      </c>
      <c r="B45" s="25" t="s">
        <v>116</v>
      </c>
      <c r="C45" s="26" t="s">
        <v>85</v>
      </c>
      <c r="D45" s="40"/>
      <c r="E45" s="28"/>
      <c r="F45" s="29"/>
      <c r="G45" s="30"/>
      <c r="H45" s="30">
        <f>ROUND(K11*G45,0)</f>
        <v>0</v>
      </c>
      <c r="I45" s="30">
        <f t="shared" si="0"/>
        <v>0</v>
      </c>
      <c r="J45" s="22" t="s">
        <v>117</v>
      </c>
      <c r="K45" s="4">
        <v>1</v>
      </c>
    </row>
    <row r="46" spans="1:11" ht="34" x14ac:dyDescent="0.15">
      <c r="A46" s="24" t="s">
        <v>118</v>
      </c>
      <c r="B46" s="25" t="s">
        <v>119</v>
      </c>
      <c r="C46" s="26" t="s">
        <v>120</v>
      </c>
      <c r="D46" s="41"/>
      <c r="E46" s="28"/>
      <c r="F46" s="29"/>
      <c r="G46" s="30">
        <f>ROUND(D46*'[1]Dự toán gói thầu'!C9,0)</f>
        <v>0</v>
      </c>
      <c r="H46" s="30">
        <f>ROUND(K11*G46,0)</f>
        <v>0</v>
      </c>
      <c r="I46" s="30">
        <f t="shared" si="0"/>
        <v>0</v>
      </c>
      <c r="J46" s="22" t="s">
        <v>121</v>
      </c>
      <c r="K46" s="4">
        <v>1</v>
      </c>
    </row>
    <row r="47" spans="1:11" ht="51" x14ac:dyDescent="0.15">
      <c r="A47" s="24" t="s">
        <v>62</v>
      </c>
      <c r="B47" s="25" t="s">
        <v>122</v>
      </c>
      <c r="C47" s="26" t="s">
        <v>91</v>
      </c>
      <c r="D47" s="41">
        <f>'[1]Định mức tư vấn'!E8</f>
        <v>1.91E-3</v>
      </c>
      <c r="E47" s="28"/>
      <c r="F47" s="29" t="str">
        <f>D47*100&amp;"% x "&amp;'[1]Dự toán gói thầu'!F9&amp;"(Dự toán gói thầu)"</f>
        <v>0,191% x GXD(Dự toán gói thầu)</v>
      </c>
      <c r="G47" s="30">
        <f>ROUND(D47*'[1]Dự toán gói thầu'!C9,0)</f>
        <v>706370</v>
      </c>
      <c r="H47" s="30">
        <f>ROUND(K11*G47,0)</f>
        <v>56510</v>
      </c>
      <c r="I47" s="30">
        <f t="shared" si="0"/>
        <v>762880</v>
      </c>
      <c r="J47" s="22" t="s">
        <v>123</v>
      </c>
      <c r="K47" s="4">
        <v>1</v>
      </c>
    </row>
    <row r="48" spans="1:11" ht="51" x14ac:dyDescent="0.15">
      <c r="A48" s="24" t="s">
        <v>73</v>
      </c>
      <c r="B48" s="25" t="s">
        <v>124</v>
      </c>
      <c r="C48" s="26" t="s">
        <v>94</v>
      </c>
      <c r="D48" s="41">
        <f>'[1]Định mức tư vấn'!E9</f>
        <v>3.8800000000000002E-3</v>
      </c>
      <c r="E48" s="28"/>
      <c r="F48" s="29" t="str">
        <f>D48*100&amp;"% x "&amp;'[1]Dự toán gói thầu'!F9&amp;"(Dự toán gói thầu)"</f>
        <v>0,388% x GXD(Dự toán gói thầu)</v>
      </c>
      <c r="G48" s="30">
        <f>ROUND(D48*'[1]Dự toán gói thầu'!C9,0)</f>
        <v>1434930</v>
      </c>
      <c r="H48" s="30">
        <f>ROUND(K11*G48,0)</f>
        <v>114794</v>
      </c>
      <c r="I48" s="30">
        <f t="shared" si="0"/>
        <v>1549724</v>
      </c>
      <c r="J48" s="22" t="s">
        <v>125</v>
      </c>
      <c r="K48" s="4">
        <v>1</v>
      </c>
    </row>
    <row r="49" spans="1:12" ht="51" x14ac:dyDescent="0.15">
      <c r="A49" s="24"/>
      <c r="B49" s="25" t="s">
        <v>126</v>
      </c>
      <c r="C49" s="26" t="s">
        <v>127</v>
      </c>
      <c r="D49" s="27"/>
      <c r="E49" s="28"/>
      <c r="F49" s="29" t="s">
        <v>128</v>
      </c>
      <c r="G49" s="30"/>
      <c r="H49" s="30">
        <f>ROUND(K11*G49,0)</f>
        <v>0</v>
      </c>
      <c r="I49" s="30">
        <f t="shared" si="0"/>
        <v>0</v>
      </c>
      <c r="J49" s="22" t="s">
        <v>129</v>
      </c>
      <c r="K49" s="4">
        <v>1</v>
      </c>
    </row>
    <row r="50" spans="1:12" ht="51" x14ac:dyDescent="0.15">
      <c r="A50" s="24"/>
      <c r="B50" s="25" t="s">
        <v>130</v>
      </c>
      <c r="C50" s="26" t="s">
        <v>131</v>
      </c>
      <c r="D50" s="27"/>
      <c r="E50" s="28"/>
      <c r="F50" s="29" t="s">
        <v>132</v>
      </c>
      <c r="G50" s="30"/>
      <c r="H50" s="30">
        <f>ROUND(K11*G50,0)</f>
        <v>0</v>
      </c>
      <c r="I50" s="30">
        <f t="shared" si="0"/>
        <v>0</v>
      </c>
      <c r="J50" s="22" t="s">
        <v>133</v>
      </c>
      <c r="K50" s="4">
        <v>1</v>
      </c>
    </row>
    <row r="51" spans="1:12" ht="51" x14ac:dyDescent="0.15">
      <c r="A51" s="24"/>
      <c r="B51" s="25" t="s">
        <v>134</v>
      </c>
      <c r="C51" s="26" t="s">
        <v>135</v>
      </c>
      <c r="D51" s="27"/>
      <c r="E51" s="28"/>
      <c r="F51" s="29" t="s">
        <v>136</v>
      </c>
      <c r="G51" s="30"/>
      <c r="H51" s="30">
        <f>ROUND(K11*G51,0)</f>
        <v>0</v>
      </c>
      <c r="I51" s="30">
        <f t="shared" si="0"/>
        <v>0</v>
      </c>
      <c r="J51" s="22" t="s">
        <v>137</v>
      </c>
      <c r="K51" s="4">
        <v>1</v>
      </c>
    </row>
    <row r="52" spans="1:12" ht="51" x14ac:dyDescent="0.15">
      <c r="A52" s="24" t="s">
        <v>138</v>
      </c>
      <c r="B52" s="25" t="s">
        <v>139</v>
      </c>
      <c r="C52" s="26" t="s">
        <v>97</v>
      </c>
      <c r="D52" s="27"/>
      <c r="E52" s="28"/>
      <c r="F52" s="29" t="s">
        <v>140</v>
      </c>
      <c r="G52" s="30">
        <f>ROUND(IF('[1]Dự toán gói thầu'!C22*0.05%&lt;1000000,1000000,IF('[1]Dự toán gói thầu'!C22*0.05%&gt;50000000,50000000,'[1]Dự toán gói thầu'!C22*0.05%)),0)</f>
        <v>1000000</v>
      </c>
      <c r="H52" s="30">
        <f>ROUND(K11*G52,0)</f>
        <v>80000</v>
      </c>
      <c r="I52" s="30">
        <f t="shared" si="0"/>
        <v>1080000</v>
      </c>
      <c r="J52" s="22" t="s">
        <v>141</v>
      </c>
      <c r="K52" s="4">
        <v>1</v>
      </c>
    </row>
    <row r="53" spans="1:12" ht="51" x14ac:dyDescent="0.15">
      <c r="A53" s="24"/>
      <c r="B53" s="25" t="s">
        <v>142</v>
      </c>
      <c r="C53" s="26" t="s">
        <v>143</v>
      </c>
      <c r="D53" s="27"/>
      <c r="E53" s="28"/>
      <c r="F53" s="29" t="s">
        <v>128</v>
      </c>
      <c r="G53" s="30"/>
      <c r="H53" s="30">
        <f>ROUND(K11*G53,0)</f>
        <v>0</v>
      </c>
      <c r="I53" s="30">
        <f t="shared" si="0"/>
        <v>0</v>
      </c>
      <c r="J53" s="22" t="s">
        <v>144</v>
      </c>
      <c r="K53" s="4">
        <v>1</v>
      </c>
    </row>
    <row r="54" spans="1:12" ht="51" x14ac:dyDescent="0.15">
      <c r="A54" s="24" t="s">
        <v>145</v>
      </c>
      <c r="B54" s="25" t="s">
        <v>146</v>
      </c>
      <c r="C54" s="26" t="s">
        <v>147</v>
      </c>
      <c r="D54" s="27"/>
      <c r="E54" s="28"/>
      <c r="F54" s="29" t="s">
        <v>148</v>
      </c>
      <c r="G54" s="30">
        <f>ROUND(IF('[1]Dự toán gói thầu'!C22*0.1%&lt;1000000,1000000,IF('[1]Dự toán gói thầu'!C22*0.1%&gt;50000000,50000000,'[1]Dự toán gói thầu'!C22*0.1%)),0)</f>
        <v>1000000</v>
      </c>
      <c r="H54" s="30">
        <f>ROUND(K11*G54,0)</f>
        <v>80000</v>
      </c>
      <c r="I54" s="30">
        <f t="shared" si="0"/>
        <v>1080000</v>
      </c>
      <c r="J54" s="22" t="s">
        <v>149</v>
      </c>
      <c r="K54" s="4">
        <v>1</v>
      </c>
    </row>
    <row r="55" spans="1:12" ht="51" x14ac:dyDescent="0.15">
      <c r="A55" s="24" t="s">
        <v>99</v>
      </c>
      <c r="B55" s="25" t="s">
        <v>150</v>
      </c>
      <c r="C55" s="26" t="s">
        <v>151</v>
      </c>
      <c r="D55" s="27"/>
      <c r="E55" s="28"/>
      <c r="F55" s="29" t="s">
        <v>140</v>
      </c>
      <c r="G55" s="30">
        <f>ROUND(IF('[1]Dự toán gói thầu'!C22*0.05%&lt;1000000,1000000,IF('[1]Dự toán gói thầu'!C22*0.05%&gt;50000000,50000000,'[1]Dự toán gói thầu'!C22*0.05%)),0)</f>
        <v>1000000</v>
      </c>
      <c r="H55" s="30">
        <f>ROUND(K11*G55,0)</f>
        <v>80000</v>
      </c>
      <c r="I55" s="30">
        <f t="shared" si="0"/>
        <v>1080000</v>
      </c>
      <c r="J55" s="22" t="s">
        <v>152</v>
      </c>
      <c r="K55" s="4">
        <v>1</v>
      </c>
    </row>
    <row r="56" spans="1:12" ht="51" x14ac:dyDescent="0.15">
      <c r="A56" s="24" t="s">
        <v>102</v>
      </c>
      <c r="B56" s="25" t="s">
        <v>153</v>
      </c>
      <c r="C56" s="26" t="s">
        <v>107</v>
      </c>
      <c r="D56" s="27"/>
      <c r="E56" s="28"/>
      <c r="F56" s="29" t="s">
        <v>154</v>
      </c>
      <c r="G56" s="30">
        <f>ROUND(IF('[1]Dự toán gói thầu'!C22*0.02%&lt;1000000,1000000,IF('[1]Dự toán gói thầu'!C22*0.02%&gt;50000000,50000000,'[1]Dự toán gói thầu'!C22*0.02%)),0)</f>
        <v>1000000</v>
      </c>
      <c r="H56" s="30">
        <f>ROUND(K11*G56,0)</f>
        <v>80000</v>
      </c>
      <c r="I56" s="30">
        <f t="shared" si="0"/>
        <v>1080000</v>
      </c>
      <c r="J56" s="22" t="s">
        <v>155</v>
      </c>
      <c r="K56" s="4">
        <v>1</v>
      </c>
    </row>
    <row r="57" spans="1:12" ht="51" x14ac:dyDescent="0.15">
      <c r="A57" s="24" t="s">
        <v>112</v>
      </c>
      <c r="B57" s="25" t="s">
        <v>156</v>
      </c>
      <c r="C57" s="26" t="s">
        <v>110</v>
      </c>
      <c r="D57" s="41">
        <f>'[1]Định mức tư vấn'!E10</f>
        <v>2.5659999999999999E-2</v>
      </c>
      <c r="E57" s="28"/>
      <c r="F57" s="29" t="str">
        <f>D57*100&amp;"% x "&amp;'[1]Dự toán gói thầu'!F9&amp;"(Dự toán gói thầu)"</f>
        <v>2,566% x GXD(Dự toán gói thầu)</v>
      </c>
      <c r="G57" s="30">
        <f>ROUND(D57*'[1]Dự toán gói thầu'!C9,0)</f>
        <v>9489770</v>
      </c>
      <c r="H57" s="30">
        <f>ROUND(K11*G57,0)</f>
        <v>759182</v>
      </c>
      <c r="I57" s="30">
        <f t="shared" si="0"/>
        <v>10248952</v>
      </c>
      <c r="J57" s="22" t="s">
        <v>157</v>
      </c>
      <c r="K57" s="4">
        <v>1</v>
      </c>
    </row>
    <row r="58" spans="1:12" ht="51" x14ac:dyDescent="0.15">
      <c r="A58" s="24"/>
      <c r="B58" s="25" t="s">
        <v>158</v>
      </c>
      <c r="C58" s="26" t="s">
        <v>159</v>
      </c>
      <c r="D58" s="27"/>
      <c r="E58" s="28"/>
      <c r="F58" s="29" t="s">
        <v>24</v>
      </c>
      <c r="G58" s="30"/>
      <c r="H58" s="30">
        <f>ROUND(K11*G58,0)</f>
        <v>0</v>
      </c>
      <c r="I58" s="30">
        <f t="shared" si="0"/>
        <v>0</v>
      </c>
      <c r="J58" s="22" t="s">
        <v>160</v>
      </c>
      <c r="K58" s="4">
        <v>1</v>
      </c>
    </row>
    <row r="59" spans="1:12" ht="34" x14ac:dyDescent="0.15">
      <c r="A59" s="24"/>
      <c r="B59" s="25" t="s">
        <v>161</v>
      </c>
      <c r="C59" s="26" t="s">
        <v>162</v>
      </c>
      <c r="D59" s="27">
        <v>0.3</v>
      </c>
      <c r="E59" s="28"/>
      <c r="F59" s="29" t="str">
        <f>D59*100&amp;"%*("&amp;C48&amp;"+"&amp;C58&amp;")"</f>
        <v>30%*(Gtv13+Gtv33)</v>
      </c>
      <c r="G59" s="30"/>
      <c r="H59" s="30">
        <f>ROUND(K11*G59,0)</f>
        <v>0</v>
      </c>
      <c r="I59" s="30">
        <f t="shared" si="0"/>
        <v>0</v>
      </c>
      <c r="J59" s="22" t="s">
        <v>163</v>
      </c>
      <c r="K59" s="4">
        <v>1</v>
      </c>
    </row>
    <row r="60" spans="1:12" ht="34" x14ac:dyDescent="0.15">
      <c r="A60" s="24"/>
      <c r="B60" s="25" t="s">
        <v>164</v>
      </c>
      <c r="C60" s="26" t="s">
        <v>165</v>
      </c>
      <c r="D60" s="27">
        <v>0.6</v>
      </c>
      <c r="E60" s="28"/>
      <c r="F60" s="29" t="str">
        <f>D60*100&amp;"%*("&amp;C48&amp;"+"&amp;C58&amp;")"</f>
        <v>60%*(Gtv13+Gtv33)</v>
      </c>
      <c r="G60" s="30"/>
      <c r="H60" s="30">
        <f>ROUND(K11*G60,0)</f>
        <v>0</v>
      </c>
      <c r="I60" s="30">
        <f t="shared" si="0"/>
        <v>0</v>
      </c>
      <c r="J60" s="22" t="s">
        <v>166</v>
      </c>
      <c r="K60" s="4">
        <v>1</v>
      </c>
    </row>
    <row r="61" spans="1:12" ht="17" x14ac:dyDescent="0.15">
      <c r="A61" s="24"/>
      <c r="B61" s="25" t="s">
        <v>167</v>
      </c>
      <c r="C61" s="26" t="s">
        <v>168</v>
      </c>
      <c r="D61" s="27"/>
      <c r="E61" s="28"/>
      <c r="F61" s="29" t="s">
        <v>24</v>
      </c>
      <c r="G61" s="30"/>
      <c r="H61" s="30">
        <f>ROUND(K11*G61,0)</f>
        <v>0</v>
      </c>
      <c r="I61" s="30">
        <f t="shared" si="0"/>
        <v>0</v>
      </c>
      <c r="J61" s="22" t="s">
        <v>169</v>
      </c>
      <c r="K61" s="4">
        <v>1</v>
      </c>
    </row>
    <row r="62" spans="1:12" ht="34" x14ac:dyDescent="0.15">
      <c r="A62" s="24" t="s">
        <v>115</v>
      </c>
      <c r="B62" s="25" t="s">
        <v>170</v>
      </c>
      <c r="C62" s="26" t="s">
        <v>171</v>
      </c>
      <c r="D62" s="41">
        <f>'[1]Định mức tư vấn'!E15</f>
        <v>8.1600000000000006E-3</v>
      </c>
      <c r="E62" s="28"/>
      <c r="F62" s="29" t="s">
        <v>24</v>
      </c>
      <c r="G62" s="30">
        <f>ROUND(D62*SUMIF(K26:K61,1,G26:G61),0)</f>
        <v>154076</v>
      </c>
      <c r="H62" s="30">
        <f>ROUND(K11*G62,0)</f>
        <v>12326</v>
      </c>
      <c r="I62" s="30">
        <f t="shared" si="0"/>
        <v>166402</v>
      </c>
      <c r="J62" s="22" t="s">
        <v>172</v>
      </c>
      <c r="K62" s="4">
        <v>1</v>
      </c>
      <c r="L62" s="5">
        <f>SUMIF(K26:K61,1,G26:G61)</f>
        <v>18881853</v>
      </c>
    </row>
    <row r="63" spans="1:12" ht="17" x14ac:dyDescent="0.15">
      <c r="A63" s="15">
        <v>6</v>
      </c>
      <c r="B63" s="16" t="s">
        <v>173</v>
      </c>
      <c r="C63" s="17" t="s">
        <v>174</v>
      </c>
      <c r="D63" s="18"/>
      <c r="E63" s="19"/>
      <c r="F63" s="20" t="s">
        <v>175</v>
      </c>
      <c r="G63" s="21">
        <f>SUMIF(K64:K75,1,G64:G75)</f>
        <v>1145602</v>
      </c>
      <c r="H63" s="21">
        <f>SUMIF(K64:K75,1,H64:H75)</f>
        <v>91648</v>
      </c>
      <c r="I63" s="21">
        <f>SUMIF(K64:K75,1,I64:I75)</f>
        <v>1237250</v>
      </c>
      <c r="J63" s="22" t="s">
        <v>174</v>
      </c>
      <c r="K63" s="4">
        <v>1</v>
      </c>
    </row>
    <row r="64" spans="1:12" ht="17" x14ac:dyDescent="0.15">
      <c r="A64" s="24" t="s">
        <v>176</v>
      </c>
      <c r="B64" s="25" t="s">
        <v>177</v>
      </c>
      <c r="C64" s="26" t="s">
        <v>178</v>
      </c>
      <c r="D64" s="27"/>
      <c r="E64" s="28"/>
      <c r="F64" s="29" t="s">
        <v>24</v>
      </c>
      <c r="G64" s="30"/>
      <c r="H64" s="30">
        <f>ROUND(K11*G64,0)</f>
        <v>0</v>
      </c>
      <c r="I64" s="30">
        <f>G64+H64</f>
        <v>0</v>
      </c>
      <c r="J64" s="22" t="s">
        <v>179</v>
      </c>
      <c r="K64" s="4">
        <v>1</v>
      </c>
    </row>
    <row r="65" spans="1:11" ht="34" x14ac:dyDescent="0.15">
      <c r="A65" s="24"/>
      <c r="B65" s="25" t="s">
        <v>180</v>
      </c>
      <c r="C65" s="26" t="s">
        <v>181</v>
      </c>
      <c r="D65" s="27"/>
      <c r="E65" s="28"/>
      <c r="F65" s="29" t="s">
        <v>24</v>
      </c>
      <c r="G65" s="30"/>
      <c r="H65" s="30">
        <v>0</v>
      </c>
      <c r="I65" s="30">
        <v>0</v>
      </c>
      <c r="J65" s="22" t="s">
        <v>182</v>
      </c>
      <c r="K65" s="4">
        <v>1</v>
      </c>
    </row>
    <row r="66" spans="1:11" ht="34" x14ac:dyDescent="0.15">
      <c r="A66" s="24" t="s">
        <v>183</v>
      </c>
      <c r="B66" s="25" t="s">
        <v>184</v>
      </c>
      <c r="C66" s="26" t="s">
        <v>181</v>
      </c>
      <c r="D66" s="41">
        <f>'[1]Định mức tư vấn'!E11</f>
        <v>1.2600000000000001E-3</v>
      </c>
      <c r="E66" s="28"/>
      <c r="F66" s="29" t="str">
        <f>D66*100&amp;"% x "&amp;C14</f>
        <v>0,126% x Gxd</v>
      </c>
      <c r="G66" s="30">
        <f>ROUND(D66*G14,0)</f>
        <v>465982</v>
      </c>
      <c r="H66" s="30">
        <f>ROUND(K11*G66,0)</f>
        <v>37279</v>
      </c>
      <c r="I66" s="30">
        <f t="shared" ref="I66:I75" si="1">G66+H66</f>
        <v>503261</v>
      </c>
      <c r="J66" s="22" t="s">
        <v>185</v>
      </c>
      <c r="K66" s="4">
        <v>1</v>
      </c>
    </row>
    <row r="67" spans="1:11" ht="34" x14ac:dyDescent="0.15">
      <c r="A67" s="24" t="s">
        <v>186</v>
      </c>
      <c r="B67" s="25" t="s">
        <v>187</v>
      </c>
      <c r="C67" s="26" t="s">
        <v>188</v>
      </c>
      <c r="D67" s="41">
        <f>'[1]Định mức tư vấn'!E12</f>
        <v>1.2199999999999999E-3</v>
      </c>
      <c r="E67" s="28"/>
      <c r="F67" s="29" t="str">
        <f>D67*100&amp;"% x "&amp;C14</f>
        <v>0,122% x Gxd</v>
      </c>
      <c r="G67" s="30">
        <f>ROUND(D67*G14,0)</f>
        <v>451189</v>
      </c>
      <c r="H67" s="30">
        <f>ROUND(K11*G67,0)</f>
        <v>36095</v>
      </c>
      <c r="I67" s="30">
        <f t="shared" si="1"/>
        <v>487284</v>
      </c>
      <c r="J67" s="22" t="s">
        <v>189</v>
      </c>
      <c r="K67" s="4">
        <v>1</v>
      </c>
    </row>
    <row r="68" spans="1:11" ht="51" x14ac:dyDescent="0.15">
      <c r="A68" s="24"/>
      <c r="B68" s="25" t="s">
        <v>190</v>
      </c>
      <c r="C68" s="26" t="s">
        <v>191</v>
      </c>
      <c r="D68" s="27"/>
      <c r="E68" s="28"/>
      <c r="F68" s="29" t="s">
        <v>24</v>
      </c>
      <c r="G68" s="30"/>
      <c r="H68" s="30">
        <f>K11*G68</f>
        <v>0</v>
      </c>
      <c r="I68" s="30">
        <f t="shared" si="1"/>
        <v>0</v>
      </c>
      <c r="J68" s="22" t="s">
        <v>192</v>
      </c>
      <c r="K68" s="4">
        <v>1</v>
      </c>
    </row>
    <row r="69" spans="1:11" ht="34" x14ac:dyDescent="0.15">
      <c r="A69" s="24"/>
      <c r="B69" s="25" t="s">
        <v>193</v>
      </c>
      <c r="C69" s="26" t="s">
        <v>194</v>
      </c>
      <c r="D69" s="27"/>
      <c r="E69" s="28"/>
      <c r="F69" s="29" t="str">
        <f>D69*100&amp;"%*"&amp;C68</f>
        <v>0%*Gk5</v>
      </c>
      <c r="G69" s="30"/>
      <c r="H69" s="30">
        <f>K11*G69</f>
        <v>0</v>
      </c>
      <c r="I69" s="30">
        <f t="shared" si="1"/>
        <v>0</v>
      </c>
      <c r="J69" s="22" t="s">
        <v>195</v>
      </c>
      <c r="K69" s="4">
        <v>1</v>
      </c>
    </row>
    <row r="70" spans="1:11" ht="51" x14ac:dyDescent="0.15">
      <c r="A70" s="24"/>
      <c r="B70" s="25" t="s">
        <v>196</v>
      </c>
      <c r="C70" s="26" t="s">
        <v>197</v>
      </c>
      <c r="D70" s="27"/>
      <c r="E70" s="28"/>
      <c r="F70" s="29" t="s">
        <v>24</v>
      </c>
      <c r="G70" s="30"/>
      <c r="H70" s="30"/>
      <c r="I70" s="30">
        <f t="shared" si="1"/>
        <v>0</v>
      </c>
      <c r="J70" s="22" t="s">
        <v>198</v>
      </c>
    </row>
    <row r="71" spans="1:11" ht="34" x14ac:dyDescent="0.15">
      <c r="A71" s="24"/>
      <c r="B71" s="25" t="s">
        <v>199</v>
      </c>
      <c r="C71" s="26" t="s">
        <v>200</v>
      </c>
      <c r="D71" s="27"/>
      <c r="E71" s="28"/>
      <c r="F71" s="29" t="s">
        <v>24</v>
      </c>
      <c r="G71" s="30"/>
      <c r="H71" s="30"/>
      <c r="I71" s="30">
        <f t="shared" si="1"/>
        <v>0</v>
      </c>
      <c r="J71" s="22" t="s">
        <v>201</v>
      </c>
      <c r="K71" s="4">
        <v>1</v>
      </c>
    </row>
    <row r="72" spans="1:11" ht="17" x14ac:dyDescent="0.15">
      <c r="A72" s="24"/>
      <c r="B72" s="25" t="s">
        <v>202</v>
      </c>
      <c r="C72" s="26" t="s">
        <v>203</v>
      </c>
      <c r="D72" s="27"/>
      <c r="E72" s="28"/>
      <c r="F72" s="29" t="s">
        <v>24</v>
      </c>
      <c r="G72" s="30"/>
      <c r="H72" s="30">
        <f>K11*G72</f>
        <v>0</v>
      </c>
      <c r="I72" s="30">
        <f t="shared" si="1"/>
        <v>0</v>
      </c>
      <c r="J72" s="22" t="s">
        <v>204</v>
      </c>
      <c r="K72" s="4">
        <v>1</v>
      </c>
    </row>
    <row r="73" spans="1:11" ht="34" x14ac:dyDescent="0.15">
      <c r="A73" s="24" t="s">
        <v>205</v>
      </c>
      <c r="B73" s="25" t="s">
        <v>206</v>
      </c>
      <c r="C73" s="26" t="s">
        <v>207</v>
      </c>
      <c r="D73" s="27"/>
      <c r="E73" s="28"/>
      <c r="F73" s="29" t="str">
        <f>D73*100&amp;"%*"&amp;C13</f>
        <v>0%*Gcpxd</v>
      </c>
      <c r="G73" s="30">
        <f>ROUND(IF(E73=0,D73*G13,D73*E73*G13),0)</f>
        <v>0</v>
      </c>
      <c r="H73" s="30">
        <f>ROUND(K11*G73,0)</f>
        <v>0</v>
      </c>
      <c r="I73" s="30">
        <f t="shared" si="1"/>
        <v>0</v>
      </c>
      <c r="J73" s="22" t="s">
        <v>208</v>
      </c>
      <c r="K73" s="4">
        <v>1</v>
      </c>
    </row>
    <row r="74" spans="1:11" ht="68" x14ac:dyDescent="0.15">
      <c r="A74" s="24" t="s">
        <v>209</v>
      </c>
      <c r="B74" s="25" t="s">
        <v>210</v>
      </c>
      <c r="C74" s="26" t="s">
        <v>191</v>
      </c>
      <c r="D74" s="43">
        <v>1.2E-2</v>
      </c>
      <c r="E74" s="28"/>
      <c r="F74" s="29" t="str">
        <f>D74*100&amp;"%*"&amp;C25</f>
        <v>1,2%*Gtv</v>
      </c>
      <c r="G74" s="30">
        <f>ROUND(IF(E74=0,D74*G25,D74*E74*G25),0)</f>
        <v>228431</v>
      </c>
      <c r="H74" s="30">
        <f>ROUND(K11*G74,0)</f>
        <v>18274</v>
      </c>
      <c r="I74" s="30">
        <f t="shared" si="1"/>
        <v>246705</v>
      </c>
      <c r="J74" s="22" t="s">
        <v>211</v>
      </c>
      <c r="K74" s="4">
        <v>1</v>
      </c>
    </row>
    <row r="75" spans="1:11" ht="51" x14ac:dyDescent="0.15">
      <c r="A75" s="24" t="s">
        <v>212</v>
      </c>
      <c r="B75" s="25" t="s">
        <v>213</v>
      </c>
      <c r="C75" s="26" t="s">
        <v>194</v>
      </c>
      <c r="D75" s="27"/>
      <c r="E75" s="28"/>
      <c r="F75" s="29" t="str">
        <f>D75*100&amp;"%*"&amp;C57</f>
        <v>0%*Gtv18</v>
      </c>
      <c r="G75" s="30">
        <f>D75*G57</f>
        <v>0</v>
      </c>
      <c r="H75" s="30"/>
      <c r="I75" s="30">
        <f t="shared" si="1"/>
        <v>0</v>
      </c>
      <c r="J75" s="22" t="s">
        <v>214</v>
      </c>
      <c r="K75" s="4">
        <v>1</v>
      </c>
    </row>
    <row r="76" spans="1:11" ht="34" x14ac:dyDescent="0.15">
      <c r="A76" s="15">
        <v>7</v>
      </c>
      <c r="B76" s="16" t="s">
        <v>215</v>
      </c>
      <c r="C76" s="17" t="s">
        <v>216</v>
      </c>
      <c r="D76" s="18"/>
      <c r="E76" s="19"/>
      <c r="F76" s="20" t="s">
        <v>217</v>
      </c>
      <c r="G76" s="21">
        <f>SUM(G77:G78)</f>
        <v>0</v>
      </c>
      <c r="H76" s="21">
        <f>SUM(H77:H78)</f>
        <v>0</v>
      </c>
      <c r="I76" s="21">
        <f>SUM(I77:I78)</f>
        <v>0</v>
      </c>
      <c r="J76" s="22" t="s">
        <v>216</v>
      </c>
      <c r="K76" s="4">
        <v>1</v>
      </c>
    </row>
    <row r="77" spans="1:11" ht="68" x14ac:dyDescent="0.15">
      <c r="A77" s="24" t="s">
        <v>218</v>
      </c>
      <c r="B77" s="25" t="s">
        <v>219</v>
      </c>
      <c r="C77" s="26" t="s">
        <v>220</v>
      </c>
      <c r="D77" s="40">
        <v>0</v>
      </c>
      <c r="E77" s="28"/>
      <c r="F77" s="29" t="str">
        <f>D77*100&amp;"% x (Gcpxd+Gtb+Gqlda+Gtv+Gk)"</f>
        <v>0% x (Gcpxd+Gtb+Gqlda+Gtv+Gk)</v>
      </c>
      <c r="G77" s="30">
        <f>I77/(1+K11)</f>
        <v>0</v>
      </c>
      <c r="H77" s="30">
        <f>I77-G77</f>
        <v>0</v>
      </c>
      <c r="I77" s="30">
        <f>D77*(I13+I17+I23+I25+I63)</f>
        <v>0</v>
      </c>
      <c r="J77" s="22" t="s">
        <v>220</v>
      </c>
      <c r="K77" s="4">
        <v>1</v>
      </c>
    </row>
    <row r="78" spans="1:11" ht="34" x14ac:dyDescent="0.15">
      <c r="A78" s="24"/>
      <c r="B78" s="25" t="s">
        <v>221</v>
      </c>
      <c r="C78" s="26" t="s">
        <v>222</v>
      </c>
      <c r="D78" s="27"/>
      <c r="E78" s="28"/>
      <c r="F78" s="29"/>
      <c r="G78" s="30"/>
      <c r="H78" s="30">
        <f>I78-G78</f>
        <v>0</v>
      </c>
      <c r="I78" s="30"/>
      <c r="J78" s="22" t="s">
        <v>222</v>
      </c>
      <c r="K78" s="31">
        <f>I12+I13+I17+I23+I24+I25+I63</f>
        <v>432245415</v>
      </c>
    </row>
    <row r="79" spans="1:11" ht="17" x14ac:dyDescent="0.15">
      <c r="A79" s="15"/>
      <c r="B79" s="16" t="s">
        <v>223</v>
      </c>
      <c r="C79" s="17"/>
      <c r="D79" s="18"/>
      <c r="E79" s="19"/>
      <c r="F79" s="20" t="s">
        <v>24</v>
      </c>
      <c r="G79" s="21">
        <f>G12+G13+G17+G23+G24+G25+G63+G76</f>
        <v>400227236</v>
      </c>
      <c r="H79" s="21">
        <f>H12+H13+H17+H23+H24+H25+H63+H76</f>
        <v>32018179</v>
      </c>
      <c r="I79" s="21">
        <f>I12+I13+I17+I23+I24+I25+I63+I76</f>
        <v>432245415</v>
      </c>
      <c r="J79" s="22" t="s">
        <v>224</v>
      </c>
      <c r="K79" s="4">
        <v>1</v>
      </c>
    </row>
    <row r="80" spans="1:11" ht="34" x14ac:dyDescent="0.15">
      <c r="A80" s="15">
        <v>8</v>
      </c>
      <c r="B80" s="16" t="s">
        <v>225</v>
      </c>
      <c r="C80" s="17" t="s">
        <v>108</v>
      </c>
      <c r="D80" s="18"/>
      <c r="E80" s="19"/>
      <c r="F80" s="20" t="s">
        <v>226</v>
      </c>
      <c r="G80" s="21">
        <f>SUM(G81:G84)</f>
        <v>6736546</v>
      </c>
      <c r="H80" s="21">
        <f>SUM(H81:H84)</f>
        <v>538923</v>
      </c>
      <c r="I80" s="21">
        <f>SUM(I81:I84)</f>
        <v>7275469</v>
      </c>
      <c r="J80" s="22" t="s">
        <v>227</v>
      </c>
      <c r="K80" s="4">
        <v>1</v>
      </c>
    </row>
    <row r="81" spans="1:11" ht="51" x14ac:dyDescent="0.15">
      <c r="A81" s="24" t="s">
        <v>228</v>
      </c>
      <c r="B81" s="25" t="s">
        <v>190</v>
      </c>
      <c r="C81" s="26" t="s">
        <v>229</v>
      </c>
      <c r="D81" s="41">
        <f>'[1]Định mức tư vấn'!E16</f>
        <v>1.9000000000000001E-4</v>
      </c>
      <c r="E81" s="28"/>
      <c r="F81" s="29" t="s">
        <v>24</v>
      </c>
      <c r="G81" s="30">
        <f>ROUND(D81*I79,0)</f>
        <v>82127</v>
      </c>
      <c r="H81" s="30">
        <f>ROUND(K11*G81,0)</f>
        <v>6570</v>
      </c>
      <c r="I81" s="30">
        <f>G81+H81</f>
        <v>88697</v>
      </c>
      <c r="J81" s="22" t="s">
        <v>230</v>
      </c>
    </row>
    <row r="82" spans="1:11" ht="34" x14ac:dyDescent="0.15">
      <c r="A82" s="24" t="s">
        <v>231</v>
      </c>
      <c r="B82" s="25" t="s">
        <v>193</v>
      </c>
      <c r="C82" s="26" t="s">
        <v>232</v>
      </c>
      <c r="D82" s="40">
        <v>0.5</v>
      </c>
      <c r="E82" s="28"/>
      <c r="F82" s="29" t="str">
        <f>D82*100&amp;"%*"&amp;C81</f>
        <v>50%*Gkt1</v>
      </c>
      <c r="G82" s="30">
        <f>ROUND(D82*G81,0)</f>
        <v>41064</v>
      </c>
      <c r="H82" s="30">
        <f>ROUND(K11*G82,0)</f>
        <v>3285</v>
      </c>
      <c r="I82" s="30">
        <f>G82+H82</f>
        <v>44349</v>
      </c>
      <c r="J82" s="22" t="s">
        <v>233</v>
      </c>
      <c r="K82" s="4">
        <v>1</v>
      </c>
    </row>
    <row r="83" spans="1:11" ht="34" x14ac:dyDescent="0.15">
      <c r="A83" s="24" t="s">
        <v>234</v>
      </c>
      <c r="B83" s="25" t="s">
        <v>199</v>
      </c>
      <c r="C83" s="26" t="s">
        <v>235</v>
      </c>
      <c r="D83" s="42">
        <f>'[1]Định mức tư vấn'!E17</f>
        <v>5.7000000000000002E-3</v>
      </c>
      <c r="E83" s="28"/>
      <c r="F83" s="29" t="s">
        <v>24</v>
      </c>
      <c r="G83" s="30">
        <f>ROUND(D83*I79,0)</f>
        <v>2463799</v>
      </c>
      <c r="H83" s="30">
        <f>ROUND(K11*G83,0)</f>
        <v>197104</v>
      </c>
      <c r="I83" s="30">
        <f>G83+H83</f>
        <v>2660903</v>
      </c>
      <c r="J83" s="22" t="s">
        <v>236</v>
      </c>
    </row>
    <row r="84" spans="1:11" ht="17" x14ac:dyDescent="0.15">
      <c r="A84" s="24" t="s">
        <v>237</v>
      </c>
      <c r="B84" s="25" t="s">
        <v>202</v>
      </c>
      <c r="C84" s="26" t="s">
        <v>238</v>
      </c>
      <c r="D84" s="42">
        <f>'[1]Định mức tư vấn'!E18</f>
        <v>9.5999999999999992E-3</v>
      </c>
      <c r="E84" s="28"/>
      <c r="F84" s="29" t="s">
        <v>24</v>
      </c>
      <c r="G84" s="30">
        <f>ROUND(D84*I79,0)</f>
        <v>4149556</v>
      </c>
      <c r="H84" s="30">
        <f>ROUND(K11*G84,0)</f>
        <v>331964</v>
      </c>
      <c r="I84" s="30">
        <f>G84+H84</f>
        <v>4481520</v>
      </c>
      <c r="J84" s="22" t="s">
        <v>239</v>
      </c>
    </row>
    <row r="85" spans="1:11" ht="34" x14ac:dyDescent="0.15">
      <c r="A85" s="15"/>
      <c r="B85" s="16" t="s">
        <v>240</v>
      </c>
      <c r="C85" s="17"/>
      <c r="D85" s="18"/>
      <c r="E85" s="19"/>
      <c r="F85" s="20" t="s">
        <v>24</v>
      </c>
      <c r="G85" s="21">
        <f>G79+G80</f>
        <v>406963782</v>
      </c>
      <c r="H85" s="21">
        <f>H79+H80</f>
        <v>32557102</v>
      </c>
      <c r="I85" s="21">
        <f>I79+I80</f>
        <v>439520884</v>
      </c>
      <c r="J85" s="22" t="s">
        <v>241</v>
      </c>
      <c r="K85" s="4">
        <v>1</v>
      </c>
    </row>
    <row r="86" spans="1:11" ht="34" x14ac:dyDescent="0.15">
      <c r="A86" s="44"/>
      <c r="B86" s="45" t="s">
        <v>242</v>
      </c>
      <c r="C86" s="46" t="s">
        <v>224</v>
      </c>
      <c r="D86" s="47"/>
      <c r="E86" s="48"/>
      <c r="F86" s="49" t="s">
        <v>24</v>
      </c>
      <c r="G86" s="50"/>
      <c r="H86" s="50"/>
      <c r="I86" s="50">
        <f>ROUND(I85,-3)</f>
        <v>439521000</v>
      </c>
      <c r="J86" s="22" t="s">
        <v>243</v>
      </c>
      <c r="K86" s="4">
        <v>1</v>
      </c>
    </row>
    <row r="87" spans="1:11" ht="17" customHeight="1" x14ac:dyDescent="0.15">
      <c r="A87" s="51" t="s">
        <v>244</v>
      </c>
      <c r="B87" s="52"/>
      <c r="C87" s="52"/>
      <c r="D87" s="53"/>
      <c r="E87" s="53"/>
      <c r="F87" s="53"/>
      <c r="G87" s="53"/>
      <c r="H87" s="53"/>
      <c r="I87" s="54"/>
    </row>
  </sheetData>
  <mergeCells count="12">
    <mergeCell ref="A7:I7"/>
    <mergeCell ref="A8:I8"/>
    <mergeCell ref="A9:I9"/>
    <mergeCell ref="A10:I10"/>
    <mergeCell ref="L10:N10"/>
    <mergeCell ref="A87:I87"/>
    <mergeCell ref="A1:I1"/>
    <mergeCell ref="A2:I2"/>
    <mergeCell ref="A3:I3"/>
    <mergeCell ref="A4:I4"/>
    <mergeCell ref="A5:I5"/>
    <mergeCell ref="A6:I6"/>
  </mergeCells>
  <pageMargins left="1.1875" right="0" top="0.80208333333333337" bottom="0.80208333333333337" header="0.40625" footer="0.40625"/>
  <pageSetup paperSize="9" scale="72" fitToHeight="3" orientation="portrait" blackAndWhite="1" useFirstPageNumber="1" horizontalDpi="0" verticalDpi="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 kinh phí</vt:lpstr>
      <vt:lpstr>'TH kinh phí'!Print_Area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2025-05-05T07:57:05Z</dcterms:created>
  <dcterms:modified xsi:type="dcterms:W3CDTF">2025-05-05T07:58:24Z</dcterms:modified>
</cp:coreProperties>
</file>