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8. HANG\1. PHONG DU AN\6. DA 2026\1. CONG TRINH DAT LUA\THI CONG DINH SON\"/>
    </mc:Choice>
  </mc:AlternateContent>
  <bookViews>
    <workbookView xWindow="0" yWindow="0" windowWidth="28800" windowHeight="12330"/>
  </bookViews>
  <sheets>
    <sheet name="Tổng hợp VT" sheetId="1" r:id="rId1"/>
  </sheets>
  <externalReferences>
    <externalReference r:id="rId2"/>
  </externalReferences>
  <definedNames>
    <definedName name="_xlnm.Print_Area" localSheetId="0">'Tổng hợp VT'!$A$1:$R$93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  <c r="H4" i="1"/>
  <c r="I4" i="1"/>
  <c r="K4" i="1"/>
  <c r="L4" i="1"/>
  <c r="M4" i="1"/>
  <c r="N4" i="1"/>
  <c r="O4" i="1"/>
  <c r="P4" i="1"/>
  <c r="Q4" i="1"/>
  <c r="R4" i="1"/>
  <c r="B6" i="1"/>
  <c r="C6" i="1"/>
  <c r="D6" i="1"/>
  <c r="E6" i="1"/>
  <c r="F6" i="1"/>
  <c r="H6" i="1"/>
  <c r="K6" i="1"/>
  <c r="S6" i="1"/>
  <c r="U6" i="1"/>
  <c r="B7" i="1"/>
  <c r="C7" i="1"/>
  <c r="D7" i="1"/>
  <c r="E7" i="1"/>
  <c r="F7" i="1"/>
  <c r="H7" i="1"/>
  <c r="K7" i="1"/>
  <c r="S7" i="1"/>
  <c r="U7" i="1"/>
  <c r="B8" i="1"/>
  <c r="C8" i="1"/>
  <c r="D8" i="1"/>
  <c r="E8" i="1"/>
  <c r="I8" i="1" s="1"/>
  <c r="F8" i="1"/>
  <c r="G8" i="1"/>
  <c r="H8" i="1"/>
  <c r="K8" i="1"/>
  <c r="S8" i="1"/>
  <c r="U8" i="1"/>
  <c r="B9" i="1"/>
  <c r="C9" i="1"/>
  <c r="D9" i="1"/>
  <c r="E9" i="1"/>
  <c r="I9" i="1" s="1"/>
  <c r="F9" i="1"/>
  <c r="G9" i="1"/>
  <c r="H9" i="1"/>
  <c r="K9" i="1"/>
  <c r="S9" i="1"/>
  <c r="U9" i="1"/>
  <c r="B10" i="1"/>
  <c r="C10" i="1"/>
  <c r="D10" i="1"/>
  <c r="E10" i="1"/>
  <c r="L10" i="1" s="1"/>
  <c r="F10" i="1"/>
  <c r="G10" i="1"/>
  <c r="H10" i="1"/>
  <c r="I10" i="1"/>
  <c r="K10" i="1"/>
  <c r="S10" i="1"/>
  <c r="U10" i="1"/>
  <c r="B11" i="1"/>
  <c r="C11" i="1"/>
  <c r="D11" i="1"/>
  <c r="E11" i="1"/>
  <c r="L11" i="1" s="1"/>
  <c r="F11" i="1"/>
  <c r="G11" i="1" s="1"/>
  <c r="H11" i="1"/>
  <c r="I11" i="1"/>
  <c r="K11" i="1"/>
  <c r="S11" i="1"/>
  <c r="U11" i="1"/>
  <c r="B12" i="1"/>
  <c r="C12" i="1"/>
  <c r="D12" i="1"/>
  <c r="E12" i="1"/>
  <c r="F12" i="1"/>
  <c r="G12" i="1" s="1"/>
  <c r="H12" i="1"/>
  <c r="I12" i="1"/>
  <c r="K12" i="1"/>
  <c r="L12" i="1"/>
  <c r="S12" i="1"/>
  <c r="U12" i="1"/>
  <c r="B13" i="1"/>
  <c r="C13" i="1"/>
  <c r="D13" i="1"/>
  <c r="E13" i="1"/>
  <c r="F13" i="1"/>
  <c r="G13" i="1" s="1"/>
  <c r="H13" i="1"/>
  <c r="S13" i="1"/>
  <c r="U13" i="1"/>
  <c r="B14" i="1"/>
  <c r="C14" i="1"/>
  <c r="D14" i="1"/>
  <c r="E14" i="1"/>
  <c r="F14" i="1"/>
  <c r="H14" i="1"/>
  <c r="S14" i="1"/>
  <c r="U14" i="1"/>
  <c r="B15" i="1"/>
  <c r="C15" i="1"/>
  <c r="D15" i="1"/>
  <c r="E15" i="1"/>
  <c r="L15" i="1" s="1"/>
  <c r="F15" i="1"/>
  <c r="H15" i="1"/>
  <c r="K15" i="1"/>
  <c r="S15" i="1"/>
  <c r="U15" i="1"/>
  <c r="B16" i="1"/>
  <c r="C16" i="1"/>
  <c r="D16" i="1"/>
  <c r="E16" i="1"/>
  <c r="I16" i="1" s="1"/>
  <c r="F16" i="1"/>
  <c r="G16" i="1"/>
  <c r="H16" i="1"/>
  <c r="K16" i="1"/>
  <c r="S16" i="1"/>
  <c r="U16" i="1"/>
  <c r="B17" i="1"/>
  <c r="C17" i="1"/>
  <c r="D17" i="1"/>
  <c r="E17" i="1"/>
  <c r="I17" i="1" s="1"/>
  <c r="F17" i="1"/>
  <c r="G17" i="1"/>
  <c r="H17" i="1"/>
  <c r="K17" i="1"/>
  <c r="S17" i="1"/>
  <c r="U17" i="1"/>
  <c r="B18" i="1"/>
  <c r="C18" i="1"/>
  <c r="D18" i="1"/>
  <c r="E18" i="1"/>
  <c r="L18" i="1" s="1"/>
  <c r="F18" i="1"/>
  <c r="G18" i="1"/>
  <c r="H18" i="1"/>
  <c r="I18" i="1"/>
  <c r="K18" i="1"/>
  <c r="S18" i="1"/>
  <c r="U18" i="1"/>
  <c r="B19" i="1"/>
  <c r="C19" i="1"/>
  <c r="D19" i="1"/>
  <c r="E19" i="1"/>
  <c r="L19" i="1" s="1"/>
  <c r="F19" i="1"/>
  <c r="H19" i="1"/>
  <c r="I19" i="1"/>
  <c r="K19" i="1"/>
  <c r="S19" i="1"/>
  <c r="U19" i="1"/>
  <c r="B20" i="1"/>
  <c r="C20" i="1"/>
  <c r="D20" i="1"/>
  <c r="E20" i="1"/>
  <c r="F20" i="1"/>
  <c r="G20" i="1" s="1"/>
  <c r="H20" i="1"/>
  <c r="I20" i="1"/>
  <c r="K20" i="1"/>
  <c r="L20" i="1"/>
  <c r="S20" i="1"/>
  <c r="U20" i="1"/>
  <c r="G21" i="1"/>
  <c r="B24" i="1"/>
  <c r="C24" i="1"/>
  <c r="D24" i="1"/>
  <c r="E24" i="1"/>
  <c r="I24" i="1" s="1"/>
  <c r="F24" i="1"/>
  <c r="G24" i="1"/>
  <c r="H24" i="1"/>
  <c r="O24" i="1" s="1"/>
  <c r="K24" i="1"/>
  <c r="S24" i="1"/>
  <c r="B25" i="1"/>
  <c r="C25" i="1"/>
  <c r="D25" i="1"/>
  <c r="E25" i="1"/>
  <c r="G25" i="1" s="1"/>
  <c r="F25" i="1"/>
  <c r="H25" i="1"/>
  <c r="S25" i="1"/>
  <c r="B26" i="1"/>
  <c r="C26" i="1"/>
  <c r="D26" i="1"/>
  <c r="E26" i="1"/>
  <c r="L26" i="1" s="1"/>
  <c r="F26" i="1"/>
  <c r="G26" i="1"/>
  <c r="H26" i="1"/>
  <c r="I26" i="1"/>
  <c r="K26" i="1"/>
  <c r="O26" i="1"/>
  <c r="Q26" i="1" s="1"/>
  <c r="P26" i="1"/>
  <c r="R26" i="1"/>
  <c r="S26" i="1"/>
  <c r="B27" i="1"/>
  <c r="C27" i="1"/>
  <c r="D27" i="1"/>
  <c r="E27" i="1"/>
  <c r="L27" i="1" s="1"/>
  <c r="F27" i="1"/>
  <c r="H27" i="1"/>
  <c r="O27" i="1" s="1"/>
  <c r="K27" i="1"/>
  <c r="S27" i="1"/>
  <c r="B28" i="1"/>
  <c r="C28" i="1"/>
  <c r="D28" i="1"/>
  <c r="E28" i="1"/>
  <c r="F28" i="1"/>
  <c r="G28" i="1" s="1"/>
  <c r="R28" i="1" s="1"/>
  <c r="H28" i="1"/>
  <c r="I28" i="1"/>
  <c r="K28" i="1"/>
  <c r="L28" i="1"/>
  <c r="O28" i="1"/>
  <c r="P28" i="1"/>
  <c r="Q28" i="1"/>
  <c r="S28" i="1"/>
  <c r="N29" i="1"/>
  <c r="B31" i="1"/>
  <c r="C31" i="1"/>
  <c r="D31" i="1"/>
  <c r="E31" i="1"/>
  <c r="F31" i="1"/>
  <c r="H31" i="1"/>
  <c r="I31" i="1"/>
  <c r="K31" i="1"/>
  <c r="N31" i="1"/>
  <c r="O31" i="1"/>
  <c r="P31" i="1"/>
  <c r="S31" i="1"/>
  <c r="B32" i="1"/>
  <c r="C32" i="1"/>
  <c r="D32" i="1"/>
  <c r="E32" i="1"/>
  <c r="G32" i="1" s="1"/>
  <c r="F32" i="1"/>
  <c r="H32" i="1"/>
  <c r="K32" i="1"/>
  <c r="O32" i="1"/>
  <c r="Q32" i="1" s="1"/>
  <c r="P32" i="1"/>
  <c r="R32" i="1" s="1"/>
  <c r="S32" i="1"/>
  <c r="B33" i="1"/>
  <c r="C33" i="1"/>
  <c r="D33" i="1"/>
  <c r="E33" i="1"/>
  <c r="G33" i="1" s="1"/>
  <c r="F33" i="1"/>
  <c r="H33" i="1"/>
  <c r="K33" i="1"/>
  <c r="O33" i="1"/>
  <c r="P33" i="1"/>
  <c r="S33" i="1"/>
  <c r="B34" i="1"/>
  <c r="C34" i="1"/>
  <c r="D34" i="1"/>
  <c r="E34" i="1"/>
  <c r="F34" i="1"/>
  <c r="H34" i="1"/>
  <c r="K34" i="1"/>
  <c r="O34" i="1"/>
  <c r="P34" i="1"/>
  <c r="S34" i="1"/>
  <c r="B35" i="1"/>
  <c r="C35" i="1"/>
  <c r="D35" i="1"/>
  <c r="E35" i="1"/>
  <c r="F35" i="1"/>
  <c r="H35" i="1"/>
  <c r="K35" i="1"/>
  <c r="O35" i="1"/>
  <c r="Q35" i="1" s="1"/>
  <c r="P35" i="1"/>
  <c r="S35" i="1"/>
  <c r="B36" i="1"/>
  <c r="C36" i="1"/>
  <c r="D36" i="1"/>
  <c r="E36" i="1"/>
  <c r="G36" i="1" s="1"/>
  <c r="F36" i="1"/>
  <c r="H36" i="1"/>
  <c r="K36" i="1"/>
  <c r="O36" i="1"/>
  <c r="Q36" i="1" s="1"/>
  <c r="P36" i="1"/>
  <c r="R36" i="1" s="1"/>
  <c r="S36" i="1"/>
  <c r="B37" i="1"/>
  <c r="C37" i="1"/>
  <c r="D37" i="1"/>
  <c r="E37" i="1"/>
  <c r="G37" i="1" s="1"/>
  <c r="F37" i="1"/>
  <c r="H37" i="1"/>
  <c r="K37" i="1"/>
  <c r="O37" i="1"/>
  <c r="P37" i="1"/>
  <c r="S37" i="1"/>
  <c r="B38" i="1"/>
  <c r="C38" i="1"/>
  <c r="D38" i="1"/>
  <c r="E38" i="1"/>
  <c r="F38" i="1"/>
  <c r="H38" i="1"/>
  <c r="K38" i="1"/>
  <c r="O38" i="1"/>
  <c r="P38" i="1"/>
  <c r="S38" i="1"/>
  <c r="B39" i="1"/>
  <c r="C39" i="1"/>
  <c r="D39" i="1"/>
  <c r="E39" i="1"/>
  <c r="F39" i="1"/>
  <c r="H39" i="1"/>
  <c r="K39" i="1"/>
  <c r="O39" i="1"/>
  <c r="Q39" i="1" s="1"/>
  <c r="P39" i="1"/>
  <c r="S39" i="1"/>
  <c r="B40" i="1"/>
  <c r="C40" i="1"/>
  <c r="D40" i="1"/>
  <c r="E40" i="1"/>
  <c r="G40" i="1" s="1"/>
  <c r="F40" i="1"/>
  <c r="H40" i="1"/>
  <c r="K40" i="1"/>
  <c r="O40" i="1"/>
  <c r="Q40" i="1" s="1"/>
  <c r="P40" i="1"/>
  <c r="R40" i="1" s="1"/>
  <c r="S40" i="1"/>
  <c r="B41" i="1"/>
  <c r="C41" i="1"/>
  <c r="D41" i="1"/>
  <c r="E41" i="1"/>
  <c r="G41" i="1" s="1"/>
  <c r="F41" i="1"/>
  <c r="H41" i="1"/>
  <c r="K41" i="1"/>
  <c r="O41" i="1"/>
  <c r="P41" i="1"/>
  <c r="S41" i="1"/>
  <c r="G42" i="1"/>
  <c r="P42" i="1"/>
  <c r="R42" i="1"/>
  <c r="A44" i="1"/>
  <c r="A47" i="1"/>
  <c r="B47" i="1"/>
  <c r="C47" i="1"/>
  <c r="D47" i="1"/>
  <c r="E47" i="1"/>
  <c r="F47" i="1"/>
  <c r="G47" i="1"/>
  <c r="H47" i="1"/>
  <c r="I47" i="1"/>
  <c r="J47" i="1"/>
  <c r="K47" i="1"/>
  <c r="L47" i="1"/>
  <c r="M47" i="1"/>
  <c r="O47" i="1"/>
  <c r="P47" i="1"/>
  <c r="Q47" i="1"/>
  <c r="R47" i="1"/>
  <c r="S47" i="1"/>
  <c r="B49" i="1"/>
  <c r="C49" i="1"/>
  <c r="D49" i="1"/>
  <c r="E49" i="1"/>
  <c r="F49" i="1"/>
  <c r="G49" i="1"/>
  <c r="H49" i="1"/>
  <c r="I49" i="1" s="1"/>
  <c r="S49" i="1"/>
  <c r="U49" i="1"/>
  <c r="B50" i="1"/>
  <c r="C50" i="1"/>
  <c r="D50" i="1"/>
  <c r="E50" i="1"/>
  <c r="F50" i="1"/>
  <c r="H50" i="1"/>
  <c r="K50" i="1"/>
  <c r="S50" i="1"/>
  <c r="U50" i="1"/>
  <c r="B51" i="1"/>
  <c r="C51" i="1"/>
  <c r="D51" i="1"/>
  <c r="E51" i="1"/>
  <c r="F51" i="1"/>
  <c r="G51" i="1"/>
  <c r="H51" i="1"/>
  <c r="I51" i="1"/>
  <c r="K51" i="1"/>
  <c r="L51" i="1" s="1"/>
  <c r="S51" i="1"/>
  <c r="U51" i="1"/>
  <c r="B52" i="1"/>
  <c r="C52" i="1"/>
  <c r="D52" i="1"/>
  <c r="E52" i="1"/>
  <c r="I52" i="1" s="1"/>
  <c r="F52" i="1"/>
  <c r="G52" i="1"/>
  <c r="H52" i="1"/>
  <c r="S52" i="1"/>
  <c r="U52" i="1"/>
  <c r="B53" i="1"/>
  <c r="C53" i="1"/>
  <c r="D53" i="1"/>
  <c r="E53" i="1"/>
  <c r="F53" i="1"/>
  <c r="H53" i="1"/>
  <c r="S53" i="1"/>
  <c r="U53" i="1"/>
  <c r="B54" i="1"/>
  <c r="C54" i="1"/>
  <c r="D54" i="1"/>
  <c r="E54" i="1"/>
  <c r="L54" i="1" s="1"/>
  <c r="F54" i="1"/>
  <c r="H54" i="1"/>
  <c r="I54" i="1"/>
  <c r="K54" i="1"/>
  <c r="S54" i="1"/>
  <c r="U54" i="1"/>
  <c r="B55" i="1"/>
  <c r="C55" i="1"/>
  <c r="D55" i="1"/>
  <c r="E55" i="1"/>
  <c r="I55" i="1" s="1"/>
  <c r="F55" i="1"/>
  <c r="G55" i="1"/>
  <c r="H55" i="1"/>
  <c r="K55" i="1"/>
  <c r="S55" i="1"/>
  <c r="U55" i="1"/>
  <c r="G56" i="1"/>
  <c r="B59" i="1"/>
  <c r="C59" i="1"/>
  <c r="D59" i="1"/>
  <c r="E59" i="1"/>
  <c r="G59" i="1" s="1"/>
  <c r="F59" i="1"/>
  <c r="H59" i="1"/>
  <c r="O59" i="1" s="1"/>
  <c r="I59" i="1"/>
  <c r="K59" i="1"/>
  <c r="L59" i="1" s="1"/>
  <c r="S59" i="1"/>
  <c r="B60" i="1"/>
  <c r="C60" i="1"/>
  <c r="D60" i="1"/>
  <c r="E60" i="1"/>
  <c r="F60" i="1"/>
  <c r="G60" i="1"/>
  <c r="H60" i="1"/>
  <c r="I60" i="1" s="1"/>
  <c r="K60" i="1"/>
  <c r="L60" i="1"/>
  <c r="O60" i="1"/>
  <c r="S60" i="1"/>
  <c r="B61" i="1"/>
  <c r="C61" i="1"/>
  <c r="D61" i="1"/>
  <c r="E61" i="1"/>
  <c r="F61" i="1"/>
  <c r="H61" i="1"/>
  <c r="K61" i="1" s="1"/>
  <c r="O61" i="1"/>
  <c r="Q61" i="1" s="1"/>
  <c r="P61" i="1"/>
  <c r="S61" i="1"/>
  <c r="B62" i="1"/>
  <c r="C62" i="1"/>
  <c r="D62" i="1"/>
  <c r="E62" i="1"/>
  <c r="F62" i="1"/>
  <c r="H62" i="1"/>
  <c r="K62" i="1" s="1"/>
  <c r="O62" i="1"/>
  <c r="Q62" i="1"/>
  <c r="S62" i="1"/>
  <c r="N63" i="1"/>
  <c r="B65" i="1"/>
  <c r="C65" i="1"/>
  <c r="D65" i="1"/>
  <c r="E65" i="1"/>
  <c r="F65" i="1"/>
  <c r="G65" i="1"/>
  <c r="H65" i="1"/>
  <c r="N65" i="1"/>
  <c r="S65" i="1"/>
  <c r="B66" i="1"/>
  <c r="C66" i="1"/>
  <c r="D66" i="1"/>
  <c r="E66" i="1"/>
  <c r="F66" i="1"/>
  <c r="H66" i="1"/>
  <c r="I66" i="1"/>
  <c r="S66" i="1"/>
  <c r="B67" i="1"/>
  <c r="C67" i="1"/>
  <c r="D67" i="1"/>
  <c r="E67" i="1"/>
  <c r="F67" i="1"/>
  <c r="H67" i="1"/>
  <c r="I67" i="1" s="1"/>
  <c r="S67" i="1"/>
  <c r="B68" i="1"/>
  <c r="C68" i="1"/>
  <c r="D68" i="1"/>
  <c r="E68" i="1"/>
  <c r="F68" i="1"/>
  <c r="H68" i="1"/>
  <c r="I68" i="1"/>
  <c r="S68" i="1"/>
  <c r="B69" i="1"/>
  <c r="C69" i="1"/>
  <c r="D69" i="1"/>
  <c r="E69" i="1"/>
  <c r="F69" i="1"/>
  <c r="H69" i="1"/>
  <c r="I69" i="1" s="1"/>
  <c r="S69" i="1"/>
  <c r="B70" i="1"/>
  <c r="C70" i="1"/>
  <c r="D70" i="1"/>
  <c r="E70" i="1"/>
  <c r="F70" i="1"/>
  <c r="H70" i="1"/>
  <c r="I70" i="1" s="1"/>
  <c r="S70" i="1"/>
  <c r="B71" i="1"/>
  <c r="C71" i="1"/>
  <c r="D71" i="1"/>
  <c r="E71" i="1"/>
  <c r="F71" i="1"/>
  <c r="H71" i="1"/>
  <c r="I71" i="1"/>
  <c r="S71" i="1"/>
  <c r="A73" i="1"/>
  <c r="A76" i="1"/>
  <c r="B76" i="1"/>
  <c r="C76" i="1"/>
  <c r="D76" i="1"/>
  <c r="E76" i="1"/>
  <c r="F76" i="1"/>
  <c r="G76" i="1"/>
  <c r="H76" i="1"/>
  <c r="I76" i="1"/>
  <c r="J76" i="1"/>
  <c r="K76" i="1"/>
  <c r="L76" i="1"/>
  <c r="M76" i="1"/>
  <c r="O76" i="1"/>
  <c r="P76" i="1"/>
  <c r="Q76" i="1"/>
  <c r="R76" i="1"/>
  <c r="S76" i="1"/>
  <c r="B78" i="1"/>
  <c r="C78" i="1"/>
  <c r="D78" i="1"/>
  <c r="E78" i="1"/>
  <c r="I78" i="1" s="1"/>
  <c r="F78" i="1"/>
  <c r="G78" i="1"/>
  <c r="H78" i="1"/>
  <c r="K78" i="1"/>
  <c r="L78" i="1"/>
  <c r="S78" i="1"/>
  <c r="U78" i="1"/>
  <c r="B79" i="1"/>
  <c r="C79" i="1"/>
  <c r="D79" i="1"/>
  <c r="E79" i="1"/>
  <c r="I79" i="1" s="1"/>
  <c r="F79" i="1"/>
  <c r="G79" i="1"/>
  <c r="H79" i="1"/>
  <c r="S79" i="1"/>
  <c r="U79" i="1"/>
  <c r="B80" i="1"/>
  <c r="C80" i="1"/>
  <c r="D80" i="1"/>
  <c r="E80" i="1"/>
  <c r="F80" i="1"/>
  <c r="H80" i="1"/>
  <c r="I80" i="1"/>
  <c r="S80" i="1"/>
  <c r="U80" i="1"/>
  <c r="B81" i="1"/>
  <c r="C81" i="1"/>
  <c r="D81" i="1"/>
  <c r="E81" i="1"/>
  <c r="F81" i="1"/>
  <c r="H81" i="1"/>
  <c r="K81" i="1"/>
  <c r="S81" i="1"/>
  <c r="U81" i="1"/>
  <c r="B82" i="1"/>
  <c r="C82" i="1"/>
  <c r="D82" i="1"/>
  <c r="E82" i="1"/>
  <c r="F82" i="1"/>
  <c r="G82" i="1"/>
  <c r="H82" i="1"/>
  <c r="I82" i="1"/>
  <c r="K82" i="1"/>
  <c r="S82" i="1"/>
  <c r="U82" i="1"/>
  <c r="G83" i="1"/>
  <c r="B86" i="1"/>
  <c r="C86" i="1"/>
  <c r="D86" i="1"/>
  <c r="E86" i="1"/>
  <c r="I86" i="1" s="1"/>
  <c r="F86" i="1"/>
  <c r="G86" i="1"/>
  <c r="H86" i="1"/>
  <c r="O86" i="1" s="1"/>
  <c r="P86" i="1" s="1"/>
  <c r="R86" i="1" s="1"/>
  <c r="K86" i="1"/>
  <c r="L86" i="1"/>
  <c r="Q86" i="1"/>
  <c r="S86" i="1"/>
  <c r="B87" i="1"/>
  <c r="C87" i="1"/>
  <c r="D87" i="1"/>
  <c r="E87" i="1"/>
  <c r="F87" i="1"/>
  <c r="G87" i="1"/>
  <c r="H87" i="1"/>
  <c r="S87" i="1"/>
  <c r="N88" i="1"/>
  <c r="B90" i="1"/>
  <c r="C90" i="1"/>
  <c r="D90" i="1"/>
  <c r="E90" i="1"/>
  <c r="N90" i="1" s="1"/>
  <c r="N93" i="1" s="1"/>
  <c r="F90" i="1"/>
  <c r="G90" i="1"/>
  <c r="G93" i="1" s="1"/>
  <c r="H90" i="1"/>
  <c r="I90" i="1"/>
  <c r="K90" i="1"/>
  <c r="L90" i="1" s="1"/>
  <c r="L93" i="1" s="1"/>
  <c r="O90" i="1"/>
  <c r="Q90" i="1"/>
  <c r="S90" i="1"/>
  <c r="B91" i="1"/>
  <c r="C91" i="1"/>
  <c r="D91" i="1"/>
  <c r="E91" i="1"/>
  <c r="N91" i="1" s="1"/>
  <c r="F91" i="1"/>
  <c r="G91" i="1"/>
  <c r="H91" i="1"/>
  <c r="K91" i="1"/>
  <c r="L91" i="1"/>
  <c r="O91" i="1"/>
  <c r="Q91" i="1"/>
  <c r="S91" i="1"/>
  <c r="G92" i="1"/>
  <c r="P92" i="1"/>
  <c r="R92" i="1" s="1"/>
  <c r="T18" i="1"/>
  <c r="M18" i="1" s="1"/>
  <c r="T82" i="1" l="1"/>
  <c r="M82" i="1" s="1"/>
  <c r="T8" i="1"/>
  <c r="M8" i="1" s="1"/>
  <c r="T15" i="1"/>
  <c r="M15" i="1" s="1"/>
  <c r="O15" i="1" s="1"/>
  <c r="P15" i="1" s="1"/>
  <c r="T10" i="1"/>
  <c r="M10" i="1" s="1"/>
  <c r="T55" i="1"/>
  <c r="M55" i="1" s="1"/>
  <c r="T20" i="1"/>
  <c r="M20" i="1" s="1"/>
  <c r="N18" i="1"/>
  <c r="T7" i="1"/>
  <c r="M7" i="1" s="1"/>
  <c r="O7" i="1" s="1"/>
  <c r="P7" i="1" s="1"/>
  <c r="N82" i="1"/>
  <c r="O82" i="1"/>
  <c r="T6" i="1"/>
  <c r="M6" i="1" s="1"/>
  <c r="T51" i="1"/>
  <c r="M51" i="1" s="1"/>
  <c r="T12" i="1"/>
  <c r="M12" i="1" s="1"/>
  <c r="T16" i="1"/>
  <c r="M16" i="1" s="1"/>
  <c r="T11" i="1"/>
  <c r="M11" i="1" s="1"/>
  <c r="L63" i="1"/>
  <c r="T81" i="1"/>
  <c r="M81" i="1" s="1"/>
  <c r="N81" i="1" s="1"/>
  <c r="T78" i="1"/>
  <c r="M78" i="1" s="1"/>
  <c r="K65" i="1"/>
  <c r="O65" i="1"/>
  <c r="G62" i="1"/>
  <c r="I62" i="1"/>
  <c r="L62" i="1"/>
  <c r="O18" i="1"/>
  <c r="G6" i="1"/>
  <c r="I6" i="1"/>
  <c r="L6" i="1"/>
  <c r="N47" i="1"/>
  <c r="N76" i="1"/>
  <c r="I87" i="1"/>
  <c r="I88" i="1" s="1"/>
  <c r="K87" i="1"/>
  <c r="L87" i="1" s="1"/>
  <c r="O87" i="1"/>
  <c r="K71" i="1"/>
  <c r="L71" i="1" s="1"/>
  <c r="O71" i="1"/>
  <c r="G61" i="1"/>
  <c r="R61" i="1" s="1"/>
  <c r="I61" i="1"/>
  <c r="I63" i="1" s="1"/>
  <c r="L61" i="1"/>
  <c r="G38" i="1"/>
  <c r="G34" i="1"/>
  <c r="G31" i="1"/>
  <c r="L82" i="1"/>
  <c r="K70" i="1"/>
  <c r="O70" i="1"/>
  <c r="G53" i="1"/>
  <c r="I53" i="1"/>
  <c r="K52" i="1"/>
  <c r="R31" i="1"/>
  <c r="P43" i="1"/>
  <c r="I25" i="1"/>
  <c r="K25" i="1"/>
  <c r="O25" i="1"/>
  <c r="I13" i="1"/>
  <c r="K13" i="1"/>
  <c r="L88" i="1"/>
  <c r="G81" i="1"/>
  <c r="I81" i="1"/>
  <c r="I84" i="1" s="1"/>
  <c r="L81" i="1"/>
  <c r="K69" i="1"/>
  <c r="O69" i="1"/>
  <c r="L65" i="1"/>
  <c r="Q31" i="1"/>
  <c r="P24" i="1"/>
  <c r="Q24" i="1"/>
  <c r="G14" i="1"/>
  <c r="I14" i="1"/>
  <c r="T54" i="1"/>
  <c r="M54" i="1" s="1"/>
  <c r="N54" i="1" s="1"/>
  <c r="T19" i="1"/>
  <c r="M19" i="1" s="1"/>
  <c r="K80" i="1"/>
  <c r="L70" i="1"/>
  <c r="K68" i="1"/>
  <c r="O68" i="1"/>
  <c r="P62" i="1"/>
  <c r="R62" i="1" s="1"/>
  <c r="P59" i="1"/>
  <c r="Q59" i="1"/>
  <c r="R38" i="1"/>
  <c r="R34" i="1"/>
  <c r="N6" i="1"/>
  <c r="L69" i="1"/>
  <c r="K67" i="1"/>
  <c r="O67" i="1"/>
  <c r="P67" i="1" s="1"/>
  <c r="R67" i="1" s="1"/>
  <c r="G50" i="1"/>
  <c r="G57" i="1" s="1"/>
  <c r="I50" i="1"/>
  <c r="I57" i="1" s="1"/>
  <c r="L50" i="1"/>
  <c r="Q38" i="1"/>
  <c r="Q34" i="1"/>
  <c r="G88" i="1"/>
  <c r="L80" i="1"/>
  <c r="L68" i="1"/>
  <c r="K66" i="1"/>
  <c r="L66" i="1" s="1"/>
  <c r="O66" i="1"/>
  <c r="P60" i="1"/>
  <c r="R60" i="1" s="1"/>
  <c r="Q60" i="1"/>
  <c r="G63" i="1"/>
  <c r="K49" i="1"/>
  <c r="R41" i="1"/>
  <c r="R37" i="1"/>
  <c r="R33" i="1"/>
  <c r="P27" i="1"/>
  <c r="R27" i="1" s="1"/>
  <c r="Q27" i="1"/>
  <c r="G19" i="1"/>
  <c r="O16" i="1"/>
  <c r="L7" i="1"/>
  <c r="L67" i="1"/>
  <c r="I65" i="1"/>
  <c r="I72" i="1" s="1"/>
  <c r="Q41" i="1"/>
  <c r="G39" i="1"/>
  <c r="R39" i="1" s="1"/>
  <c r="Q37" i="1"/>
  <c r="G35" i="1"/>
  <c r="R35" i="1" s="1"/>
  <c r="Q33" i="1"/>
  <c r="I27" i="1"/>
  <c r="I29" i="1" s="1"/>
  <c r="L17" i="1"/>
  <c r="I15" i="1"/>
  <c r="L9" i="1"/>
  <c r="I7" i="1"/>
  <c r="I91" i="1"/>
  <c r="I93" i="1" s="1"/>
  <c r="G80" i="1"/>
  <c r="G84" i="1" s="1"/>
  <c r="K79" i="1"/>
  <c r="G71" i="1"/>
  <c r="G70" i="1"/>
  <c r="G69" i="1"/>
  <c r="G68" i="1"/>
  <c r="G67" i="1"/>
  <c r="G66" i="1"/>
  <c r="G72" i="1" s="1"/>
  <c r="N41" i="1"/>
  <c r="N40" i="1"/>
  <c r="N39" i="1"/>
  <c r="N38" i="1"/>
  <c r="N37" i="1"/>
  <c r="N36" i="1"/>
  <c r="N35" i="1"/>
  <c r="N34" i="1"/>
  <c r="N33" i="1"/>
  <c r="N32" i="1"/>
  <c r="N43" i="1" s="1"/>
  <c r="P71" i="1"/>
  <c r="P70" i="1"/>
  <c r="R70" i="1" s="1"/>
  <c r="P69" i="1"/>
  <c r="R69" i="1" s="1"/>
  <c r="P68" i="1"/>
  <c r="R68" i="1" s="1"/>
  <c r="P66" i="1"/>
  <c r="R66" i="1" s="1"/>
  <c r="P65" i="1"/>
  <c r="G54" i="1"/>
  <c r="K53" i="1"/>
  <c r="L53" i="1" s="1"/>
  <c r="L41" i="1"/>
  <c r="L40" i="1"/>
  <c r="L39" i="1"/>
  <c r="L38" i="1"/>
  <c r="L37" i="1"/>
  <c r="L36" i="1"/>
  <c r="L35" i="1"/>
  <c r="L34" i="1"/>
  <c r="L33" i="1"/>
  <c r="L32" i="1"/>
  <c r="L31" i="1"/>
  <c r="G27" i="1"/>
  <c r="G29" i="1" s="1"/>
  <c r="G15" i="1"/>
  <c r="K14" i="1"/>
  <c r="G7" i="1"/>
  <c r="L55" i="1"/>
  <c r="L24" i="1"/>
  <c r="L16" i="1"/>
  <c r="L8" i="1"/>
  <c r="P91" i="1"/>
  <c r="R91" i="1" s="1"/>
  <c r="P90" i="1"/>
  <c r="N71" i="1"/>
  <c r="N70" i="1"/>
  <c r="N69" i="1"/>
  <c r="N68" i="1"/>
  <c r="N67" i="1"/>
  <c r="N66" i="1"/>
  <c r="N72" i="1" s="1"/>
  <c r="I41" i="1"/>
  <c r="I40" i="1"/>
  <c r="I39" i="1"/>
  <c r="I38" i="1"/>
  <c r="I37" i="1"/>
  <c r="I36" i="1"/>
  <c r="I35" i="1"/>
  <c r="I34" i="1"/>
  <c r="I33" i="1"/>
  <c r="I32" i="1"/>
  <c r="O6" i="1" l="1"/>
  <c r="P6" i="1" s="1"/>
  <c r="T17" i="1"/>
  <c r="M17" i="1" s="1"/>
  <c r="R6" i="1"/>
  <c r="P72" i="1"/>
  <c r="R65" i="1"/>
  <c r="L43" i="1"/>
  <c r="O54" i="1"/>
  <c r="L72" i="1"/>
  <c r="G43" i="1"/>
  <c r="Q71" i="1"/>
  <c r="I22" i="1"/>
  <c r="N51" i="1"/>
  <c r="O51" i="1"/>
  <c r="N8" i="1"/>
  <c r="O8" i="1"/>
  <c r="Q67" i="1"/>
  <c r="Q69" i="1"/>
  <c r="Q65" i="1"/>
  <c r="T50" i="1"/>
  <c r="M50" i="1" s="1"/>
  <c r="T9" i="1"/>
  <c r="M9" i="1" s="1"/>
  <c r="Q6" i="1"/>
  <c r="R43" i="1"/>
  <c r="P87" i="1"/>
  <c r="Q87" i="1"/>
  <c r="G22" i="1"/>
  <c r="P82" i="1"/>
  <c r="R82" i="1" s="1"/>
  <c r="Q82" i="1"/>
  <c r="N15" i="1"/>
  <c r="R7" i="1"/>
  <c r="L49" i="1"/>
  <c r="Q15" i="1"/>
  <c r="I43" i="1"/>
  <c r="R90" i="1"/>
  <c r="R93" i="1" s="1"/>
  <c r="P93" i="1"/>
  <c r="R71" i="1"/>
  <c r="Q16" i="1"/>
  <c r="P16" i="1"/>
  <c r="R16" i="1" s="1"/>
  <c r="Q66" i="1"/>
  <c r="L13" i="1"/>
  <c r="Q70" i="1"/>
  <c r="P18" i="1"/>
  <c r="R18" i="1" s="1"/>
  <c r="Q18" i="1"/>
  <c r="O81" i="1"/>
  <c r="N11" i="1"/>
  <c r="O11" i="1"/>
  <c r="N10" i="1"/>
  <c r="O10" i="1"/>
  <c r="R59" i="1"/>
  <c r="R63" i="1" s="1"/>
  <c r="P63" i="1"/>
  <c r="N19" i="1"/>
  <c r="O19" i="1"/>
  <c r="R24" i="1"/>
  <c r="R15" i="1"/>
  <c r="L79" i="1"/>
  <c r="L84" i="1" s="1"/>
  <c r="P25" i="1"/>
  <c r="R25" i="1" s="1"/>
  <c r="Q25" i="1"/>
  <c r="N20" i="1"/>
  <c r="O20" i="1"/>
  <c r="Q7" i="1"/>
  <c r="Q68" i="1"/>
  <c r="L14" i="1"/>
  <c r="L22" i="1" s="1"/>
  <c r="L25" i="1"/>
  <c r="L29" i="1" s="1"/>
  <c r="L52" i="1"/>
  <c r="N78" i="1"/>
  <c r="O78" i="1"/>
  <c r="N16" i="1"/>
  <c r="N12" i="1"/>
  <c r="O12" i="1"/>
  <c r="N7" i="1"/>
  <c r="N55" i="1"/>
  <c r="O55" i="1"/>
  <c r="N17" i="1" l="1"/>
  <c r="O17" i="1"/>
  <c r="Q78" i="1"/>
  <c r="P78" i="1"/>
  <c r="P10" i="1"/>
  <c r="R10" i="1" s="1"/>
  <c r="Q10" i="1"/>
  <c r="R87" i="1"/>
  <c r="R88" i="1" s="1"/>
  <c r="P88" i="1"/>
  <c r="R29" i="1"/>
  <c r="P20" i="1"/>
  <c r="R20" i="1" s="1"/>
  <c r="Q20" i="1"/>
  <c r="P29" i="1"/>
  <c r="P12" i="1"/>
  <c r="R12" i="1" s="1"/>
  <c r="Q12" i="1"/>
  <c r="P11" i="1"/>
  <c r="R11" i="1" s="1"/>
  <c r="Q11" i="1"/>
  <c r="L57" i="1"/>
  <c r="P19" i="1"/>
  <c r="R19" i="1" s="1"/>
  <c r="Q19" i="1"/>
  <c r="N9" i="1"/>
  <c r="O9" i="1"/>
  <c r="R72" i="1"/>
  <c r="Q55" i="1"/>
  <c r="P55" i="1"/>
  <c r="R55" i="1" s="1"/>
  <c r="O50" i="1"/>
  <c r="N50" i="1"/>
  <c r="Q81" i="1"/>
  <c r="P81" i="1"/>
  <c r="R81" i="1" s="1"/>
  <c r="Q8" i="1"/>
  <c r="P8" i="1"/>
  <c r="P51" i="1"/>
  <c r="R51" i="1" s="1"/>
  <c r="Q51" i="1"/>
  <c r="Q54" i="1"/>
  <c r="P54" i="1"/>
  <c r="R54" i="1" s="1"/>
  <c r="Q17" i="1" l="1"/>
  <c r="P17" i="1"/>
  <c r="R17" i="1" s="1"/>
  <c r="T80" i="1"/>
  <c r="M80" i="1" s="1"/>
  <c r="R8" i="1"/>
  <c r="P9" i="1"/>
  <c r="R9" i="1" s="1"/>
  <c r="Q9" i="1"/>
  <c r="T13" i="1"/>
  <c r="M13" i="1" s="1"/>
  <c r="T14" i="1"/>
  <c r="M14" i="1" s="1"/>
  <c r="T53" i="1"/>
  <c r="M53" i="1" s="1"/>
  <c r="P56" i="1"/>
  <c r="R56" i="1" s="1"/>
  <c r="T52" i="1"/>
  <c r="M52" i="1" s="1"/>
  <c r="R78" i="1"/>
  <c r="T79" i="1"/>
  <c r="M79" i="1" s="1"/>
  <c r="T49" i="1"/>
  <c r="M49" i="1" s="1"/>
  <c r="Q50" i="1"/>
  <c r="P50" i="1"/>
  <c r="R50" i="1" s="1"/>
  <c r="P21" i="1" l="1"/>
  <c r="P83" i="1"/>
  <c r="R83" i="1" s="1"/>
  <c r="N80" i="1"/>
  <c r="O80" i="1"/>
  <c r="R21" i="1"/>
  <c r="N13" i="1"/>
  <c r="O13" i="1"/>
  <c r="N79" i="1"/>
  <c r="N84" i="1" s="1"/>
  <c r="O79" i="1"/>
  <c r="N14" i="1"/>
  <c r="N22" i="1" s="1"/>
  <c r="O14" i="1"/>
  <c r="N52" i="1"/>
  <c r="O52" i="1"/>
  <c r="N49" i="1"/>
  <c r="O49" i="1"/>
  <c r="N53" i="1"/>
  <c r="O53" i="1"/>
  <c r="P52" i="1" l="1"/>
  <c r="R52" i="1" s="1"/>
  <c r="Q52" i="1"/>
  <c r="P13" i="1"/>
  <c r="Q13" i="1"/>
  <c r="Q80" i="1"/>
  <c r="P80" i="1"/>
  <c r="R80" i="1" s="1"/>
  <c r="N57" i="1"/>
  <c r="Q14" i="1"/>
  <c r="P14" i="1"/>
  <c r="R14" i="1" s="1"/>
  <c r="P79" i="1"/>
  <c r="Q79" i="1"/>
  <c r="Q53" i="1"/>
  <c r="P53" i="1"/>
  <c r="R53" i="1" s="1"/>
  <c r="P49" i="1"/>
  <c r="Q49" i="1"/>
  <c r="R79" i="1" l="1"/>
  <c r="R84" i="1" s="1"/>
  <c r="P84" i="1"/>
  <c r="P57" i="1"/>
  <c r="R49" i="1"/>
  <c r="R57" i="1" s="1"/>
  <c r="R13" i="1"/>
  <c r="R22" i="1" s="1"/>
  <c r="P22" i="1"/>
</calcChain>
</file>

<file path=xl/sharedStrings.xml><?xml version="1.0" encoding="utf-8"?>
<sst xmlns="http://schemas.openxmlformats.org/spreadsheetml/2006/main" count="58" uniqueCount="29">
  <si>
    <t>TỔNG MÁY THI CÔNG</t>
  </si>
  <si>
    <t>%</t>
  </si>
  <si>
    <t>Máy khác</t>
  </si>
  <si>
    <t>M999</t>
  </si>
  <si>
    <t>MÁY THI CÔNG</t>
  </si>
  <si>
    <t>III</t>
  </si>
  <si>
    <t>TỔNG NHÂN CÔNG</t>
  </si>
  <si>
    <t>NHÂN CÔNG</t>
  </si>
  <si>
    <t>II</t>
  </si>
  <si>
    <t>TỔNG VẬT LIỆU</t>
  </si>
  <si>
    <t>Vật liệu khác</t>
  </si>
  <si>
    <t>Z999</t>
  </si>
  <si>
    <t>VẬT LIỆU</t>
  </si>
  <si>
    <t>I</t>
  </si>
  <si>
    <t>KHẢO SÁT KÊNH TƯỚI</t>
  </si>
  <si>
    <t>CÔNG TRÌNH : SỬA CHỮA KÊNH TƯỚI SAU TRẠM BƠM AN TIẾN, KÊNH TƯỚI SAU TRẠM BƠM TRẦN PHÚ</t>
  </si>
  <si>
    <t>Vât liệu khác</t>
  </si>
  <si>
    <t>SỬA CHỮA KÊNH TƯỚI SAU TRẠM BƠM TRẦN PHÚ</t>
  </si>
  <si>
    <t>Cước bộ</t>
  </si>
  <si>
    <t>Cước ôtô
Cước sông</t>
  </si>
  <si>
    <t>Ghi chú, Nguồn gốc xuất xứ</t>
  </si>
  <si>
    <t>Hệ số</t>
  </si>
  <si>
    <t>Khối lượng</t>
  </si>
  <si>
    <t>Đơn vị</t>
  </si>
  <si>
    <t>Tên vật tư</t>
  </si>
  <si>
    <t>Mã số</t>
  </si>
  <si>
    <t>STT</t>
  </si>
  <si>
    <t>SỬA CHỮA KÊNH TƯỚI SAU TRẠM BƠM AN TIẾN</t>
  </si>
  <si>
    <t xml:space="preserve">BẢNG TỔNG HỢP VẬT TƯ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</si>
</sst>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##0;\-#,##0.####0"/>
    <numFmt numFmtId="165" formatCode="#,##0.###0;\-#,##0.###0"/>
    <numFmt numFmtId="166" formatCode="#,##0.0000_ ;\-#,##0.0000\ "/>
  </numFmts>
  <fonts count="6" x14ac:knownFonts="1">
    <font>
      <sz val="8.25"/>
      <name val="Microsoft Sans Serif"/>
    </font>
    <font>
      <b/>
      <sz val="15"/>
      <name val="Times New Roman"/>
      <family val="1"/>
    </font>
    <font>
      <b/>
      <sz val="8"/>
      <name val="Arial"/>
      <family val="2"/>
    </font>
    <font>
      <sz val="11"/>
      <name val="Arial Narrow"/>
      <family val="2"/>
    </font>
    <font>
      <b/>
      <sz val="12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35"/>
      </patternFill>
    </fill>
    <fill>
      <patternFill patternType="solid">
        <fgColor indexed="33"/>
      </patternFill>
    </fill>
  </fills>
  <borders count="7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protection locked="0"/>
    </xf>
  </cellStyleXfs>
  <cellXfs count="30">
    <xf numFmtId="0" fontId="0" fillId="0" borderId="0" xfId="0">
      <protection locked="0"/>
    </xf>
    <xf numFmtId="0" fontId="1" fillId="0" borderId="0" xfId="0" applyFont="1" applyAlignment="1">
      <alignment horizontal="center" vertical="center" wrapText="1"/>
      <protection locked="0"/>
    </xf>
    <xf numFmtId="3" fontId="2" fillId="0" borderId="1" xfId="0" applyNumberFormat="1" applyFont="1" applyBorder="1" applyAlignment="1">
      <alignment vertical="center" wrapText="1"/>
      <protection locked="0"/>
    </xf>
    <xf numFmtId="0" fontId="3" fillId="0" borderId="0" xfId="0" applyFont="1" applyAlignment="1">
      <alignment vertical="center" wrapText="1"/>
      <protection locked="0"/>
    </xf>
    <xf numFmtId="0" fontId="3" fillId="0" borderId="0" xfId="0" applyFont="1" applyAlignment="1">
      <alignment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5" fillId="3" borderId="6" xfId="0" applyFont="1" applyFill="1" applyBorder="1" applyAlignment="1">
      <alignment horizontal="center" vertical="center" wrapText="1"/>
      <protection locked="0"/>
    </xf>
    <xf numFmtId="0" fontId="5" fillId="3" borderId="5" xfId="0" applyFont="1" applyFill="1" applyBorder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  <protection locked="0"/>
    </xf>
    <xf numFmtId="165" fontId="2" fillId="0" borderId="3" xfId="0" applyNumberFormat="1" applyFont="1" applyBorder="1" applyAlignment="1">
      <alignment horizontal="center" vertical="center" wrapText="1"/>
      <protection locked="0"/>
    </xf>
    <xf numFmtId="3" fontId="2" fillId="0" borderId="3" xfId="0" applyNumberFormat="1" applyFont="1" applyBorder="1" applyAlignment="1">
      <alignment horizontal="center" vertical="center" wrapText="1"/>
      <protection locked="0"/>
    </xf>
    <xf numFmtId="3" fontId="2" fillId="2" borderId="3" xfId="0" applyNumberFormat="1" applyFont="1" applyFill="1" applyBorder="1" applyAlignment="1">
      <alignment horizontal="center" vertical="center" wrapText="1"/>
      <protection locked="0"/>
    </xf>
    <xf numFmtId="164" fontId="2" fillId="0" borderId="3" xfId="0" applyNumberFormat="1" applyFont="1" applyBorder="1" applyAlignment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  <protection locked="0"/>
    </xf>
    <xf numFmtId="0" fontId="3" fillId="0" borderId="3" xfId="0" applyFont="1" applyBorder="1" applyAlignment="1">
      <alignment vertical="center" wrapText="1"/>
      <protection locked="0"/>
    </xf>
    <xf numFmtId="165" fontId="3" fillId="0" borderId="3" xfId="0" applyNumberFormat="1" applyFont="1" applyBorder="1" applyAlignment="1">
      <alignment vertical="center" wrapText="1"/>
      <protection locked="0"/>
    </xf>
    <xf numFmtId="3" fontId="3" fillId="0" borderId="3" xfId="0" applyNumberFormat="1" applyFont="1" applyBorder="1" applyAlignment="1">
      <alignment vertical="center" wrapText="1"/>
      <protection locked="0"/>
    </xf>
    <xf numFmtId="3" fontId="3" fillId="2" borderId="3" xfId="0" applyNumberFormat="1" applyFont="1" applyFill="1" applyBorder="1" applyAlignment="1">
      <alignment vertical="center" wrapText="1"/>
      <protection locked="0"/>
    </xf>
    <xf numFmtId="164" fontId="3" fillId="0" borderId="3" xfId="0" applyNumberFormat="1" applyFont="1" applyBorder="1" applyAlignment="1">
      <alignment vertical="center" wrapText="1"/>
      <protection locked="0"/>
    </xf>
    <xf numFmtId="0" fontId="2" fillId="0" borderId="2" xfId="0" applyFont="1" applyBorder="1" applyAlignment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  <protection locked="0"/>
    </xf>
    <xf numFmtId="165" fontId="2" fillId="0" borderId="1" xfId="0" applyNumberFormat="1" applyFont="1" applyBorder="1" applyAlignment="1">
      <alignment vertical="center" wrapText="1"/>
      <protection locked="0"/>
    </xf>
    <xf numFmtId="3" fontId="2" fillId="2" borderId="1" xfId="0" applyNumberFormat="1" applyFont="1" applyFill="1" applyBorder="1" applyAlignment="1">
      <alignment vertical="center" wrapText="1"/>
      <protection locked="0"/>
    </xf>
    <xf numFmtId="164" fontId="2" fillId="0" borderId="1" xfId="0" applyNumberFormat="1" applyFont="1" applyBorder="1" applyAlignment="1">
      <alignment vertical="center" wrapText="1"/>
      <protection locked="0"/>
    </xf>
    <xf numFmtId="166" fontId="3" fillId="0" borderId="0" xfId="0" applyNumberFormat="1" applyFont="1" applyAlignment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T%20An%20Tien%201/DT%20An%20Tien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xz"/>
      <sheetName val="TH kinh phí"/>
      <sheetName val="THKP hạng mục"/>
      <sheetName val="Giá tổng hợp"/>
      <sheetName val="Đầu vào"/>
      <sheetName val="Công trình"/>
      <sheetName val="Giá tháng"/>
      <sheetName val="Nhân công"/>
      <sheetName val="Máy"/>
      <sheetName val="HaoPhiVatTu"/>
      <sheetName val="THVT gộp"/>
      <sheetName val="Cước VC"/>
      <sheetName val="Cước bộ"/>
      <sheetName val="Đơn giá chi tiết"/>
      <sheetName val="TH chi phí XD"/>
      <sheetName val="TH chi phí TB"/>
      <sheetName val="HM chung"/>
      <sheetName val="Dự phòng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1"/>
      <sheetData sheetId="2"/>
      <sheetData sheetId="3"/>
      <sheetData sheetId="4"/>
      <sheetData sheetId="5">
        <row r="1">
          <cell r="AM1" t="str">
            <v>(đ)</v>
          </cell>
        </row>
      </sheetData>
      <sheetData sheetId="6">
        <row r="6">
          <cell r="B6" t="str">
            <v>A24.1042</v>
          </cell>
          <cell r="C6" t="str">
            <v>Cát</v>
          </cell>
          <cell r="D6" t="str">
            <v>m3</v>
          </cell>
          <cell r="E6">
            <v>140000</v>
          </cell>
          <cell r="F6">
            <v>305000</v>
          </cell>
          <cell r="K6" t="str">
            <v>Áp theo "Cát san lấp" trong Thông báo giá VL số: 320/2026/TB-SXD của Sở XD TP Hải Phòng ngày 08/05/2026. Vùng: 11</v>
          </cell>
        </row>
        <row r="7">
          <cell r="B7" t="str">
            <v>A24.0175</v>
          </cell>
          <cell r="C7" t="str">
            <v>Cát mịn ML=0,7-1,4</v>
          </cell>
          <cell r="D7" t="str">
            <v>m3</v>
          </cell>
          <cell r="E7">
            <v>400000</v>
          </cell>
          <cell r="F7">
            <v>576000</v>
          </cell>
          <cell r="K7" t="str">
            <v>Áp theo "Cát xây, trát ML=1,5-2,0, ML=0,7-1,4" trong Thông báo giá VL số: 320/2026/TB-SXD của Sở XD TP Hải Phòng ngày 08/05/2026. Vùng: 11</v>
          </cell>
        </row>
        <row r="8">
          <cell r="B8" t="str">
            <v>A24.0176</v>
          </cell>
          <cell r="C8" t="str">
            <v>Cát mịn Ml=1,5-2</v>
          </cell>
          <cell r="D8" t="str">
            <v>m3</v>
          </cell>
          <cell r="E8">
            <v>400000</v>
          </cell>
          <cell r="F8">
            <v>576000</v>
          </cell>
          <cell r="K8" t="str">
            <v>Áp theo "Cát xây, trát ML=1,5-2,0, ML=0,7-1,4" trong Thông báo giá VL số: 320/2026/TB-SXD của Sở XD TP Hải Phòng ngày 08/05/2026. Vùng: 11</v>
          </cell>
        </row>
        <row r="9">
          <cell r="B9" t="str">
            <v>A24.0176</v>
          </cell>
          <cell r="C9" t="str">
            <v>Cát mịn ML=1,5-2,0</v>
          </cell>
          <cell r="D9" t="str">
            <v>m3</v>
          </cell>
          <cell r="E9">
            <v>400000</v>
          </cell>
          <cell r="F9">
            <v>576000</v>
          </cell>
          <cell r="K9" t="str">
            <v>Áp theo "Cát xây, trát ML=1,5-2,0, ML=0,7-1,4" trong Thông báo giá VL số: 320/2026/TB-SXD của Sở XD TP Hải Phòng ngày 08/05/2026. Vùng: 11</v>
          </cell>
        </row>
        <row r="10">
          <cell r="B10" t="str">
            <v>A24.0180</v>
          </cell>
          <cell r="C10" t="str">
            <v>Cát vàng</v>
          </cell>
          <cell r="D10" t="str">
            <v>m3</v>
          </cell>
          <cell r="E10">
            <v>450000</v>
          </cell>
          <cell r="F10">
            <v>779000</v>
          </cell>
          <cell r="K10" t="str">
            <v>Áp theo "Cát bê tông ML&gt;2,0" trong Thông báo giá VL số: 320/2026/TB-SXD của Sở XD TP Hải Phòng ngày 08/05/2026. Vùng: 11</v>
          </cell>
        </row>
        <row r="11">
          <cell r="B11" t="str">
            <v>A28.0091</v>
          </cell>
          <cell r="C11" t="str">
            <v>Cọc gỗ (4x4x40) cm</v>
          </cell>
          <cell r="D11" t="str">
            <v>cái</v>
          </cell>
          <cell r="E11">
            <v>3000</v>
          </cell>
          <cell r="F11">
            <v>3000</v>
          </cell>
          <cell r="K11" t="str">
            <v/>
          </cell>
        </row>
        <row r="12">
          <cell r="B12" t="str">
            <v>A24.0227</v>
          </cell>
          <cell r="C12" t="str">
            <v>Cọc tre &gt;2,5m</v>
          </cell>
          <cell r="D12" t="str">
            <v>m</v>
          </cell>
          <cell r="E12">
            <v>3200</v>
          </cell>
          <cell r="F12">
            <v>8200</v>
          </cell>
          <cell r="K12" t="str">
            <v>Áp theo "Cọc tre L=2,5-2,8m; D=80-10mm cọc chọn" trong Thông báo giá VL số: 320/2026/TB-SXD của Sở XD TP Hải Phòng ngày 08/05/2026. Vùng: 11</v>
          </cell>
        </row>
        <row r="13">
          <cell r="B13" t="str">
            <v>A24.0293</v>
          </cell>
          <cell r="C13" t="str">
            <v>Dây thép</v>
          </cell>
          <cell r="D13" t="str">
            <v>kg</v>
          </cell>
          <cell r="E13">
            <v>20000</v>
          </cell>
          <cell r="F13">
            <v>20000</v>
          </cell>
          <cell r="K13" t="str">
            <v/>
          </cell>
        </row>
        <row r="14">
          <cell r="B14" t="str">
            <v>A24.0008</v>
          </cell>
          <cell r="C14" t="str">
            <v>Đá 1x2</v>
          </cell>
          <cell r="D14" t="str">
            <v>m3</v>
          </cell>
          <cell r="E14">
            <v>320000</v>
          </cell>
          <cell r="F14">
            <v>534000</v>
          </cell>
          <cell r="K14" t="str">
            <v>Áp theo "Đá 1x2" trong Thông báo giá VL số: 320/2026/TB-SXD của Sở XD TP Hải Phòng ngày 08/05/2026. Vùng: 11</v>
          </cell>
        </row>
        <row r="15">
          <cell r="B15" t="str">
            <v>A24.0383A</v>
          </cell>
          <cell r="C15" t="str">
            <v>Gạch đất sét nung 6,5x10,5x22</v>
          </cell>
          <cell r="D15" t="str">
            <v>viên</v>
          </cell>
          <cell r="E15">
            <v>900</v>
          </cell>
          <cell r="F15">
            <v>1770</v>
          </cell>
          <cell r="K15" t="str">
            <v/>
          </cell>
        </row>
        <row r="16">
          <cell r="B16" t="str">
            <v>A25.0199</v>
          </cell>
          <cell r="C16" t="str">
            <v>Gạch đất sét nung 6,5x10,5x22cm</v>
          </cell>
          <cell r="D16" t="str">
            <v>viên</v>
          </cell>
          <cell r="E16">
            <v>900</v>
          </cell>
          <cell r="F16">
            <v>1770</v>
          </cell>
          <cell r="K16" t="str">
            <v>Áp theo "Gạch tuynel Đông Triều (5,5x9,5x20,2) gạch đặc A1" trong Thông báo giá VL số: 320/2026/TB-SXD của Sở XD TP Hải Phòng ngày 08/05/2026. Vùng: 11</v>
          </cell>
        </row>
        <row r="17">
          <cell r="B17" t="str">
            <v>A28.0249</v>
          </cell>
          <cell r="C17" t="str">
            <v>Mốc bê tông đúc sẵn</v>
          </cell>
          <cell r="D17" t="str">
            <v>cái</v>
          </cell>
          <cell r="E17">
            <v>20000</v>
          </cell>
          <cell r="F17">
            <v>20000</v>
          </cell>
          <cell r="K17" t="str">
            <v/>
          </cell>
        </row>
        <row r="18">
          <cell r="B18" t="str">
            <v>A24.0524</v>
          </cell>
          <cell r="C18" t="str">
            <v>Nước</v>
          </cell>
          <cell r="D18" t="str">
            <v>lít</v>
          </cell>
          <cell r="E18">
            <v>12</v>
          </cell>
          <cell r="F18">
            <v>12</v>
          </cell>
          <cell r="K18" t="str">
            <v/>
          </cell>
        </row>
        <row r="19">
          <cell r="B19" t="str">
            <v>A24.0543</v>
          </cell>
          <cell r="C19" t="str">
            <v>Que hàn</v>
          </cell>
          <cell r="D19" t="str">
            <v>kg</v>
          </cell>
          <cell r="E19">
            <v>25000</v>
          </cell>
          <cell r="F19">
            <v>25000</v>
          </cell>
          <cell r="K19" t="str">
            <v/>
          </cell>
        </row>
        <row r="20">
          <cell r="B20" t="str">
            <v>A28.0298</v>
          </cell>
          <cell r="C20" t="str">
            <v>Sổ đo</v>
          </cell>
          <cell r="D20" t="str">
            <v>quyển</v>
          </cell>
          <cell r="E20">
            <v>5000</v>
          </cell>
          <cell r="F20">
            <v>5000</v>
          </cell>
          <cell r="K20" t="str">
            <v/>
          </cell>
        </row>
        <row r="21">
          <cell r="B21" t="str">
            <v>A28.0295</v>
          </cell>
          <cell r="C21" t="str">
            <v>Sơn đỏ + trắng</v>
          </cell>
          <cell r="D21" t="str">
            <v>kg</v>
          </cell>
          <cell r="E21">
            <v>41440</v>
          </cell>
          <cell r="F21">
            <v>41440</v>
          </cell>
          <cell r="K21" t="str">
            <v/>
          </cell>
        </row>
        <row r="22">
          <cell r="B22" t="str">
            <v>A24.0712</v>
          </cell>
          <cell r="C22" t="str">
            <v>Thép hình</v>
          </cell>
          <cell r="D22" t="str">
            <v>kg</v>
          </cell>
          <cell r="E22">
            <v>19250</v>
          </cell>
          <cell r="F22">
            <v>19250</v>
          </cell>
          <cell r="K22" t="str">
            <v/>
          </cell>
        </row>
        <row r="23">
          <cell r="B23" t="str">
            <v>A24.0726</v>
          </cell>
          <cell r="C23" t="str">
            <v>Thép tấm</v>
          </cell>
          <cell r="D23" t="str">
            <v>kg</v>
          </cell>
          <cell r="E23">
            <v>19250</v>
          </cell>
          <cell r="F23">
            <v>19250</v>
          </cell>
          <cell r="K23" t="str">
            <v/>
          </cell>
        </row>
        <row r="24">
          <cell r="B24" t="str">
            <v>A24.0738</v>
          </cell>
          <cell r="C24" t="str">
            <v>Thép tròn D&lt;=10mm</v>
          </cell>
          <cell r="D24" t="str">
            <v>kg</v>
          </cell>
          <cell r="E24">
            <v>19200</v>
          </cell>
          <cell r="F24">
            <v>15150</v>
          </cell>
          <cell r="K24" t="str">
            <v>Áp theo "Thép trơn CT3, CB240-T D6-T, D8-T cuộn (CT CP Gang thép Thái Nguyên)" trong Thông báo giá VL số: 320/2026/TB-SXD của Sở XD TP Hải Phòng ngày 08/05/2026. Vùng: 0</v>
          </cell>
        </row>
        <row r="25">
          <cell r="B25" t="str">
            <v>A24.0797A</v>
          </cell>
          <cell r="C25" t="str">
            <v>Xi măng PCB30</v>
          </cell>
          <cell r="D25" t="str">
            <v>kg</v>
          </cell>
          <cell r="E25">
            <v>1380</v>
          </cell>
          <cell r="F25">
            <v>1602.3150000000001</v>
          </cell>
          <cell r="K25" t="str">
            <v>Áp theo "Xi măng Hải Phòng PCB30 bao (VC đường bộ, từ ngày 7/4/2026)" trong Thông báo giá VL số: 320/2026/TB-SXD của Sở XD TP Hải Phòng ngày 08/05/2026. Vùng: 11</v>
          </cell>
        </row>
        <row r="26">
          <cell r="B26" t="str">
            <v>A28.0341</v>
          </cell>
          <cell r="C26" t="str">
            <v>Xi măng PCB30</v>
          </cell>
          <cell r="D26" t="str">
            <v>kg</v>
          </cell>
          <cell r="E26">
            <v>1380</v>
          </cell>
          <cell r="F26">
            <v>1602.3150000000001</v>
          </cell>
          <cell r="K26" t="str">
            <v>Áp theo "Xi măng Hải Phòng PCB30 bao (VC đường bộ, từ ngày 7/4/2026)" trong Thông báo giá VL số: 320/2026/TB-SXD của Sở XD TP Hải Phòng ngày 08/05/2026. Vùng: 11</v>
          </cell>
        </row>
        <row r="27">
          <cell r="B27" t="str">
            <v>A24.0796A</v>
          </cell>
          <cell r="C27" t="str">
            <v>Xi măng PCB40</v>
          </cell>
          <cell r="D27" t="str">
            <v>kg</v>
          </cell>
          <cell r="E27">
            <v>1398</v>
          </cell>
          <cell r="F27">
            <v>1620.8330000000001</v>
          </cell>
          <cell r="K27" t="str">
            <v>Áp theo "Xi măng Hải Phòng PCB40 bao (VC đường bộ, từ ngày 7/4/2026)" trong Thông báo giá VL số: 320/2026/TB-SXD của Sở XD TP Hải Phòng ngày 08/05/2026. Vùng: 11</v>
          </cell>
        </row>
        <row r="29">
          <cell r="B29" t="str">
            <v>NKS.40</v>
          </cell>
          <cell r="C29" t="str">
            <v>Kỹ sư 4,0/8</v>
          </cell>
          <cell r="D29" t="str">
            <v>công</v>
          </cell>
          <cell r="E29">
            <v>284000</v>
          </cell>
          <cell r="F29">
            <v>323000</v>
          </cell>
          <cell r="K29" t="str">
            <v>Được tính toán, rồi Link từ sheet Nhân công sang</v>
          </cell>
        </row>
        <row r="30">
          <cell r="B30" t="str">
            <v>N1.30</v>
          </cell>
          <cell r="C30" t="str">
            <v>Nhân công 3,0/7 - Nhóm 1</v>
          </cell>
          <cell r="D30" t="str">
            <v>công</v>
          </cell>
          <cell r="E30">
            <v>221303</v>
          </cell>
          <cell r="F30">
            <v>251480</v>
          </cell>
          <cell r="K30" t="str">
            <v>Được tính toán, rồi Link từ sheet Nhân công sang</v>
          </cell>
        </row>
        <row r="31">
          <cell r="B31" t="str">
            <v>N2.30</v>
          </cell>
          <cell r="C31" t="str">
            <v>Nhân công 3,0/7 - Nhóm 2</v>
          </cell>
          <cell r="D31" t="str">
            <v>công</v>
          </cell>
          <cell r="E31">
            <v>239592</v>
          </cell>
          <cell r="F31">
            <v>272513</v>
          </cell>
          <cell r="K31" t="str">
            <v>Được tính toán, rồi Link từ sheet Nhân công sang</v>
          </cell>
        </row>
        <row r="32">
          <cell r="B32" t="str">
            <v>N2.35</v>
          </cell>
          <cell r="C32" t="str">
            <v>Nhân công 3,5/7 - Nhóm 2</v>
          </cell>
          <cell r="D32" t="str">
            <v>công</v>
          </cell>
          <cell r="E32">
            <v>262000</v>
          </cell>
          <cell r="F32">
            <v>298000</v>
          </cell>
          <cell r="K32" t="str">
            <v>Được tính toán, rồi Link từ sheet Nhân công sang</v>
          </cell>
        </row>
        <row r="33">
          <cell r="B33" t="str">
            <v>N1.40</v>
          </cell>
          <cell r="C33" t="str">
            <v>Nhân công 4,0/7 - Nhóm 1</v>
          </cell>
          <cell r="D33" t="str">
            <v>công</v>
          </cell>
          <cell r="E33">
            <v>262697</v>
          </cell>
          <cell r="F33">
            <v>298520</v>
          </cell>
          <cell r="K33" t="str">
            <v>Được tính toán, rồi Link từ sheet Nhân công sang</v>
          </cell>
        </row>
        <row r="34">
          <cell r="B34" t="str">
            <v>N2.40</v>
          </cell>
          <cell r="C34" t="str">
            <v>Nhân công 4,0/7 - Nhóm 2</v>
          </cell>
          <cell r="D34" t="str">
            <v>công</v>
          </cell>
          <cell r="E34">
            <v>284408</v>
          </cell>
          <cell r="F34">
            <v>323487</v>
          </cell>
          <cell r="K34" t="str">
            <v>Được tính toán, rồi Link từ sheet Nhân công sang</v>
          </cell>
        </row>
        <row r="35">
          <cell r="B35" t="str">
            <v>N2.40</v>
          </cell>
          <cell r="C35" t="str">
            <v>Nhân công 4,0/7 - Nhóm 2</v>
          </cell>
          <cell r="D35" t="str">
            <v>công</v>
          </cell>
          <cell r="E35">
            <v>284408</v>
          </cell>
          <cell r="F35">
            <v>323487</v>
          </cell>
          <cell r="K35" t="str">
            <v>Được tính toán, rồi Link từ sheet Nhân công sang</v>
          </cell>
        </row>
        <row r="37">
          <cell r="B37" t="str">
            <v>M112.2902</v>
          </cell>
          <cell r="C37" t="str">
            <v>Búa căn khí nén (chưa tính khí nén) - tiêu hao khí nén : 3,0 m3/ph</v>
          </cell>
          <cell r="D37" t="str">
            <v>ca</v>
          </cell>
          <cell r="E37">
            <v>21147</v>
          </cell>
          <cell r="F37">
            <v>21147</v>
          </cell>
          <cell r="K37" t="str">
            <v>Được tính toán, rồi Link từ sheet Máy sang</v>
          </cell>
        </row>
        <row r="38">
          <cell r="B38" t="str">
            <v>M112.2601</v>
          </cell>
          <cell r="C38" t="str">
            <v>Máy cắt uốn cốt thép - công suất : 5,0 kW</v>
          </cell>
          <cell r="D38" t="str">
            <v>ca</v>
          </cell>
          <cell r="E38">
            <v>281286</v>
          </cell>
          <cell r="F38">
            <v>316279</v>
          </cell>
          <cell r="K38" t="str">
            <v>Được tính toán, rồi Link từ sheet Máy sang</v>
          </cell>
        </row>
        <row r="39">
          <cell r="B39" t="str">
            <v>M101.0101</v>
          </cell>
          <cell r="C39" t="str">
            <v>Máy đào một gầu, bánh xích - dung tích gầu : 0,40 m3</v>
          </cell>
          <cell r="D39" t="str">
            <v>ca</v>
          </cell>
          <cell r="E39">
            <v>2068759</v>
          </cell>
          <cell r="F39">
            <v>2277870</v>
          </cell>
          <cell r="K39" t="str">
            <v>Được tính toán, rồi Link từ sheet Máy sang</v>
          </cell>
        </row>
        <row r="40">
          <cell r="B40" t="str">
            <v>M101.0102</v>
          </cell>
          <cell r="C40" t="str">
            <v>Máy đào một gầu, bánh xích - dung tích gầu : 0,50 m3</v>
          </cell>
          <cell r="D40" t="str">
            <v>ca</v>
          </cell>
          <cell r="E40">
            <v>2391243</v>
          </cell>
          <cell r="F40">
            <v>2631786</v>
          </cell>
          <cell r="K40" t="str">
            <v>Được tính toán, rồi Link từ sheet Máy sang</v>
          </cell>
        </row>
        <row r="41">
          <cell r="B41" t="str">
            <v>M112.1301</v>
          </cell>
          <cell r="C41" t="str">
            <v>Máy đầm bê tông, dầm dùi - công suất : 1,5 kW</v>
          </cell>
          <cell r="D41" t="str">
            <v>ca</v>
          </cell>
          <cell r="E41">
            <v>276782</v>
          </cell>
          <cell r="F41">
            <v>311518</v>
          </cell>
          <cell r="K41" t="str">
            <v>Được tính toán, rồi Link từ sheet Máy sang</v>
          </cell>
        </row>
        <row r="42">
          <cell r="B42" t="str">
            <v>M112.4003</v>
          </cell>
          <cell r="C42" t="str">
            <v>Máy hàn xoay chiều - công suất : 23,0 kW</v>
          </cell>
          <cell r="D42" t="str">
            <v>ca</v>
          </cell>
          <cell r="E42">
            <v>411700</v>
          </cell>
          <cell r="F42">
            <v>458042</v>
          </cell>
          <cell r="K42" t="str">
            <v>Được tính toán, rồi Link từ sheet Máy sang</v>
          </cell>
        </row>
        <row r="43">
          <cell r="B43" t="str">
            <v>M108.0303</v>
          </cell>
          <cell r="C43" t="str">
            <v>Máy nén khí, động cơ diezel - năng suất : 360,00 m3/h</v>
          </cell>
          <cell r="D43" t="str">
            <v>ca</v>
          </cell>
          <cell r="E43">
            <v>1368647</v>
          </cell>
          <cell r="F43">
            <v>1546326</v>
          </cell>
          <cell r="K43" t="str">
            <v>Được tính toán, rồi Link từ sheet Máy sang</v>
          </cell>
        </row>
        <row r="44">
          <cell r="B44" t="str">
            <v>M201.0021</v>
          </cell>
          <cell r="C44" t="str">
            <v>Máy toàn đạc điện tử</v>
          </cell>
          <cell r="D44" t="str">
            <v>ca</v>
          </cell>
          <cell r="E44">
            <v>147059</v>
          </cell>
          <cell r="F44">
            <v>147059</v>
          </cell>
          <cell r="K44" t="str">
            <v>Được tính toán, rồi Link từ sheet Máy sang</v>
          </cell>
        </row>
        <row r="45">
          <cell r="B45" t="str">
            <v>M201.0020</v>
          </cell>
          <cell r="C45" t="str">
            <v>Máy thủy bình điện tử</v>
          </cell>
          <cell r="D45" t="str">
            <v>ca</v>
          </cell>
          <cell r="E45">
            <v>14767</v>
          </cell>
          <cell r="F45">
            <v>14767</v>
          </cell>
          <cell r="K45" t="str">
            <v>Được tính toán, rồi Link từ sheet Máy sang</v>
          </cell>
        </row>
        <row r="46">
          <cell r="B46" t="str">
            <v>M104.0102</v>
          </cell>
          <cell r="C46" t="str">
            <v>Máy trộn bê tông - dung tích : 250,0 lít</v>
          </cell>
          <cell r="D46" t="str">
            <v>ca</v>
          </cell>
          <cell r="E46">
            <v>320806</v>
          </cell>
          <cell r="F46">
            <v>356057</v>
          </cell>
          <cell r="K46" t="str">
            <v>Được tính toán, rồi Link từ sheet Máy sang</v>
          </cell>
        </row>
        <row r="47">
          <cell r="B47" t="str">
            <v>M104.0202</v>
          </cell>
          <cell r="C47" t="str">
            <v>Máy trộn vữa 150 lít</v>
          </cell>
          <cell r="D47" t="str">
            <v>ca</v>
          </cell>
          <cell r="E47">
            <v>294869</v>
          </cell>
          <cell r="F47">
            <v>329734</v>
          </cell>
          <cell r="K47" t="str">
            <v>Được tính toán, rồi Link từ sheet Máy sang</v>
          </cell>
        </row>
        <row r="48">
          <cell r="B48" t="str">
            <v>M106.0203</v>
          </cell>
          <cell r="C48" t="str">
            <v>Ô tô tự đổ - trọng tải : 7,0 T</v>
          </cell>
          <cell r="D48" t="str">
            <v>ca</v>
          </cell>
          <cell r="E48">
            <v>2040201</v>
          </cell>
          <cell r="F48">
            <v>2257934</v>
          </cell>
          <cell r="K48" t="str">
            <v>Được tính toán, rồi Link từ sheet Máy sang</v>
          </cell>
        </row>
        <row r="49">
          <cell r="B49" t="str">
            <v>M106.0104</v>
          </cell>
          <cell r="C49" t="str">
            <v>Ô tô vận tải thùng - trọng tải : 2,5 T</v>
          </cell>
          <cell r="D49" t="str">
            <v>ca</v>
          </cell>
          <cell r="E49">
            <v>837921</v>
          </cell>
          <cell r="F49">
            <v>836684</v>
          </cell>
          <cell r="K49" t="str">
            <v>Được tính toán, rồi Link từ sheet Máy sang</v>
          </cell>
        </row>
      </sheetData>
      <sheetData sheetId="7"/>
      <sheetData sheetId="8"/>
      <sheetData sheetId="9">
        <row r="4">
          <cell r="M4">
            <v>5469138.2811670005</v>
          </cell>
          <cell r="N4">
            <v>5506.0758000000005</v>
          </cell>
          <cell r="O4">
            <v>9113929.5475678407</v>
          </cell>
          <cell r="P4">
            <v>6125.8537079999996</v>
          </cell>
        </row>
        <row r="9">
          <cell r="J9">
            <v>3234</v>
          </cell>
          <cell r="S9">
            <v>104</v>
          </cell>
        </row>
        <row r="11">
          <cell r="K11">
            <v>10.164000000000001</v>
          </cell>
          <cell r="S11">
            <v>201</v>
          </cell>
        </row>
        <row r="13">
          <cell r="L13">
            <v>3.0184000000000002</v>
          </cell>
          <cell r="S13">
            <v>303</v>
          </cell>
        </row>
        <row r="16">
          <cell r="K16">
            <v>7.0434000000000001</v>
          </cell>
          <cell r="S16">
            <v>200</v>
          </cell>
        </row>
        <row r="18">
          <cell r="L18">
            <v>1.2372905999999999</v>
          </cell>
          <cell r="S18">
            <v>302</v>
          </cell>
        </row>
        <row r="21">
          <cell r="K21">
            <v>26.400000000000002</v>
          </cell>
          <cell r="S21">
            <v>200</v>
          </cell>
        </row>
        <row r="23">
          <cell r="L23">
            <v>19.8</v>
          </cell>
          <cell r="S23">
            <v>300</v>
          </cell>
        </row>
        <row r="24">
          <cell r="L24">
            <v>9.9</v>
          </cell>
          <cell r="S24">
            <v>306</v>
          </cell>
        </row>
        <row r="27">
          <cell r="K27">
            <v>75.935999999999993</v>
          </cell>
          <cell r="S27">
            <v>200</v>
          </cell>
        </row>
        <row r="30">
          <cell r="K30">
            <v>19.8</v>
          </cell>
          <cell r="S30">
            <v>200</v>
          </cell>
        </row>
        <row r="32">
          <cell r="L32">
            <v>9.9</v>
          </cell>
          <cell r="S32">
            <v>300</v>
          </cell>
        </row>
        <row r="33">
          <cell r="L33">
            <v>4.95</v>
          </cell>
          <cell r="S33">
            <v>306</v>
          </cell>
        </row>
        <row r="36">
          <cell r="L36">
            <v>6.1571280000000002</v>
          </cell>
          <cell r="S36">
            <v>3010</v>
          </cell>
        </row>
        <row r="41">
          <cell r="J41">
            <v>24.155999999999999</v>
          </cell>
          <cell r="S41">
            <v>100</v>
          </cell>
        </row>
        <row r="44">
          <cell r="K44">
            <v>8.91</v>
          </cell>
          <cell r="S44">
            <v>200</v>
          </cell>
        </row>
        <row r="47">
          <cell r="J47">
            <v>34.194600000000001</v>
          </cell>
          <cell r="S47">
            <v>1011</v>
          </cell>
        </row>
        <row r="48">
          <cell r="J48">
            <v>21.133200000000002</v>
          </cell>
          <cell r="S48">
            <v>1010</v>
          </cell>
        </row>
        <row r="49">
          <cell r="J49">
            <v>2.1516000000000002</v>
          </cell>
          <cell r="S49">
            <v>109</v>
          </cell>
        </row>
        <row r="52">
          <cell r="K52">
            <v>8.0850000000000009</v>
          </cell>
          <cell r="S52">
            <v>204</v>
          </cell>
        </row>
        <row r="54">
          <cell r="L54">
            <v>0.54120000000000001</v>
          </cell>
          <cell r="S54">
            <v>305</v>
          </cell>
        </row>
        <row r="58">
          <cell r="J58">
            <v>15769.215</v>
          </cell>
          <cell r="S58">
            <v>1014</v>
          </cell>
        </row>
        <row r="59">
          <cell r="J59">
            <v>32.147280000000002</v>
          </cell>
          <cell r="S59">
            <v>103</v>
          </cell>
        </row>
        <row r="60">
          <cell r="J60">
            <v>53.030834999999996</v>
          </cell>
          <cell r="S60">
            <v>106</v>
          </cell>
        </row>
        <row r="61">
          <cell r="J61">
            <v>11141.955</v>
          </cell>
          <cell r="S61">
            <v>108</v>
          </cell>
        </row>
        <row r="64">
          <cell r="K64">
            <v>73.061999999999998</v>
          </cell>
          <cell r="S64">
            <v>201</v>
          </cell>
        </row>
        <row r="66">
          <cell r="L66">
            <v>5.6429999999999998</v>
          </cell>
          <cell r="S66">
            <v>307</v>
          </cell>
        </row>
        <row r="67">
          <cell r="L67">
            <v>5.2866</v>
          </cell>
          <cell r="S67">
            <v>304</v>
          </cell>
        </row>
        <row r="70">
          <cell r="J70">
            <v>58564</v>
          </cell>
          <cell r="S70">
            <v>107</v>
          </cell>
        </row>
        <row r="71">
          <cell r="J71">
            <v>10437.169599999999</v>
          </cell>
          <cell r="S71">
            <v>1013</v>
          </cell>
        </row>
        <row r="72">
          <cell r="J72">
            <v>35.480200799999999</v>
          </cell>
          <cell r="S72">
            <v>102</v>
          </cell>
        </row>
        <row r="73">
          <cell r="J73">
            <v>8399.1424000000006</v>
          </cell>
          <cell r="S73">
            <v>108</v>
          </cell>
        </row>
        <row r="76">
          <cell r="K76">
            <v>173.5624</v>
          </cell>
          <cell r="S76">
            <v>202</v>
          </cell>
        </row>
        <row r="78">
          <cell r="L78">
            <v>3.7268000000000003</v>
          </cell>
          <cell r="S78">
            <v>308</v>
          </cell>
        </row>
        <row r="81">
          <cell r="J81">
            <v>4751.67</v>
          </cell>
          <cell r="S81">
            <v>1013</v>
          </cell>
        </row>
        <row r="82">
          <cell r="J82">
            <v>13.798355999999998</v>
          </cell>
          <cell r="S82">
            <v>101</v>
          </cell>
        </row>
        <row r="83">
          <cell r="J83">
            <v>3394.0499999999997</v>
          </cell>
          <cell r="S83">
            <v>108</v>
          </cell>
        </row>
        <row r="86">
          <cell r="K86">
            <v>188.76000000000002</v>
          </cell>
          <cell r="S86">
            <v>202</v>
          </cell>
        </row>
        <row r="88">
          <cell r="L88">
            <v>1.452</v>
          </cell>
          <cell r="S88">
            <v>308</v>
          </cell>
        </row>
        <row r="91">
          <cell r="J91">
            <v>215.56569999999999</v>
          </cell>
          <cell r="S91">
            <v>1014</v>
          </cell>
        </row>
        <row r="92">
          <cell r="J92">
            <v>0.43945439999999991</v>
          </cell>
          <cell r="S92">
            <v>103</v>
          </cell>
        </row>
        <row r="93">
          <cell r="J93">
            <v>0.7249333</v>
          </cell>
          <cell r="S93">
            <v>106</v>
          </cell>
        </row>
        <row r="94">
          <cell r="J94">
            <v>152.3109</v>
          </cell>
          <cell r="S94">
            <v>108</v>
          </cell>
        </row>
        <row r="97">
          <cell r="K97">
            <v>1.1234</v>
          </cell>
          <cell r="S97">
            <v>201</v>
          </cell>
        </row>
        <row r="99">
          <cell r="L99">
            <v>7.7899999999999997E-2</v>
          </cell>
          <cell r="S99">
            <v>307</v>
          </cell>
        </row>
        <row r="100">
          <cell r="L100">
            <v>0.14759999999999998</v>
          </cell>
          <cell r="S100">
            <v>304</v>
          </cell>
        </row>
        <row r="103">
          <cell r="J103">
            <v>5.181</v>
          </cell>
          <cell r="S103">
            <v>1011</v>
          </cell>
        </row>
        <row r="104">
          <cell r="J104">
            <v>2.0924999999999998</v>
          </cell>
          <cell r="S104">
            <v>1010</v>
          </cell>
        </row>
        <row r="105">
          <cell r="J105">
            <v>0.183</v>
          </cell>
          <cell r="S105">
            <v>109</v>
          </cell>
        </row>
        <row r="108">
          <cell r="K108">
            <v>3.8759999999999999</v>
          </cell>
          <cell r="S108">
            <v>203</v>
          </cell>
        </row>
        <row r="110">
          <cell r="L110">
            <v>5.1000000000000004E-2</v>
          </cell>
          <cell r="S110">
            <v>305</v>
          </cell>
        </row>
        <row r="114">
          <cell r="J114">
            <v>174.86999999999998</v>
          </cell>
          <cell r="S114">
            <v>1012</v>
          </cell>
        </row>
        <row r="115">
          <cell r="J115">
            <v>2.7961799999999997</v>
          </cell>
          <cell r="S115">
            <v>105</v>
          </cell>
        </row>
        <row r="117">
          <cell r="K117">
            <v>2.3559599999999996</v>
          </cell>
          <cell r="S117">
            <v>202</v>
          </cell>
        </row>
        <row r="119">
          <cell r="L119">
            <v>6.9599999999999995E-2</v>
          </cell>
          <cell r="S119">
            <v>301</v>
          </cell>
        </row>
        <row r="122">
          <cell r="K122">
            <v>3.08</v>
          </cell>
          <cell r="S122">
            <v>201</v>
          </cell>
        </row>
        <row r="127">
          <cell r="K127">
            <v>41.4</v>
          </cell>
          <cell r="S127">
            <v>200</v>
          </cell>
        </row>
        <row r="130">
          <cell r="J130">
            <v>7327.1100000000006</v>
          </cell>
          <cell r="S130">
            <v>1014</v>
          </cell>
        </row>
        <row r="131">
          <cell r="J131">
            <v>14.937120000000002</v>
          </cell>
          <cell r="S131">
            <v>103</v>
          </cell>
        </row>
        <row r="132">
          <cell r="J132">
            <v>24.64059</v>
          </cell>
          <cell r="S132">
            <v>106</v>
          </cell>
        </row>
        <row r="133">
          <cell r="J133">
            <v>5177.07</v>
          </cell>
          <cell r="S133">
            <v>108</v>
          </cell>
        </row>
        <row r="136">
          <cell r="K136">
            <v>33.948</v>
          </cell>
          <cell r="S136">
            <v>201</v>
          </cell>
        </row>
        <row r="138">
          <cell r="L138">
            <v>2.6220000000000003</v>
          </cell>
          <cell r="S138">
            <v>307</v>
          </cell>
        </row>
        <row r="139">
          <cell r="L139">
            <v>2.4563999999999999</v>
          </cell>
          <cell r="S139">
            <v>304</v>
          </cell>
        </row>
        <row r="142">
          <cell r="J142">
            <v>4553.9000000000005</v>
          </cell>
          <cell r="S142">
            <v>1013</v>
          </cell>
        </row>
        <row r="143">
          <cell r="J143">
            <v>16.937570000000001</v>
          </cell>
          <cell r="S143">
            <v>103</v>
          </cell>
        </row>
        <row r="144">
          <cell r="J144">
            <v>3966.3</v>
          </cell>
          <cell r="S144">
            <v>108</v>
          </cell>
        </row>
        <row r="147">
          <cell r="K147">
            <v>182.15600000000001</v>
          </cell>
          <cell r="S147">
            <v>204</v>
          </cell>
        </row>
        <row r="150">
          <cell r="L150">
            <v>1.1357955</v>
          </cell>
          <cell r="S150">
            <v>309</v>
          </cell>
        </row>
        <row r="153">
          <cell r="K153">
            <v>204.56159999999997</v>
          </cell>
          <cell r="S153">
            <v>200</v>
          </cell>
        </row>
        <row r="158">
          <cell r="M158">
            <v>1374629.957075</v>
          </cell>
          <cell r="O158">
            <v>2024424.747005675</v>
          </cell>
        </row>
        <row r="163">
          <cell r="K163">
            <v>0.3639</v>
          </cell>
          <cell r="S163">
            <v>210</v>
          </cell>
        </row>
        <row r="165">
          <cell r="L165">
            <v>6.3925100000000012E-2</v>
          </cell>
          <cell r="S165">
            <v>311</v>
          </cell>
        </row>
        <row r="168">
          <cell r="K168">
            <v>20.926000000000002</v>
          </cell>
          <cell r="S168">
            <v>210</v>
          </cell>
        </row>
        <row r="170">
          <cell r="L170">
            <v>15.694499999999998</v>
          </cell>
          <cell r="S170">
            <v>310</v>
          </cell>
        </row>
        <row r="171">
          <cell r="L171">
            <v>7.8472499999999989</v>
          </cell>
          <cell r="S171">
            <v>313</v>
          </cell>
        </row>
        <row r="174">
          <cell r="K174">
            <v>92.111999999999995</v>
          </cell>
          <cell r="S174">
            <v>210</v>
          </cell>
        </row>
        <row r="177">
          <cell r="L177">
            <v>3.948896</v>
          </cell>
          <cell r="S177">
            <v>316</v>
          </cell>
        </row>
        <row r="182">
          <cell r="K182">
            <v>71.399999999999991</v>
          </cell>
          <cell r="S182">
            <v>210</v>
          </cell>
        </row>
        <row r="185">
          <cell r="J185">
            <v>12636.61</v>
          </cell>
          <cell r="S185">
            <v>116</v>
          </cell>
        </row>
        <row r="186">
          <cell r="J186">
            <v>25.761120000000002</v>
          </cell>
          <cell r="S186">
            <v>111</v>
          </cell>
        </row>
        <row r="187">
          <cell r="J187">
            <v>42.496090000000002</v>
          </cell>
          <cell r="S187">
            <v>112</v>
          </cell>
        </row>
        <row r="188">
          <cell r="J188">
            <v>8928.57</v>
          </cell>
          <cell r="S188">
            <v>114</v>
          </cell>
        </row>
        <row r="191">
          <cell r="K191">
            <v>58.548000000000002</v>
          </cell>
          <cell r="S191">
            <v>211</v>
          </cell>
        </row>
        <row r="193">
          <cell r="L193">
            <v>4.5220000000000002</v>
          </cell>
          <cell r="S193">
            <v>314</v>
          </cell>
        </row>
        <row r="194">
          <cell r="L194">
            <v>4.2363999999999997</v>
          </cell>
          <cell r="S194">
            <v>312</v>
          </cell>
        </row>
        <row r="197">
          <cell r="J197">
            <v>51651.27</v>
          </cell>
          <cell r="S197">
            <v>113</v>
          </cell>
        </row>
        <row r="198">
          <cell r="J198">
            <v>9335.8979999999992</v>
          </cell>
          <cell r="S198">
            <v>115</v>
          </cell>
        </row>
        <row r="199">
          <cell r="J199">
            <v>31.736528999999997</v>
          </cell>
          <cell r="S199">
            <v>110</v>
          </cell>
        </row>
        <row r="200">
          <cell r="J200">
            <v>7512.9119999999994</v>
          </cell>
          <cell r="S200">
            <v>114</v>
          </cell>
        </row>
        <row r="202">
          <cell r="K202">
            <v>162.04319999999998</v>
          </cell>
          <cell r="S202">
            <v>212</v>
          </cell>
        </row>
        <row r="205">
          <cell r="J205">
            <v>10279.987500000001</v>
          </cell>
          <cell r="S205">
            <v>115</v>
          </cell>
        </row>
        <row r="206">
          <cell r="J206">
            <v>38.234921249999999</v>
          </cell>
          <cell r="S206">
            <v>111</v>
          </cell>
        </row>
        <row r="207">
          <cell r="J207">
            <v>8953.5375000000004</v>
          </cell>
          <cell r="S207">
            <v>114</v>
          </cell>
        </row>
        <row r="210">
          <cell r="K210">
            <v>411.1995</v>
          </cell>
          <cell r="S210">
            <v>213</v>
          </cell>
        </row>
        <row r="213">
          <cell r="L213">
            <v>1.7122265999999999</v>
          </cell>
          <cell r="S213">
            <v>315</v>
          </cell>
        </row>
        <row r="216">
          <cell r="K216">
            <v>117.40859999999998</v>
          </cell>
          <cell r="S216">
            <v>210</v>
          </cell>
        </row>
        <row r="221">
          <cell r="M221">
            <v>22957</v>
          </cell>
          <cell r="N221">
            <v>11422.927467999998</v>
          </cell>
          <cell r="O221">
            <v>23197.100200000001</v>
          </cell>
          <cell r="P221">
            <v>11422.927467999998</v>
          </cell>
        </row>
        <row r="225">
          <cell r="J225">
            <v>0.27</v>
          </cell>
          <cell r="S225">
            <v>122</v>
          </cell>
        </row>
        <row r="228">
          <cell r="K228">
            <v>0.63719999999999999</v>
          </cell>
          <cell r="S228">
            <v>220</v>
          </cell>
        </row>
        <row r="229">
          <cell r="K229">
            <v>1.782</v>
          </cell>
          <cell r="S229">
            <v>221</v>
          </cell>
        </row>
        <row r="231">
          <cell r="L231">
            <v>0.20520000000000002</v>
          </cell>
          <cell r="S231">
            <v>321</v>
          </cell>
        </row>
        <row r="235">
          <cell r="J235">
            <v>2.16</v>
          </cell>
          <cell r="S235">
            <v>121</v>
          </cell>
        </row>
        <row r="236">
          <cell r="J236">
            <v>10.8</v>
          </cell>
          <cell r="S236">
            <v>124</v>
          </cell>
        </row>
        <row r="237">
          <cell r="J237">
            <v>21.6</v>
          </cell>
          <cell r="S237">
            <v>120</v>
          </cell>
        </row>
        <row r="238">
          <cell r="J238">
            <v>0.54</v>
          </cell>
          <cell r="S238">
            <v>123</v>
          </cell>
        </row>
        <row r="241">
          <cell r="K241">
            <v>5.0759999999999996</v>
          </cell>
          <cell r="S241">
            <v>220</v>
          </cell>
        </row>
        <row r="242">
          <cell r="K242">
            <v>7.7759999999999998</v>
          </cell>
          <cell r="S242">
            <v>221</v>
          </cell>
        </row>
        <row r="244">
          <cell r="L244">
            <v>0.8640000000000001</v>
          </cell>
          <cell r="S244">
            <v>320</v>
          </cell>
        </row>
        <row r="245">
          <cell r="L245">
            <v>1.7280000000000002</v>
          </cell>
          <cell r="S245">
            <v>321</v>
          </cell>
        </row>
        <row r="249">
          <cell r="J249">
            <v>23.5</v>
          </cell>
          <cell r="S249">
            <v>120</v>
          </cell>
        </row>
        <row r="250">
          <cell r="J250">
            <v>0.23500000000000001</v>
          </cell>
          <cell r="S250">
            <v>123</v>
          </cell>
        </row>
        <row r="253">
          <cell r="K253">
            <v>2.867</v>
          </cell>
          <cell r="S253">
            <v>220</v>
          </cell>
        </row>
        <row r="254">
          <cell r="K254">
            <v>3.948</v>
          </cell>
          <cell r="S254">
            <v>221</v>
          </cell>
        </row>
        <row r="256">
          <cell r="L256">
            <v>0.47000000000000003</v>
          </cell>
          <cell r="S256">
            <v>320</v>
          </cell>
        </row>
        <row r="257">
          <cell r="L257">
            <v>0.376</v>
          </cell>
          <cell r="S257">
            <v>321</v>
          </cell>
        </row>
      </sheetData>
      <sheetData sheetId="10"/>
      <sheetData sheetId="11">
        <row r="6">
          <cell r="AU6">
            <v>0</v>
          </cell>
        </row>
        <row r="7">
          <cell r="AU7">
            <v>0</v>
          </cell>
        </row>
        <row r="8">
          <cell r="AU8">
            <v>0</v>
          </cell>
        </row>
        <row r="9">
          <cell r="AU9">
            <v>0</v>
          </cell>
        </row>
        <row r="10">
          <cell r="AU10">
            <v>0</v>
          </cell>
        </row>
        <row r="11">
          <cell r="AU11">
            <v>0</v>
          </cell>
        </row>
        <row r="12">
          <cell r="AU12">
            <v>0</v>
          </cell>
        </row>
        <row r="13">
          <cell r="AU13">
            <v>0</v>
          </cell>
        </row>
        <row r="14">
          <cell r="AU14">
            <v>0</v>
          </cell>
        </row>
        <row r="15">
          <cell r="AU15">
            <v>0</v>
          </cell>
        </row>
        <row r="16">
          <cell r="AU16">
            <v>0</v>
          </cell>
        </row>
        <row r="17">
          <cell r="AU17">
            <v>0</v>
          </cell>
        </row>
        <row r="18">
          <cell r="AU18">
            <v>0</v>
          </cell>
        </row>
        <row r="19">
          <cell r="AU19">
            <v>0</v>
          </cell>
        </row>
        <row r="20">
          <cell r="AU20">
            <v>0</v>
          </cell>
        </row>
        <row r="21">
          <cell r="AU21">
            <v>0</v>
          </cell>
        </row>
        <row r="22">
          <cell r="AU22">
            <v>0</v>
          </cell>
        </row>
        <row r="23">
          <cell r="AU23">
            <v>0</v>
          </cell>
        </row>
        <row r="24">
          <cell r="AU24">
            <v>0</v>
          </cell>
        </row>
        <row r="25">
          <cell r="AU25">
            <v>0</v>
          </cell>
        </row>
        <row r="26">
          <cell r="AU26">
            <v>0</v>
          </cell>
        </row>
      </sheetData>
      <sheetData sheetId="12">
        <row r="6">
          <cell r="W6">
            <v>0</v>
          </cell>
        </row>
        <row r="7">
          <cell r="W7">
            <v>0</v>
          </cell>
        </row>
        <row r="8">
          <cell r="W8">
            <v>0</v>
          </cell>
        </row>
        <row r="9">
          <cell r="W9">
            <v>0</v>
          </cell>
        </row>
        <row r="10">
          <cell r="W10">
            <v>0</v>
          </cell>
        </row>
        <row r="11">
          <cell r="W11">
            <v>0</v>
          </cell>
        </row>
        <row r="12">
          <cell r="W12">
            <v>0</v>
          </cell>
        </row>
        <row r="13">
          <cell r="W13">
            <v>0</v>
          </cell>
        </row>
        <row r="14">
          <cell r="W14">
            <v>0</v>
          </cell>
        </row>
        <row r="15">
          <cell r="W15">
            <v>0</v>
          </cell>
        </row>
        <row r="16">
          <cell r="W16">
            <v>0</v>
          </cell>
        </row>
        <row r="17">
          <cell r="W17">
            <v>0</v>
          </cell>
        </row>
        <row r="18">
          <cell r="W18">
            <v>0</v>
          </cell>
        </row>
        <row r="19">
          <cell r="W19">
            <v>0</v>
          </cell>
        </row>
        <row r="20">
          <cell r="W20">
            <v>0</v>
          </cell>
        </row>
        <row r="21">
          <cell r="W21">
            <v>0</v>
          </cell>
        </row>
        <row r="22">
          <cell r="W22">
            <v>0</v>
          </cell>
        </row>
        <row r="23">
          <cell r="W23">
            <v>0</v>
          </cell>
        </row>
        <row r="24">
          <cell r="W24">
            <v>0</v>
          </cell>
        </row>
        <row r="25">
          <cell r="W25">
            <v>0</v>
          </cell>
        </row>
        <row r="26">
          <cell r="W26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00"/>
    <pageSetUpPr fitToPage="1"/>
  </sheetPr>
  <dimension ref="A1:Z93"/>
  <sheetViews>
    <sheetView showZeros="0" tabSelected="1" view="pageBreakPreview" topLeftCell="A4" zoomScaleNormal="100" zoomScaleSheetLayoutView="100" workbookViewId="0">
      <selection activeCell="P66" sqref="P66"/>
    </sheetView>
  </sheetViews>
  <sheetFormatPr defaultColWidth="10" defaultRowHeight="15" customHeight="1" x14ac:dyDescent="0.15"/>
  <cols>
    <col min="1" max="1" width="6.5" style="4" customWidth="1"/>
    <col min="2" max="2" width="14.1640625" style="4" customWidth="1"/>
    <col min="3" max="3" width="55.6640625" style="4" customWidth="1"/>
    <col min="4" max="4" width="11.6640625" style="4" customWidth="1"/>
    <col min="5" max="5" width="19.6640625" style="4" customWidth="1"/>
    <col min="6" max="9" width="15" style="4" hidden="1" customWidth="1"/>
    <col min="10" max="10" width="15.33203125" style="4" customWidth="1"/>
    <col min="11" max="11" width="15.83203125" style="4" hidden="1" customWidth="1"/>
    <col min="12" max="14" width="15" style="4" hidden="1" customWidth="1"/>
    <col min="15" max="15" width="21" style="4" customWidth="1"/>
    <col min="16" max="16" width="23.33203125" style="4" customWidth="1"/>
    <col min="17" max="18" width="15" style="4" hidden="1" customWidth="1"/>
    <col min="19" max="19" width="83.33203125" style="4" customWidth="1"/>
    <col min="20" max="21" width="10" style="4" hidden="1" customWidth="1"/>
    <col min="22" max="25" width="10" style="4"/>
    <col min="26" max="26" width="13.83203125" style="4" bestFit="1" customWidth="1"/>
    <col min="27" max="16384" width="10" style="4"/>
  </cols>
  <sheetData>
    <row r="1" spans="1:21" ht="26.25" customHeight="1" x14ac:dyDescent="0.15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1" ht="22.9" customHeight="1" x14ac:dyDescent="0.15">
      <c r="A2" s="5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1" ht="25.15" customHeight="1" x14ac:dyDescent="0.15">
      <c r="A3" s="6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1" ht="31.15" customHeight="1" x14ac:dyDescent="0.15">
      <c r="A4" s="7" t="s">
        <v>26</v>
      </c>
      <c r="B4" s="8" t="s">
        <v>25</v>
      </c>
      <c r="C4" s="8" t="s">
        <v>24</v>
      </c>
      <c r="D4" s="8" t="s">
        <v>23</v>
      </c>
      <c r="E4" s="8" t="s">
        <v>22</v>
      </c>
      <c r="F4" s="8" t="str">
        <f>"Giá gốc_x000D_
"&amp;'[1]Công trình'!AM1</f>
        <v>Giá gốc_x000D_
(đ)</v>
      </c>
      <c r="G4" s="8" t="str">
        <f>"Thành tiền_x000D_
"&amp;'[1]Công trình'!AM1</f>
        <v>Thành tiền_x000D_
(đ)</v>
      </c>
      <c r="H4" s="8" t="str">
        <f>"Giá T.B_x000D_
"&amp;'[1]Công trình'!AM1</f>
        <v>Giá T.B_x000D_
(đ)</v>
      </c>
      <c r="I4" s="8" t="str">
        <f>"Thành tiền_x000D_
"&amp;'[1]Công trình'!AM1</f>
        <v>Thành tiền_x000D_
(đ)</v>
      </c>
      <c r="J4" s="8" t="s">
        <v>21</v>
      </c>
      <c r="K4" s="8" t="str">
        <f>"Giá T.B x H.S_x000D_
"&amp;'[1]Công trình'!AM1</f>
        <v>Giá T.B x H.S_x000D_
(đ)</v>
      </c>
      <c r="L4" s="8" t="str">
        <f>"Thành tiền_x000D_
"&amp;'[1]Công trình'!AM1</f>
        <v>Thành tiền_x000D_
(đ)</v>
      </c>
      <c r="M4" s="8" t="str">
        <f>"Cước V.C_x000D_
Bù NL, lương_x000D_
"&amp;'[1]Công trình'!AM1</f>
        <v>Cước V.C_x000D_
Bù NL, lương_x000D_
(đ)</v>
      </c>
      <c r="N4" s="8" t="str">
        <f>"Thành tiền_x000D_
"&amp;'[1]Công trình'!AM1</f>
        <v>Thành tiền_x000D_
(đ)</v>
      </c>
      <c r="O4" s="8" t="str">
        <f>"Giá H.T_x000D_
"&amp;'[1]Công trình'!AM1</f>
        <v>Giá H.T_x000D_
(đ)</v>
      </c>
      <c r="P4" s="8" t="str">
        <f>"Thành tiền_x000D_
"&amp;'[1]Công trình'!AM1</f>
        <v>Thành tiền_x000D_
(đ)</v>
      </c>
      <c r="Q4" s="8" t="str">
        <f>"Chênh lệch_x000D_
"&amp;'[1]Công trình'!AM1</f>
        <v>Chênh lệch_x000D_
(đ)</v>
      </c>
      <c r="R4" s="8" t="str">
        <f>"Tổng chênh_x000D_
"&amp;'[1]Công trình'!AM1</f>
        <v>Tổng chênh_x000D_
(đ)</v>
      </c>
      <c r="S4" s="9" t="s">
        <v>20</v>
      </c>
      <c r="T4" s="4" t="s">
        <v>19</v>
      </c>
      <c r="U4" s="4" t="s">
        <v>18</v>
      </c>
    </row>
    <row r="5" spans="1:21" ht="16.5" x14ac:dyDescent="0.15">
      <c r="A5" s="10" t="s">
        <v>13</v>
      </c>
      <c r="B5" s="11"/>
      <c r="C5" s="11" t="s">
        <v>12</v>
      </c>
      <c r="D5" s="11"/>
      <c r="E5" s="12"/>
      <c r="F5" s="13"/>
      <c r="G5" s="13"/>
      <c r="H5" s="14"/>
      <c r="I5" s="13"/>
      <c r="J5" s="15"/>
      <c r="K5" s="13"/>
      <c r="L5" s="13"/>
      <c r="M5" s="13"/>
      <c r="N5" s="13"/>
      <c r="O5" s="13"/>
      <c r="P5" s="13"/>
      <c r="Q5" s="13"/>
      <c r="R5" s="13"/>
    </row>
    <row r="6" spans="1:21" ht="23.45" customHeight="1" x14ac:dyDescent="0.15">
      <c r="A6" s="16">
        <v>1</v>
      </c>
      <c r="B6" s="17" t="str">
        <f>'[1]Giá tháng'!B6</f>
        <v>A24.1042</v>
      </c>
      <c r="C6" s="18" t="str">
        <f>'[1]Giá tháng'!C6</f>
        <v>Cát</v>
      </c>
      <c r="D6" s="17" t="str">
        <f>'[1]Giá tháng'!D6</f>
        <v>m3</v>
      </c>
      <c r="E6" s="19">
        <f>SUMIF([1]HaoPhiVatTu!S6:S154,100,[1]HaoPhiVatTu!J6:J154)</f>
        <v>24.155999999999999</v>
      </c>
      <c r="F6" s="20">
        <f>'[1]Giá tháng'!E6</f>
        <v>140000</v>
      </c>
      <c r="G6" s="20">
        <f>E6*F6</f>
        <v>3381840</v>
      </c>
      <c r="H6" s="21">
        <f>'[1]Giá tháng'!F6</f>
        <v>305000</v>
      </c>
      <c r="I6" s="20">
        <f>E6*H6</f>
        <v>7367580</v>
      </c>
      <c r="J6" s="22">
        <v>1</v>
      </c>
      <c r="K6" s="20">
        <f>H6*J6</f>
        <v>305000</v>
      </c>
      <c r="L6" s="20">
        <f>E6*K6</f>
        <v>7367580</v>
      </c>
      <c r="M6" s="20">
        <f>T6+U6</f>
        <v>0</v>
      </c>
      <c r="N6" s="20">
        <f>E6*M6</f>
        <v>0</v>
      </c>
      <c r="O6" s="20">
        <f>H6+M6</f>
        <v>305000</v>
      </c>
      <c r="P6" s="20">
        <f>E6*O6</f>
        <v>7367580</v>
      </c>
      <c r="Q6" s="20">
        <f>O6-F6</f>
        <v>165000</v>
      </c>
      <c r="R6" s="20">
        <f>P6-G6</f>
        <v>3985740</v>
      </c>
      <c r="S6" s="4" t="str">
        <f>'[1]Giá tháng'!K6</f>
        <v>Áp theo "Cát san lấp" trong Thông báo giá VL số: 320/2026/TB-SXD của Sở XD TP Hải Phòng ngày 08/05/2026. Vùng: 11</v>
      </c>
      <c r="T6" s="4">
        <f>'[1]Cước VC'!AU6</f>
        <v>0</v>
      </c>
      <c r="U6" s="4">
        <f>'[1]Cước bộ'!W6</f>
        <v>0</v>
      </c>
    </row>
    <row r="7" spans="1:21" ht="20.45" customHeight="1" x14ac:dyDescent="0.15">
      <c r="A7" s="16">
        <v>2</v>
      </c>
      <c r="B7" s="17" t="str">
        <f>'[1]Giá tháng'!B7</f>
        <v>A24.0175</v>
      </c>
      <c r="C7" s="18" t="str">
        <f>'[1]Giá tháng'!C7</f>
        <v>Cát mịn ML=0,7-1,4</v>
      </c>
      <c r="D7" s="17" t="str">
        <f>'[1]Giá tháng'!D7</f>
        <v>m3</v>
      </c>
      <c r="E7" s="19">
        <f>SUMIF([1]HaoPhiVatTu!S6:S154,101,[1]HaoPhiVatTu!J6:J154)</f>
        <v>13.798355999999998</v>
      </c>
      <c r="F7" s="20">
        <f>'[1]Giá tháng'!E7</f>
        <v>400000</v>
      </c>
      <c r="G7" s="20">
        <f>E7*F7</f>
        <v>5519342.3999999994</v>
      </c>
      <c r="H7" s="21">
        <f>'[1]Giá tháng'!F7</f>
        <v>576000</v>
      </c>
      <c r="I7" s="20">
        <f>E7*H7</f>
        <v>7947853.0559999989</v>
      </c>
      <c r="J7" s="22">
        <v>1</v>
      </c>
      <c r="K7" s="20">
        <f>H7*J7</f>
        <v>576000</v>
      </c>
      <c r="L7" s="20">
        <f>E7*K7</f>
        <v>7947853.0559999989</v>
      </c>
      <c r="M7" s="20">
        <f>T7+U7</f>
        <v>0</v>
      </c>
      <c r="N7" s="20">
        <f>E7*M7</f>
        <v>0</v>
      </c>
      <c r="O7" s="20">
        <f>H7+M7</f>
        <v>576000</v>
      </c>
      <c r="P7" s="20">
        <f>E7*O7</f>
        <v>7947853.0559999989</v>
      </c>
      <c r="Q7" s="20">
        <f>O7-F7</f>
        <v>176000</v>
      </c>
      <c r="R7" s="20">
        <f>P7-G7</f>
        <v>2428510.6559999995</v>
      </c>
      <c r="S7" s="4" t="str">
        <f>'[1]Giá tháng'!K7</f>
        <v>Áp theo "Cát xây, trát ML=1,5-2,0, ML=0,7-1,4" trong Thông báo giá VL số: 320/2026/TB-SXD của Sở XD TP Hải Phòng ngày 08/05/2026. Vùng: 11</v>
      </c>
      <c r="T7" s="4">
        <f>'[1]Cước VC'!AU7</f>
        <v>0</v>
      </c>
      <c r="U7" s="4">
        <f>'[1]Cước bộ'!W7</f>
        <v>0</v>
      </c>
    </row>
    <row r="8" spans="1:21" ht="22.9" customHeight="1" x14ac:dyDescent="0.15">
      <c r="A8" s="16">
        <v>3</v>
      </c>
      <c r="B8" s="17" t="str">
        <f>'[1]Giá tháng'!B9</f>
        <v>A24.0176</v>
      </c>
      <c r="C8" s="18" t="str">
        <f>'[1]Giá tháng'!C9</f>
        <v>Cát mịn ML=1,5-2,0</v>
      </c>
      <c r="D8" s="17" t="str">
        <f>'[1]Giá tháng'!D9</f>
        <v>m3</v>
      </c>
      <c r="E8" s="19">
        <f>SUMIF([1]HaoPhiVatTu!S6:S154,102,[1]HaoPhiVatTu!J6:J154)</f>
        <v>35.480200799999999</v>
      </c>
      <c r="F8" s="20">
        <f>'[1]Giá tháng'!E9</f>
        <v>400000</v>
      </c>
      <c r="G8" s="20">
        <f>E8*F8</f>
        <v>14192080.32</v>
      </c>
      <c r="H8" s="21">
        <f>'[1]Giá tháng'!F9</f>
        <v>576000</v>
      </c>
      <c r="I8" s="20">
        <f>E8*H8</f>
        <v>20436595.660799999</v>
      </c>
      <c r="J8" s="22">
        <v>1</v>
      </c>
      <c r="K8" s="20">
        <f>H8*J8</f>
        <v>576000</v>
      </c>
      <c r="L8" s="20">
        <f>E8*K8</f>
        <v>20436595.660799999</v>
      </c>
      <c r="M8" s="20">
        <f>T8+U8</f>
        <v>0</v>
      </c>
      <c r="N8" s="20">
        <f>E8*M8</f>
        <v>0</v>
      </c>
      <c r="O8" s="20">
        <f>H8+M8</f>
        <v>576000</v>
      </c>
      <c r="P8" s="20">
        <f>E8*O8</f>
        <v>20436595.660799999</v>
      </c>
      <c r="Q8" s="20">
        <f>O8-F8</f>
        <v>176000</v>
      </c>
      <c r="R8" s="20">
        <f>P8-G8</f>
        <v>6244515.3407999985</v>
      </c>
      <c r="S8" s="4" t="str">
        <f>'[1]Giá tháng'!K9</f>
        <v>Áp theo "Cát xây, trát ML=1,5-2,0, ML=0,7-1,4" trong Thông báo giá VL số: 320/2026/TB-SXD của Sở XD TP Hải Phòng ngày 08/05/2026. Vùng: 11</v>
      </c>
      <c r="T8" s="4">
        <f>'[1]Cước VC'!AU9</f>
        <v>0</v>
      </c>
      <c r="U8" s="4">
        <f>'[1]Cước bộ'!W9</f>
        <v>0</v>
      </c>
    </row>
    <row r="9" spans="1:21" ht="20.45" customHeight="1" x14ac:dyDescent="0.15">
      <c r="A9" s="16">
        <v>4</v>
      </c>
      <c r="B9" s="17" t="str">
        <f>'[1]Giá tháng'!B10</f>
        <v>A24.0180</v>
      </c>
      <c r="C9" s="18" t="str">
        <f>'[1]Giá tháng'!C10</f>
        <v>Cát vàng</v>
      </c>
      <c r="D9" s="17" t="str">
        <f>'[1]Giá tháng'!D10</f>
        <v>m3</v>
      </c>
      <c r="E9" s="19">
        <f>SUMIF([1]HaoPhiVatTu!S6:S154,103,[1]HaoPhiVatTu!J6:J154)</f>
        <v>64.461424399999999</v>
      </c>
      <c r="F9" s="20">
        <f>'[1]Giá tháng'!E10</f>
        <v>450000</v>
      </c>
      <c r="G9" s="20">
        <f>E9*F9</f>
        <v>29007640.98</v>
      </c>
      <c r="H9" s="21">
        <f>'[1]Giá tháng'!F10</f>
        <v>779000</v>
      </c>
      <c r="I9" s="20">
        <f>E9*H9</f>
        <v>50215449.607599996</v>
      </c>
      <c r="J9" s="22">
        <v>1</v>
      </c>
      <c r="K9" s="20">
        <f>H9*J9</f>
        <v>779000</v>
      </c>
      <c r="L9" s="20">
        <f>E9*K9</f>
        <v>50215449.607599996</v>
      </c>
      <c r="M9" s="20">
        <f>T9+U9</f>
        <v>0</v>
      </c>
      <c r="N9" s="20">
        <f>E9*M9</f>
        <v>0</v>
      </c>
      <c r="O9" s="20">
        <f>H9+M9</f>
        <v>779000</v>
      </c>
      <c r="P9" s="20">
        <f>E9*O9</f>
        <v>50215449.607599996</v>
      </c>
      <c r="Q9" s="20">
        <f>O9-F9</f>
        <v>329000</v>
      </c>
      <c r="R9" s="20">
        <f>P9-G9</f>
        <v>21207808.627599996</v>
      </c>
      <c r="S9" s="4" t="str">
        <f>'[1]Giá tháng'!K10</f>
        <v>Áp theo "Cát bê tông ML&gt;2,0" trong Thông báo giá VL số: 320/2026/TB-SXD của Sở XD TP Hải Phòng ngày 08/05/2026. Vùng: 11</v>
      </c>
      <c r="T9" s="4">
        <f>'[1]Cước VC'!AU10</f>
        <v>0</v>
      </c>
      <c r="U9" s="4">
        <f>'[1]Cước bộ'!W10</f>
        <v>0</v>
      </c>
    </row>
    <row r="10" spans="1:21" ht="19.899999999999999" customHeight="1" x14ac:dyDescent="0.15">
      <c r="A10" s="16">
        <v>5</v>
      </c>
      <c r="B10" s="17" t="str">
        <f>'[1]Giá tháng'!B12</f>
        <v>A24.0227</v>
      </c>
      <c r="C10" s="18" t="str">
        <f>'[1]Giá tháng'!C12</f>
        <v>Cọc tre &gt;2,5m</v>
      </c>
      <c r="D10" s="17" t="str">
        <f>'[1]Giá tháng'!D12</f>
        <v>m</v>
      </c>
      <c r="E10" s="19">
        <f>SUMIF([1]HaoPhiVatTu!S6:S154,104,[1]HaoPhiVatTu!J6:J154)</f>
        <v>3234</v>
      </c>
      <c r="F10" s="20">
        <f>'[1]Giá tháng'!E12</f>
        <v>3200</v>
      </c>
      <c r="G10" s="20">
        <f>E10*F10</f>
        <v>10348800</v>
      </c>
      <c r="H10" s="21">
        <f>'[1]Giá tháng'!F12</f>
        <v>8200</v>
      </c>
      <c r="I10" s="20">
        <f>E10*H10</f>
        <v>26518800</v>
      </c>
      <c r="J10" s="22">
        <v>1</v>
      </c>
      <c r="K10" s="20">
        <f>H10*J10</f>
        <v>8200</v>
      </c>
      <c r="L10" s="20">
        <f>E10*K10</f>
        <v>26518800</v>
      </c>
      <c r="M10" s="20">
        <f>T10+U10</f>
        <v>0</v>
      </c>
      <c r="N10" s="20">
        <f>E10*M10</f>
        <v>0</v>
      </c>
      <c r="O10" s="20">
        <f>H10+M10</f>
        <v>8200</v>
      </c>
      <c r="P10" s="20">
        <f>E10*O10</f>
        <v>26518800</v>
      </c>
      <c r="Q10" s="20">
        <f>O10-F10</f>
        <v>5000</v>
      </c>
      <c r="R10" s="20">
        <f>P10-G10</f>
        <v>16170000</v>
      </c>
      <c r="S10" s="4" t="str">
        <f>'[1]Giá tháng'!K12</f>
        <v>Áp theo "Cọc tre L=2,5-2,8m; D=80-10mm cọc chọn" trong Thông báo giá VL số: 320/2026/TB-SXD của Sở XD TP Hải Phòng ngày 08/05/2026. Vùng: 11</v>
      </c>
      <c r="T10" s="4">
        <f>'[1]Cước VC'!AU12</f>
        <v>0</v>
      </c>
      <c r="U10" s="4">
        <f>'[1]Cước bộ'!W12</f>
        <v>0</v>
      </c>
    </row>
    <row r="11" spans="1:21" ht="16.5" x14ac:dyDescent="0.15">
      <c r="A11" s="16">
        <v>6</v>
      </c>
      <c r="B11" s="17" t="str">
        <f>'[1]Giá tháng'!B13</f>
        <v>A24.0293</v>
      </c>
      <c r="C11" s="18" t="str">
        <f>'[1]Giá tháng'!C13</f>
        <v>Dây thép</v>
      </c>
      <c r="D11" s="17" t="str">
        <f>'[1]Giá tháng'!D13</f>
        <v>kg</v>
      </c>
      <c r="E11" s="19">
        <f>SUMIF([1]HaoPhiVatTu!S6:S154,105,[1]HaoPhiVatTu!J6:J154)</f>
        <v>2.7961799999999997</v>
      </c>
      <c r="F11" s="20">
        <f>'[1]Giá tháng'!E13</f>
        <v>20000</v>
      </c>
      <c r="G11" s="20">
        <f>E11*F11</f>
        <v>55923.599999999991</v>
      </c>
      <c r="H11" s="21">
        <f>'[1]Giá tháng'!F13</f>
        <v>20000</v>
      </c>
      <c r="I11" s="20">
        <f>E11*H11</f>
        <v>55923.599999999991</v>
      </c>
      <c r="J11" s="22">
        <v>1</v>
      </c>
      <c r="K11" s="20">
        <f>H11*J11</f>
        <v>20000</v>
      </c>
      <c r="L11" s="20">
        <f>E11*K11</f>
        <v>55923.599999999991</v>
      </c>
      <c r="M11" s="20">
        <f>T11+U11</f>
        <v>0</v>
      </c>
      <c r="N11" s="20">
        <f>E11*M11</f>
        <v>0</v>
      </c>
      <c r="O11" s="20">
        <f>H11+M11</f>
        <v>20000</v>
      </c>
      <c r="P11" s="20">
        <f>E11*O11</f>
        <v>55923.599999999991</v>
      </c>
      <c r="Q11" s="20">
        <f>O11-F11</f>
        <v>0</v>
      </c>
      <c r="R11" s="20">
        <f>P11-G11</f>
        <v>0</v>
      </c>
      <c r="S11" s="4" t="str">
        <f>'[1]Giá tháng'!K13</f>
        <v/>
      </c>
      <c r="T11" s="4">
        <f>'[1]Cước VC'!AU13</f>
        <v>0</v>
      </c>
      <c r="U11" s="4">
        <f>'[1]Cước bộ'!W13</f>
        <v>0</v>
      </c>
    </row>
    <row r="12" spans="1:21" ht="33" x14ac:dyDescent="0.15">
      <c r="A12" s="16">
        <v>7</v>
      </c>
      <c r="B12" s="17" t="str">
        <f>'[1]Giá tháng'!B14</f>
        <v>A24.0008</v>
      </c>
      <c r="C12" s="18" t="str">
        <f>'[1]Giá tháng'!C14</f>
        <v>Đá 1x2</v>
      </c>
      <c r="D12" s="17" t="str">
        <f>'[1]Giá tháng'!D14</f>
        <v>m3</v>
      </c>
      <c r="E12" s="19">
        <f>SUMIF([1]HaoPhiVatTu!S6:S154,106,[1]HaoPhiVatTu!J6:J154)</f>
        <v>78.396358300000003</v>
      </c>
      <c r="F12" s="20">
        <f>'[1]Giá tháng'!E14</f>
        <v>320000</v>
      </c>
      <c r="G12" s="20">
        <f>E12*F12</f>
        <v>25086834.655999999</v>
      </c>
      <c r="H12" s="21">
        <f>'[1]Giá tháng'!F14</f>
        <v>534000</v>
      </c>
      <c r="I12" s="20">
        <f>E12*H12</f>
        <v>41863655.332199998</v>
      </c>
      <c r="J12" s="22">
        <v>1</v>
      </c>
      <c r="K12" s="20">
        <f>H12*J12</f>
        <v>534000</v>
      </c>
      <c r="L12" s="20">
        <f>E12*K12</f>
        <v>41863655.332199998</v>
      </c>
      <c r="M12" s="20">
        <f>T12+U12</f>
        <v>0</v>
      </c>
      <c r="N12" s="20">
        <f>E12*M12</f>
        <v>0</v>
      </c>
      <c r="O12" s="20">
        <f>H12+M12</f>
        <v>534000</v>
      </c>
      <c r="P12" s="20">
        <f>E12*O12</f>
        <v>41863655.332199998</v>
      </c>
      <c r="Q12" s="20">
        <f>O12-F12</f>
        <v>214000</v>
      </c>
      <c r="R12" s="20">
        <f>P12-G12</f>
        <v>16776820.676199999</v>
      </c>
      <c r="S12" s="4" t="str">
        <f>'[1]Giá tháng'!K14</f>
        <v>Áp theo "Đá 1x2" trong Thông báo giá VL số: 320/2026/TB-SXD của Sở XD TP Hải Phòng ngày 08/05/2026. Vùng: 11</v>
      </c>
      <c r="T12" s="4">
        <f>'[1]Cước VC'!AU14</f>
        <v>0</v>
      </c>
      <c r="U12" s="4">
        <f>'[1]Cước bộ'!W14</f>
        <v>0</v>
      </c>
    </row>
    <row r="13" spans="1:21" ht="16.5" x14ac:dyDescent="0.15">
      <c r="A13" s="16">
        <v>8</v>
      </c>
      <c r="B13" s="17" t="str">
        <f>'[1]Giá tháng'!B15</f>
        <v>A24.0383A</v>
      </c>
      <c r="C13" s="18" t="str">
        <f>'[1]Giá tháng'!C15</f>
        <v>Gạch đất sét nung 6,5x10,5x22</v>
      </c>
      <c r="D13" s="17" t="str">
        <f>'[1]Giá tháng'!D15</f>
        <v>viên</v>
      </c>
      <c r="E13" s="19">
        <f>SUMIF([1]HaoPhiVatTu!S6:S154,107,[1]HaoPhiVatTu!J6:J154)</f>
        <v>58564</v>
      </c>
      <c r="F13" s="20">
        <f>'[1]Giá tháng'!E15</f>
        <v>900</v>
      </c>
      <c r="G13" s="20">
        <f>E13*F13</f>
        <v>52707600</v>
      </c>
      <c r="H13" s="21">
        <f>'[1]Giá tháng'!F15</f>
        <v>1770</v>
      </c>
      <c r="I13" s="20">
        <f>E13*H13</f>
        <v>103658280</v>
      </c>
      <c r="J13" s="22">
        <v>1</v>
      </c>
      <c r="K13" s="20">
        <f>H13*J13</f>
        <v>1770</v>
      </c>
      <c r="L13" s="20">
        <f>E13*K13</f>
        <v>103658280</v>
      </c>
      <c r="M13" s="20">
        <f>T13+U13</f>
        <v>0</v>
      </c>
      <c r="N13" s="20">
        <f>E13*M13</f>
        <v>0</v>
      </c>
      <c r="O13" s="20">
        <f>H13+M13</f>
        <v>1770</v>
      </c>
      <c r="P13" s="20">
        <f>E13*O13</f>
        <v>103658280</v>
      </c>
      <c r="Q13" s="20">
        <f>O13-F13</f>
        <v>870</v>
      </c>
      <c r="R13" s="20">
        <f>P13-G13</f>
        <v>50950680</v>
      </c>
      <c r="S13" s="4" t="str">
        <f>'[1]Giá tháng'!K15</f>
        <v/>
      </c>
      <c r="T13" s="4">
        <f>'[1]Cước VC'!AU15</f>
        <v>0</v>
      </c>
      <c r="U13" s="4">
        <f>'[1]Cước bộ'!W15</f>
        <v>0</v>
      </c>
    </row>
    <row r="14" spans="1:21" ht="16.5" x14ac:dyDescent="0.15">
      <c r="A14" s="16">
        <v>9</v>
      </c>
      <c r="B14" s="17" t="str">
        <f>'[1]Giá tháng'!B18</f>
        <v>A24.0524</v>
      </c>
      <c r="C14" s="18" t="str">
        <f>'[1]Giá tháng'!C18</f>
        <v>Nước</v>
      </c>
      <c r="D14" s="17" t="str">
        <f>'[1]Giá tháng'!D18</f>
        <v>lít</v>
      </c>
      <c r="E14" s="19">
        <f>SUMIF([1]HaoPhiVatTu!S6:S154,108,[1]HaoPhiVatTu!J6:J154)</f>
        <v>32230.828299999997</v>
      </c>
      <c r="F14" s="20">
        <f>'[1]Giá tháng'!E18</f>
        <v>12</v>
      </c>
      <c r="G14" s="20">
        <f>E14*F14</f>
        <v>386769.93959999998</v>
      </c>
      <c r="H14" s="21">
        <f>'[1]Giá tháng'!F18</f>
        <v>12</v>
      </c>
      <c r="I14" s="20">
        <f>E14*H14</f>
        <v>386769.93959999998</v>
      </c>
      <c r="J14" s="22">
        <v>1</v>
      </c>
      <c r="K14" s="20">
        <f>H14*J14</f>
        <v>12</v>
      </c>
      <c r="L14" s="20">
        <f>E14*K14</f>
        <v>386769.93959999998</v>
      </c>
      <c r="M14" s="20">
        <f>T14+U14</f>
        <v>0</v>
      </c>
      <c r="N14" s="20">
        <f>E14*M14</f>
        <v>0</v>
      </c>
      <c r="O14" s="20">
        <f>H14+M14</f>
        <v>12</v>
      </c>
      <c r="P14" s="20">
        <f>E14*O14</f>
        <v>386769.93959999998</v>
      </c>
      <c r="Q14" s="20">
        <f>O14-F14</f>
        <v>0</v>
      </c>
      <c r="R14" s="20">
        <f>P14-G14</f>
        <v>0</v>
      </c>
      <c r="S14" s="4" t="str">
        <f>'[1]Giá tháng'!K18</f>
        <v/>
      </c>
      <c r="T14" s="4">
        <f>'[1]Cước VC'!AU18</f>
        <v>0</v>
      </c>
      <c r="U14" s="4">
        <f>'[1]Cước bộ'!W18</f>
        <v>0</v>
      </c>
    </row>
    <row r="15" spans="1:21" ht="16.5" x14ac:dyDescent="0.15">
      <c r="A15" s="16">
        <v>10</v>
      </c>
      <c r="B15" s="17" t="str">
        <f>'[1]Giá tháng'!B19</f>
        <v>A24.0543</v>
      </c>
      <c r="C15" s="18" t="str">
        <f>'[1]Giá tháng'!C19</f>
        <v>Que hàn</v>
      </c>
      <c r="D15" s="17" t="str">
        <f>'[1]Giá tháng'!D19</f>
        <v>kg</v>
      </c>
      <c r="E15" s="19">
        <f>SUMIF([1]HaoPhiVatTu!S6:S154,109,[1]HaoPhiVatTu!J6:J154)</f>
        <v>2.3346</v>
      </c>
      <c r="F15" s="20">
        <f>'[1]Giá tháng'!E19</f>
        <v>25000</v>
      </c>
      <c r="G15" s="20">
        <f>E15*F15</f>
        <v>58365</v>
      </c>
      <c r="H15" s="21">
        <f>'[1]Giá tháng'!F19</f>
        <v>25000</v>
      </c>
      <c r="I15" s="20">
        <f>E15*H15</f>
        <v>58365</v>
      </c>
      <c r="J15" s="22">
        <v>1</v>
      </c>
      <c r="K15" s="20">
        <f>H15*J15</f>
        <v>25000</v>
      </c>
      <c r="L15" s="20">
        <f>E15*K15</f>
        <v>58365</v>
      </c>
      <c r="M15" s="20">
        <f>T15+U15</f>
        <v>0</v>
      </c>
      <c r="N15" s="20">
        <f>E15*M15</f>
        <v>0</v>
      </c>
      <c r="O15" s="20">
        <f>H15+M15</f>
        <v>25000</v>
      </c>
      <c r="P15" s="20">
        <f>E15*O15</f>
        <v>58365</v>
      </c>
      <c r="Q15" s="20">
        <f>O15-F15</f>
        <v>0</v>
      </c>
      <c r="R15" s="20">
        <f>P15-G15</f>
        <v>0</v>
      </c>
      <c r="S15" s="4" t="str">
        <f>'[1]Giá tháng'!K19</f>
        <v/>
      </c>
      <c r="T15" s="4">
        <f>'[1]Cước VC'!AU19</f>
        <v>0</v>
      </c>
      <c r="U15" s="4">
        <f>'[1]Cước bộ'!W19</f>
        <v>0</v>
      </c>
    </row>
    <row r="16" spans="1:21" ht="16.5" x14ac:dyDescent="0.15">
      <c r="A16" s="16">
        <v>11</v>
      </c>
      <c r="B16" s="17" t="str">
        <f>'[1]Giá tháng'!B22</f>
        <v>A24.0712</v>
      </c>
      <c r="C16" s="18" t="str">
        <f>'[1]Giá tháng'!C22</f>
        <v>Thép hình</v>
      </c>
      <c r="D16" s="17" t="str">
        <f>'[1]Giá tháng'!D22</f>
        <v>kg</v>
      </c>
      <c r="E16" s="19">
        <f>SUMIF([1]HaoPhiVatTu!S6:S154,1010,[1]HaoPhiVatTu!J6:J154)</f>
        <v>23.225700000000003</v>
      </c>
      <c r="F16" s="20">
        <f>'[1]Giá tháng'!E22</f>
        <v>19250</v>
      </c>
      <c r="G16" s="20">
        <f>E16*F16</f>
        <v>447094.72500000009</v>
      </c>
      <c r="H16" s="21">
        <f>'[1]Giá tháng'!F22</f>
        <v>19250</v>
      </c>
      <c r="I16" s="20">
        <f>E16*H16</f>
        <v>447094.72500000009</v>
      </c>
      <c r="J16" s="22">
        <v>1</v>
      </c>
      <c r="K16" s="20">
        <f>H16*J16</f>
        <v>19250</v>
      </c>
      <c r="L16" s="20">
        <f>E16*K16</f>
        <v>447094.72500000009</v>
      </c>
      <c r="M16" s="20">
        <f>T16+U16</f>
        <v>0</v>
      </c>
      <c r="N16" s="20">
        <f>E16*M16</f>
        <v>0</v>
      </c>
      <c r="O16" s="20">
        <f>H16+M16</f>
        <v>19250</v>
      </c>
      <c r="P16" s="20">
        <f>E16*O16</f>
        <v>447094.72500000009</v>
      </c>
      <c r="Q16" s="20">
        <f>O16-F16</f>
        <v>0</v>
      </c>
      <c r="R16" s="20">
        <f>P16-G16</f>
        <v>0</v>
      </c>
      <c r="S16" s="4" t="str">
        <f>'[1]Giá tháng'!K22</f>
        <v/>
      </c>
      <c r="T16" s="4">
        <f>'[1]Cước VC'!AU22</f>
        <v>0</v>
      </c>
      <c r="U16" s="4">
        <f>'[1]Cước bộ'!W22</f>
        <v>0</v>
      </c>
    </row>
    <row r="17" spans="1:21" ht="16.5" x14ac:dyDescent="0.15">
      <c r="A17" s="16">
        <v>12</v>
      </c>
      <c r="B17" s="17" t="str">
        <f>'[1]Giá tháng'!B23</f>
        <v>A24.0726</v>
      </c>
      <c r="C17" s="18" t="str">
        <f>'[1]Giá tháng'!C23</f>
        <v>Thép tấm</v>
      </c>
      <c r="D17" s="17" t="str">
        <f>'[1]Giá tháng'!D23</f>
        <v>kg</v>
      </c>
      <c r="E17" s="19">
        <f>SUMIF([1]HaoPhiVatTu!S6:S154,1011,[1]HaoPhiVatTu!J6:J154)</f>
        <v>39.375599999999999</v>
      </c>
      <c r="F17" s="20">
        <f>'[1]Giá tháng'!E23</f>
        <v>19250</v>
      </c>
      <c r="G17" s="20">
        <f>E17*F17</f>
        <v>757980.29999999993</v>
      </c>
      <c r="H17" s="21">
        <f>'[1]Giá tháng'!F23</f>
        <v>19250</v>
      </c>
      <c r="I17" s="20">
        <f>E17*H17</f>
        <v>757980.29999999993</v>
      </c>
      <c r="J17" s="22">
        <v>1</v>
      </c>
      <c r="K17" s="20">
        <f>H17*J17</f>
        <v>19250</v>
      </c>
      <c r="L17" s="20">
        <f>E17*K17</f>
        <v>757980.29999999993</v>
      </c>
      <c r="M17" s="20">
        <f>T17+U17</f>
        <v>0</v>
      </c>
      <c r="N17" s="20">
        <f>E17*M17</f>
        <v>0</v>
      </c>
      <c r="O17" s="20">
        <f>H17+M17</f>
        <v>19250</v>
      </c>
      <c r="P17" s="20">
        <f>E17*O17</f>
        <v>757980.29999999993</v>
      </c>
      <c r="Q17" s="20">
        <f>O17-F17</f>
        <v>0</v>
      </c>
      <c r="R17" s="20">
        <f>P17-G17</f>
        <v>0</v>
      </c>
      <c r="S17" s="4" t="str">
        <f>'[1]Giá tháng'!K23</f>
        <v/>
      </c>
      <c r="T17" s="4">
        <f>'[1]Cước VC'!AU23</f>
        <v>0</v>
      </c>
      <c r="U17" s="4">
        <f>'[1]Cước bộ'!W23</f>
        <v>0</v>
      </c>
    </row>
    <row r="18" spans="1:21" ht="49.5" x14ac:dyDescent="0.15">
      <c r="A18" s="16">
        <v>13</v>
      </c>
      <c r="B18" s="17" t="str">
        <f>'[1]Giá tháng'!B24</f>
        <v>A24.0738</v>
      </c>
      <c r="C18" s="18" t="str">
        <f>'[1]Giá tháng'!C24</f>
        <v>Thép tròn D&lt;=10mm</v>
      </c>
      <c r="D18" s="17" t="str">
        <f>'[1]Giá tháng'!D24</f>
        <v>kg</v>
      </c>
      <c r="E18" s="19">
        <f>SUMIF([1]HaoPhiVatTu!S6:S154,1012,[1]HaoPhiVatTu!J6:J154)</f>
        <v>174.86999999999998</v>
      </c>
      <c r="F18" s="20">
        <f>'[1]Giá tháng'!E24</f>
        <v>19200</v>
      </c>
      <c r="G18" s="20">
        <f>E18*F18</f>
        <v>3357503.9999999995</v>
      </c>
      <c r="H18" s="21">
        <f>'[1]Giá tháng'!F24</f>
        <v>15150</v>
      </c>
      <c r="I18" s="20">
        <f>E18*H18</f>
        <v>2649280.4999999995</v>
      </c>
      <c r="J18" s="22">
        <v>1</v>
      </c>
      <c r="K18" s="20">
        <f>H18*J18</f>
        <v>15150</v>
      </c>
      <c r="L18" s="20">
        <f>E18*K18</f>
        <v>2649280.4999999995</v>
      </c>
      <c r="M18" s="20">
        <f>T18+U18</f>
        <v>0</v>
      </c>
      <c r="N18" s="20">
        <f>E18*M18</f>
        <v>0</v>
      </c>
      <c r="O18" s="20">
        <f>H18+M18</f>
        <v>15150</v>
      </c>
      <c r="P18" s="20">
        <f>E18*O18</f>
        <v>2649280.4999999995</v>
      </c>
      <c r="Q18" s="20">
        <f>O18-F18</f>
        <v>-4050</v>
      </c>
      <c r="R18" s="20">
        <f>P18-G18</f>
        <v>-708223.5</v>
      </c>
      <c r="S18" s="4" t="str">
        <f>'[1]Giá tháng'!K24</f>
        <v>Áp theo "Thép trơn CT3, CB240-T D6-T, D8-T cuộn (CT CP Gang thép Thái Nguyên)" trong Thông báo giá VL số: 320/2026/TB-SXD của Sở XD TP Hải Phòng ngày 08/05/2026. Vùng: 0</v>
      </c>
      <c r="T18" s="4">
        <f>'[1]Cước VC'!AU24</f>
        <v>0</v>
      </c>
      <c r="U18" s="4">
        <f>'[1]Cước bộ'!W24</f>
        <v>0</v>
      </c>
    </row>
    <row r="19" spans="1:21" ht="49.5" x14ac:dyDescent="0.15">
      <c r="A19" s="16">
        <v>14</v>
      </c>
      <c r="B19" s="17" t="str">
        <f>'[1]Giá tháng'!B25</f>
        <v>A24.0797A</v>
      </c>
      <c r="C19" s="18" t="str">
        <f>'[1]Giá tháng'!C25</f>
        <v>Xi măng PCB30</v>
      </c>
      <c r="D19" s="17" t="str">
        <f>'[1]Giá tháng'!D25</f>
        <v>kg</v>
      </c>
      <c r="E19" s="19">
        <f>SUMIF([1]HaoPhiVatTu!S6:S154,1013,[1]HaoPhiVatTu!J6:J154)</f>
        <v>19742.739600000001</v>
      </c>
      <c r="F19" s="20">
        <f>'[1]Giá tháng'!E25</f>
        <v>1380</v>
      </c>
      <c r="G19" s="20">
        <f>E19*F19</f>
        <v>27244980.648000002</v>
      </c>
      <c r="H19" s="21">
        <f>'[1]Giá tháng'!F25</f>
        <v>1602.3150000000001</v>
      </c>
      <c r="I19" s="20">
        <f>E19*H19</f>
        <v>31634087.802174002</v>
      </c>
      <c r="J19" s="22">
        <v>1</v>
      </c>
      <c r="K19" s="20">
        <f>H19*J19</f>
        <v>1602.3150000000001</v>
      </c>
      <c r="L19" s="20">
        <f>E19*K19</f>
        <v>31634087.802174002</v>
      </c>
      <c r="M19" s="20">
        <f>T19+U19</f>
        <v>0</v>
      </c>
      <c r="N19" s="20">
        <f>E19*M19</f>
        <v>0</v>
      </c>
      <c r="O19" s="20">
        <f>H19+M19</f>
        <v>1602.3150000000001</v>
      </c>
      <c r="P19" s="20">
        <f>E19*O19</f>
        <v>31634087.802174002</v>
      </c>
      <c r="Q19" s="20">
        <f>O19-F19</f>
        <v>222.31500000000005</v>
      </c>
      <c r="R19" s="20">
        <f>P19-G19</f>
        <v>4389107.154174</v>
      </c>
      <c r="S19" s="4" t="str">
        <f>'[1]Giá tháng'!K25</f>
        <v>Áp theo "Xi măng Hải Phòng PCB30 bao (VC đường bộ, từ ngày 7/4/2026)" trong Thông báo giá VL số: 320/2026/TB-SXD của Sở XD TP Hải Phòng ngày 08/05/2026. Vùng: 11</v>
      </c>
      <c r="T19" s="4">
        <f>'[1]Cước VC'!AU25</f>
        <v>0</v>
      </c>
      <c r="U19" s="4">
        <f>'[1]Cước bộ'!W25</f>
        <v>0</v>
      </c>
    </row>
    <row r="20" spans="1:21" ht="49.5" x14ac:dyDescent="0.15">
      <c r="A20" s="16">
        <v>15</v>
      </c>
      <c r="B20" s="17" t="str">
        <f>'[1]Giá tháng'!B27</f>
        <v>A24.0796A</v>
      </c>
      <c r="C20" s="18" t="str">
        <f>'[1]Giá tháng'!C27</f>
        <v>Xi măng PCB40</v>
      </c>
      <c r="D20" s="17" t="str">
        <f>'[1]Giá tháng'!D27</f>
        <v>kg</v>
      </c>
      <c r="E20" s="19">
        <f>SUMIF([1]HaoPhiVatTu!S6:S154,1014,[1]HaoPhiVatTu!J6:J154)</f>
        <v>23311.8907</v>
      </c>
      <c r="F20" s="20">
        <f>'[1]Giá tháng'!E27</f>
        <v>1398</v>
      </c>
      <c r="G20" s="20">
        <f>E20*F20</f>
        <v>32590023.198600002</v>
      </c>
      <c r="H20" s="21">
        <f>'[1]Giá tháng'!F27</f>
        <v>1620.8330000000001</v>
      </c>
      <c r="I20" s="20">
        <f>E20*H20</f>
        <v>37784681.738953099</v>
      </c>
      <c r="J20" s="22">
        <v>1</v>
      </c>
      <c r="K20" s="20">
        <f>H20*J20</f>
        <v>1620.8330000000001</v>
      </c>
      <c r="L20" s="20">
        <f>E20*K20</f>
        <v>37784681.738953099</v>
      </c>
      <c r="M20" s="20">
        <f>T20+U20</f>
        <v>0</v>
      </c>
      <c r="N20" s="20">
        <f>E20*M20</f>
        <v>0</v>
      </c>
      <c r="O20" s="20">
        <f>H20+M20</f>
        <v>1620.8330000000001</v>
      </c>
      <c r="P20" s="20">
        <f>E20*O20</f>
        <v>37784681.738953099</v>
      </c>
      <c r="Q20" s="20">
        <f>O20-F20</f>
        <v>222.83300000000008</v>
      </c>
      <c r="R20" s="20">
        <f>P20-G20</f>
        <v>5194658.540353097</v>
      </c>
      <c r="S20" s="4" t="str">
        <f>'[1]Giá tháng'!K27</f>
        <v>Áp theo "Xi măng Hải Phòng PCB40 bao (VC đường bộ, từ ngày 7/4/2026)" trong Thông báo giá VL số: 320/2026/TB-SXD của Sở XD TP Hải Phòng ngày 08/05/2026. Vùng: 11</v>
      </c>
      <c r="T20" s="4">
        <f>'[1]Cước VC'!AU26</f>
        <v>0</v>
      </c>
      <c r="U20" s="4">
        <f>'[1]Cước bộ'!W26</f>
        <v>0</v>
      </c>
    </row>
    <row r="21" spans="1:21" ht="16.5" x14ac:dyDescent="0.15">
      <c r="A21" s="16">
        <v>16</v>
      </c>
      <c r="B21" s="17" t="s">
        <v>11</v>
      </c>
      <c r="C21" s="18" t="s">
        <v>16</v>
      </c>
      <c r="D21" s="17" t="s">
        <v>1</v>
      </c>
      <c r="E21" s="19"/>
      <c r="F21" s="20"/>
      <c r="G21" s="20">
        <f>[1]HaoPhiVatTu!M4</f>
        <v>5469138.2811670005</v>
      </c>
      <c r="H21" s="21"/>
      <c r="I21" s="20"/>
      <c r="J21" s="22"/>
      <c r="K21" s="20"/>
      <c r="L21" s="20"/>
      <c r="M21" s="20"/>
      <c r="N21" s="20"/>
      <c r="O21" s="20"/>
      <c r="P21" s="20">
        <f>[1]HaoPhiVatTu!O4</f>
        <v>9113929.5475678407</v>
      </c>
      <c r="Q21" s="20"/>
      <c r="R21" s="20">
        <f>P21-G21</f>
        <v>3644791.2664008401</v>
      </c>
    </row>
    <row r="22" spans="1:21" ht="16.5" x14ac:dyDescent="0.15">
      <c r="A22" s="23"/>
      <c r="B22" s="24"/>
      <c r="C22" s="25" t="s">
        <v>9</v>
      </c>
      <c r="D22" s="24"/>
      <c r="E22" s="26"/>
      <c r="F22" s="2"/>
      <c r="G22" s="2">
        <f>SUM(G6:G21)</f>
        <v>210611918.04836699</v>
      </c>
      <c r="H22" s="27"/>
      <c r="I22" s="2">
        <f>SUM(I6:I21)</f>
        <v>331782397.26232708</v>
      </c>
      <c r="J22" s="28"/>
      <c r="K22" s="2"/>
      <c r="L22" s="2">
        <f>SUM(L6:L21)</f>
        <v>331782397.26232708</v>
      </c>
      <c r="M22" s="2"/>
      <c r="N22" s="2">
        <f>SUM(N6:N21)</f>
        <v>0</v>
      </c>
      <c r="O22" s="2"/>
      <c r="P22" s="2">
        <f>SUM(P6:P21)</f>
        <v>340896326.80989492</v>
      </c>
      <c r="Q22" s="2"/>
      <c r="R22" s="2">
        <f>SUM(R6:R21)</f>
        <v>130284408.76152793</v>
      </c>
    </row>
    <row r="23" spans="1:21" ht="16.5" x14ac:dyDescent="0.15">
      <c r="A23" s="10" t="s">
        <v>8</v>
      </c>
      <c r="B23" s="11"/>
      <c r="C23" s="11" t="s">
        <v>7</v>
      </c>
      <c r="D23" s="11"/>
      <c r="E23" s="12"/>
      <c r="F23" s="13"/>
      <c r="G23" s="13"/>
      <c r="H23" s="14"/>
      <c r="I23" s="13"/>
      <c r="J23" s="15"/>
      <c r="K23" s="13"/>
      <c r="L23" s="13"/>
      <c r="M23" s="13"/>
      <c r="N23" s="13"/>
      <c r="O23" s="13"/>
      <c r="P23" s="13"/>
      <c r="Q23" s="13"/>
      <c r="R23" s="13"/>
    </row>
    <row r="24" spans="1:21" ht="16.5" x14ac:dyDescent="0.15">
      <c r="A24" s="16">
        <v>1</v>
      </c>
      <c r="B24" s="17" t="str">
        <f>'[1]Giá tháng'!B30</f>
        <v>N1.30</v>
      </c>
      <c r="C24" s="18" t="str">
        <f>'[1]Giá tháng'!C30</f>
        <v>Nhân công 3,0/7 - Nhóm 1</v>
      </c>
      <c r="D24" s="17" t="str">
        <f>'[1]Giá tháng'!D30</f>
        <v>công</v>
      </c>
      <c r="E24" s="19">
        <f>SUMIF([1]HaoPhiVatTu!S6:S154,200,[1]HaoPhiVatTu!K6:K154)</f>
        <v>384.05099999999999</v>
      </c>
      <c r="F24" s="20">
        <f>'[1]Giá tháng'!E30</f>
        <v>221303</v>
      </c>
      <c r="G24" s="20">
        <f>E24*F24</f>
        <v>84991638.452999994</v>
      </c>
      <c r="H24" s="21">
        <f>'[1]Giá tháng'!F30</f>
        <v>251480</v>
      </c>
      <c r="I24" s="20">
        <f>E24*H24</f>
        <v>96581145.480000004</v>
      </c>
      <c r="J24" s="22">
        <v>1</v>
      </c>
      <c r="K24" s="20">
        <f>H24*J24</f>
        <v>251480</v>
      </c>
      <c r="L24" s="20">
        <f>E24*K24</f>
        <v>96581145.480000004</v>
      </c>
      <c r="M24" s="20"/>
      <c r="N24" s="20"/>
      <c r="O24" s="20">
        <f>H24</f>
        <v>251480</v>
      </c>
      <c r="P24" s="20">
        <f>E24*O24</f>
        <v>96581145.480000004</v>
      </c>
      <c r="Q24" s="20">
        <f>O24-F24</f>
        <v>30177</v>
      </c>
      <c r="R24" s="20">
        <f>P24-G24</f>
        <v>11589507.02700001</v>
      </c>
      <c r="S24" s="4" t="str">
        <f>'[1]Giá tháng'!K30</f>
        <v>Được tính toán, rồi Link từ sheet Nhân công sang</v>
      </c>
    </row>
    <row r="25" spans="1:21" ht="16.5" x14ac:dyDescent="0.15">
      <c r="A25" s="16">
        <v>2</v>
      </c>
      <c r="B25" s="17" t="str">
        <f>'[1]Giá tháng'!B31</f>
        <v>N2.30</v>
      </c>
      <c r="C25" s="18" t="str">
        <f>'[1]Giá tháng'!C31</f>
        <v>Nhân công 3,0/7 - Nhóm 2</v>
      </c>
      <c r="D25" s="17" t="str">
        <f>'[1]Giá tháng'!D31</f>
        <v>công</v>
      </c>
      <c r="E25" s="19">
        <f>SUMIF([1]HaoPhiVatTu!S6:S154,201,[1]HaoPhiVatTu!K6:K154)</f>
        <v>121.37739999999999</v>
      </c>
      <c r="F25" s="20">
        <f>'[1]Giá tháng'!E31</f>
        <v>239592</v>
      </c>
      <c r="G25" s="20">
        <f>E25*F25</f>
        <v>29081054.020799998</v>
      </c>
      <c r="H25" s="21">
        <f>'[1]Giá tháng'!F31</f>
        <v>272513</v>
      </c>
      <c r="I25" s="20">
        <f>E25*H25</f>
        <v>33076919.406199999</v>
      </c>
      <c r="J25" s="22">
        <v>1</v>
      </c>
      <c r="K25" s="20">
        <f>H25*J25</f>
        <v>272513</v>
      </c>
      <c r="L25" s="20">
        <f>E25*K25</f>
        <v>33076919.406199999</v>
      </c>
      <c r="M25" s="20"/>
      <c r="N25" s="20"/>
      <c r="O25" s="20">
        <f>H25</f>
        <v>272513</v>
      </c>
      <c r="P25" s="20">
        <f>E25*O25</f>
        <v>33076919.406199999</v>
      </c>
      <c r="Q25" s="20">
        <f>O25-F25</f>
        <v>32921</v>
      </c>
      <c r="R25" s="20">
        <f>P25-G25</f>
        <v>3995865.385400001</v>
      </c>
      <c r="S25" s="4" t="str">
        <f>'[1]Giá tháng'!K31</f>
        <v>Được tính toán, rồi Link từ sheet Nhân công sang</v>
      </c>
    </row>
    <row r="26" spans="1:21" ht="16.5" x14ac:dyDescent="0.15">
      <c r="A26" s="16">
        <v>3</v>
      </c>
      <c r="B26" s="17" t="str">
        <f>'[1]Giá tháng'!B32</f>
        <v>N2.35</v>
      </c>
      <c r="C26" s="18" t="str">
        <f>'[1]Giá tháng'!C32</f>
        <v>Nhân công 3,5/7 - Nhóm 2</v>
      </c>
      <c r="D26" s="17" t="str">
        <f>'[1]Giá tháng'!D32</f>
        <v>công</v>
      </c>
      <c r="E26" s="19">
        <f>SUMIF([1]HaoPhiVatTu!S6:S154,202,[1]HaoPhiVatTu!K6:K154)</f>
        <v>364.67836</v>
      </c>
      <c r="F26" s="20">
        <f>'[1]Giá tháng'!E32</f>
        <v>262000</v>
      </c>
      <c r="G26" s="20">
        <f>E26*F26</f>
        <v>95545730.319999993</v>
      </c>
      <c r="H26" s="21">
        <f>'[1]Giá tháng'!F32</f>
        <v>298000</v>
      </c>
      <c r="I26" s="20">
        <f>E26*H26</f>
        <v>108674151.28</v>
      </c>
      <c r="J26" s="22">
        <v>1</v>
      </c>
      <c r="K26" s="20">
        <f>H26*J26</f>
        <v>298000</v>
      </c>
      <c r="L26" s="20">
        <f>E26*K26</f>
        <v>108674151.28</v>
      </c>
      <c r="M26" s="20"/>
      <c r="N26" s="20"/>
      <c r="O26" s="20">
        <f>H26</f>
        <v>298000</v>
      </c>
      <c r="P26" s="20">
        <f>E26*O26</f>
        <v>108674151.28</v>
      </c>
      <c r="Q26" s="20">
        <f>O26-F26</f>
        <v>36000</v>
      </c>
      <c r="R26" s="20">
        <f>P26-G26</f>
        <v>13128420.960000008</v>
      </c>
      <c r="S26" s="4" t="str">
        <f>'[1]Giá tháng'!K32</f>
        <v>Được tính toán, rồi Link từ sheet Nhân công sang</v>
      </c>
    </row>
    <row r="27" spans="1:21" ht="16.5" x14ac:dyDescent="0.15">
      <c r="A27" s="16">
        <v>4</v>
      </c>
      <c r="B27" s="17" t="str">
        <f>'[1]Giá tháng'!B33</f>
        <v>N1.40</v>
      </c>
      <c r="C27" s="18" t="str">
        <f>'[1]Giá tháng'!C33</f>
        <v>Nhân công 4,0/7 - Nhóm 1</v>
      </c>
      <c r="D27" s="17" t="str">
        <f>'[1]Giá tháng'!D33</f>
        <v>công</v>
      </c>
      <c r="E27" s="19">
        <f>SUMIF([1]HaoPhiVatTu!S6:S154,203,[1]HaoPhiVatTu!K6:K154)</f>
        <v>3.8759999999999999</v>
      </c>
      <c r="F27" s="20">
        <f>'[1]Giá tháng'!E33</f>
        <v>262697</v>
      </c>
      <c r="G27" s="20">
        <f>E27*F27</f>
        <v>1018213.5719999999</v>
      </c>
      <c r="H27" s="21">
        <f>'[1]Giá tháng'!F33</f>
        <v>298520</v>
      </c>
      <c r="I27" s="20">
        <f>E27*H27</f>
        <v>1157063.52</v>
      </c>
      <c r="J27" s="22">
        <v>1</v>
      </c>
      <c r="K27" s="20">
        <f>H27*J27</f>
        <v>298520</v>
      </c>
      <c r="L27" s="20">
        <f>E27*K27</f>
        <v>1157063.52</v>
      </c>
      <c r="M27" s="20"/>
      <c r="N27" s="20"/>
      <c r="O27" s="20">
        <f>H27</f>
        <v>298520</v>
      </c>
      <c r="P27" s="20">
        <f>E27*O27</f>
        <v>1157063.52</v>
      </c>
      <c r="Q27" s="20">
        <f>O27-F27</f>
        <v>35823</v>
      </c>
      <c r="R27" s="20">
        <f>P27-G27</f>
        <v>138849.94800000009</v>
      </c>
      <c r="S27" s="4" t="str">
        <f>'[1]Giá tháng'!K33</f>
        <v>Được tính toán, rồi Link từ sheet Nhân công sang</v>
      </c>
    </row>
    <row r="28" spans="1:21" ht="16.5" x14ac:dyDescent="0.15">
      <c r="A28" s="16">
        <v>5</v>
      </c>
      <c r="B28" s="17" t="str">
        <f>'[1]Giá tháng'!B35</f>
        <v>N2.40</v>
      </c>
      <c r="C28" s="18" t="str">
        <f>'[1]Giá tháng'!C35</f>
        <v>Nhân công 4,0/7 - Nhóm 2</v>
      </c>
      <c r="D28" s="17" t="str">
        <f>'[1]Giá tháng'!D35</f>
        <v>công</v>
      </c>
      <c r="E28" s="19">
        <f>SUMIF([1]HaoPhiVatTu!S6:S154,204,[1]HaoPhiVatTu!K6:K154)</f>
        <v>190.24100000000001</v>
      </c>
      <c r="F28" s="20">
        <f>'[1]Giá tháng'!E35</f>
        <v>284408</v>
      </c>
      <c r="G28" s="20">
        <f>E28*F28</f>
        <v>54106062.328000002</v>
      </c>
      <c r="H28" s="21">
        <f>'[1]Giá tháng'!F35</f>
        <v>323487</v>
      </c>
      <c r="I28" s="20">
        <f>E28*H28</f>
        <v>61540490.367000006</v>
      </c>
      <c r="J28" s="22">
        <v>1</v>
      </c>
      <c r="K28" s="20">
        <f>H28*J28</f>
        <v>323487</v>
      </c>
      <c r="L28" s="20">
        <f>E28*K28</f>
        <v>61540490.367000006</v>
      </c>
      <c r="M28" s="20"/>
      <c r="N28" s="20"/>
      <c r="O28" s="20">
        <f>H28</f>
        <v>323487</v>
      </c>
      <c r="P28" s="20">
        <f>E28*O28</f>
        <v>61540490.367000006</v>
      </c>
      <c r="Q28" s="20">
        <f>O28-F28</f>
        <v>39079</v>
      </c>
      <c r="R28" s="20">
        <f>P28-G28</f>
        <v>7434428.0390000045</v>
      </c>
      <c r="S28" s="4" t="str">
        <f>'[1]Giá tháng'!K35</f>
        <v>Được tính toán, rồi Link từ sheet Nhân công sang</v>
      </c>
    </row>
    <row r="29" spans="1:21" ht="16.5" x14ac:dyDescent="0.15">
      <c r="A29" s="23"/>
      <c r="B29" s="24"/>
      <c r="C29" s="25" t="s">
        <v>6</v>
      </c>
      <c r="D29" s="24"/>
      <c r="E29" s="26"/>
      <c r="F29" s="2"/>
      <c r="G29" s="2">
        <f>SUM(G24:G28)</f>
        <v>264742698.6938</v>
      </c>
      <c r="H29" s="27"/>
      <c r="I29" s="2">
        <f>SUM(I24:I28)</f>
        <v>301029770.05320001</v>
      </c>
      <c r="J29" s="28"/>
      <c r="K29" s="2"/>
      <c r="L29" s="2">
        <f>SUM(L24:L28)</f>
        <v>301029770.05320001</v>
      </c>
      <c r="M29" s="2"/>
      <c r="N29" s="2">
        <f>SUM(N24:N28)</f>
        <v>0</v>
      </c>
      <c r="O29" s="2"/>
      <c r="P29" s="2">
        <f>SUM(P24:P28)</f>
        <v>301029770.05320001</v>
      </c>
      <c r="Q29" s="2"/>
      <c r="R29" s="2">
        <f>SUM(R24:R28)</f>
        <v>36287071.359400019</v>
      </c>
    </row>
    <row r="30" spans="1:21" ht="16.5" x14ac:dyDescent="0.15">
      <c r="A30" s="10" t="s">
        <v>5</v>
      </c>
      <c r="B30" s="11"/>
      <c r="C30" s="11" t="s">
        <v>4</v>
      </c>
      <c r="D30" s="11"/>
      <c r="E30" s="12"/>
      <c r="F30" s="13"/>
      <c r="G30" s="13"/>
      <c r="H30" s="14"/>
      <c r="I30" s="13"/>
      <c r="J30" s="15"/>
      <c r="K30" s="13"/>
      <c r="L30" s="13"/>
      <c r="M30" s="13"/>
      <c r="N30" s="13"/>
      <c r="O30" s="13"/>
      <c r="P30" s="13"/>
      <c r="Q30" s="13"/>
      <c r="R30" s="13"/>
    </row>
    <row r="31" spans="1:21" ht="33" x14ac:dyDescent="0.15">
      <c r="A31" s="16">
        <v>1</v>
      </c>
      <c r="B31" s="17" t="str">
        <f>'[1]Giá tháng'!B37</f>
        <v>M112.2902</v>
      </c>
      <c r="C31" s="18" t="str">
        <f>'[1]Giá tháng'!C37</f>
        <v>Búa căn khí nén (chưa tính khí nén) - tiêu hao khí nén : 3,0 m3/ph</v>
      </c>
      <c r="D31" s="17" t="str">
        <f>'[1]Giá tháng'!D37</f>
        <v>ca</v>
      </c>
      <c r="E31" s="19">
        <f>SUMIF([1]HaoPhiVatTu!S6:S154,300,[1]HaoPhiVatTu!L6:L154)</f>
        <v>29.700000000000003</v>
      </c>
      <c r="F31" s="20">
        <f>'[1]Giá tháng'!E37</f>
        <v>21147</v>
      </c>
      <c r="G31" s="20">
        <f>E31*F31</f>
        <v>628065.9</v>
      </c>
      <c r="H31" s="21">
        <f>'[1]Giá tháng'!F37</f>
        <v>21147</v>
      </c>
      <c r="I31" s="20">
        <f>E31*H31</f>
        <v>628065.9</v>
      </c>
      <c r="J31" s="22">
        <v>1</v>
      </c>
      <c r="K31" s="20">
        <f>H31*J31</f>
        <v>21147</v>
      </c>
      <c r="L31" s="20">
        <f>E31*K31</f>
        <v>628065.9</v>
      </c>
      <c r="M31" s="20"/>
      <c r="N31" s="20">
        <f>E31*J31*M31</f>
        <v>0</v>
      </c>
      <c r="O31" s="20">
        <f>H31</f>
        <v>21147</v>
      </c>
      <c r="P31" s="20">
        <f>E31*O31</f>
        <v>628065.9</v>
      </c>
      <c r="Q31" s="20">
        <f>O31-F31</f>
        <v>0</v>
      </c>
      <c r="R31" s="20">
        <f>P31-G31</f>
        <v>0</v>
      </c>
      <c r="S31" s="4" t="str">
        <f>'[1]Giá tháng'!K37</f>
        <v>Được tính toán, rồi Link từ sheet Máy sang</v>
      </c>
    </row>
    <row r="32" spans="1:21" ht="16.5" x14ac:dyDescent="0.15">
      <c r="A32" s="16">
        <v>2</v>
      </c>
      <c r="B32" s="17" t="str">
        <f>'[1]Giá tháng'!B38</f>
        <v>M112.2601</v>
      </c>
      <c r="C32" s="18" t="str">
        <f>'[1]Giá tháng'!C38</f>
        <v>Máy cắt uốn cốt thép - công suất : 5,0 kW</v>
      </c>
      <c r="D32" s="17" t="str">
        <f>'[1]Giá tháng'!D38</f>
        <v>ca</v>
      </c>
      <c r="E32" s="19">
        <f>SUMIF([1]HaoPhiVatTu!S6:S154,301,[1]HaoPhiVatTu!L6:L154)</f>
        <v>6.9599999999999995E-2</v>
      </c>
      <c r="F32" s="20">
        <f>'[1]Giá tháng'!E38</f>
        <v>281286</v>
      </c>
      <c r="G32" s="20">
        <f>E32*F32</f>
        <v>19577.5056</v>
      </c>
      <c r="H32" s="21">
        <f>'[1]Giá tháng'!F38</f>
        <v>316279</v>
      </c>
      <c r="I32" s="20">
        <f>E32*H32</f>
        <v>22013.018399999997</v>
      </c>
      <c r="J32" s="22">
        <v>1</v>
      </c>
      <c r="K32" s="20">
        <f>H32*J32</f>
        <v>316279</v>
      </c>
      <c r="L32" s="20">
        <f>E32*K32</f>
        <v>22013.018399999997</v>
      </c>
      <c r="M32" s="20"/>
      <c r="N32" s="20">
        <f>E32*J32*M32</f>
        <v>0</v>
      </c>
      <c r="O32" s="20">
        <f>H32</f>
        <v>316279</v>
      </c>
      <c r="P32" s="20">
        <f>E32*O32</f>
        <v>22013.018399999997</v>
      </c>
      <c r="Q32" s="20">
        <f>O32-F32</f>
        <v>34993</v>
      </c>
      <c r="R32" s="20">
        <f>P32-G32</f>
        <v>2435.5127999999968</v>
      </c>
      <c r="S32" s="4" t="str">
        <f>'[1]Giá tháng'!K38</f>
        <v>Được tính toán, rồi Link từ sheet Máy sang</v>
      </c>
    </row>
    <row r="33" spans="1:19" ht="16.5" x14ac:dyDescent="0.15">
      <c r="A33" s="16">
        <v>3</v>
      </c>
      <c r="B33" s="17" t="str">
        <f>'[1]Giá tháng'!B39</f>
        <v>M101.0101</v>
      </c>
      <c r="C33" s="18" t="str">
        <f>'[1]Giá tháng'!C39</f>
        <v>Máy đào một gầu, bánh xích - dung tích gầu : 0,40 m3</v>
      </c>
      <c r="D33" s="17" t="str">
        <f>'[1]Giá tháng'!D39</f>
        <v>ca</v>
      </c>
      <c r="E33" s="19">
        <f>SUMIF([1]HaoPhiVatTu!S6:S154,302,[1]HaoPhiVatTu!L6:L154)</f>
        <v>1.2372905999999999</v>
      </c>
      <c r="F33" s="20">
        <f>'[1]Giá tháng'!E39</f>
        <v>2068759</v>
      </c>
      <c r="G33" s="20">
        <f>E33*F33</f>
        <v>2559656.0643654</v>
      </c>
      <c r="H33" s="21">
        <f>'[1]Giá tháng'!F39</f>
        <v>2277870</v>
      </c>
      <c r="I33" s="20">
        <f>E33*H33</f>
        <v>2818387.1390219997</v>
      </c>
      <c r="J33" s="22">
        <v>1</v>
      </c>
      <c r="K33" s="20">
        <f>H33*J33</f>
        <v>2277870</v>
      </c>
      <c r="L33" s="20">
        <f>E33*K33</f>
        <v>2818387.1390219997</v>
      </c>
      <c r="M33" s="20"/>
      <c r="N33" s="20">
        <f>E33*J33*M33</f>
        <v>0</v>
      </c>
      <c r="O33" s="20">
        <f>H33</f>
        <v>2277870</v>
      </c>
      <c r="P33" s="20">
        <f>E33*O33</f>
        <v>2818387.1390219997</v>
      </c>
      <c r="Q33" s="20">
        <f>O33-F33</f>
        <v>209111</v>
      </c>
      <c r="R33" s="20">
        <f>P33-G33</f>
        <v>258731.07465659967</v>
      </c>
      <c r="S33" s="4" t="str">
        <f>'[1]Giá tháng'!K39</f>
        <v>Được tính toán, rồi Link từ sheet Máy sang</v>
      </c>
    </row>
    <row r="34" spans="1:19" ht="16.5" x14ac:dyDescent="0.15">
      <c r="A34" s="16">
        <v>4</v>
      </c>
      <c r="B34" s="17" t="str">
        <f>'[1]Giá tháng'!B40</f>
        <v>M101.0102</v>
      </c>
      <c r="C34" s="18" t="str">
        <f>'[1]Giá tháng'!C40</f>
        <v>Máy đào một gầu, bánh xích - dung tích gầu : 0,50 m3</v>
      </c>
      <c r="D34" s="17" t="str">
        <f>'[1]Giá tháng'!D40</f>
        <v>ca</v>
      </c>
      <c r="E34" s="19">
        <f>SUMIF([1]HaoPhiVatTu!S6:S154,303,[1]HaoPhiVatTu!L6:L154)</f>
        <v>3.0184000000000002</v>
      </c>
      <c r="F34" s="20">
        <f>'[1]Giá tháng'!E40</f>
        <v>2391243</v>
      </c>
      <c r="G34" s="20">
        <f>E34*F34</f>
        <v>7217727.8712000009</v>
      </c>
      <c r="H34" s="21">
        <f>'[1]Giá tháng'!F40</f>
        <v>2631786</v>
      </c>
      <c r="I34" s="20">
        <f>E34*H34</f>
        <v>7943782.8624000009</v>
      </c>
      <c r="J34" s="22">
        <v>1</v>
      </c>
      <c r="K34" s="20">
        <f>H34*J34</f>
        <v>2631786</v>
      </c>
      <c r="L34" s="20">
        <f>E34*K34</f>
        <v>7943782.8624000009</v>
      </c>
      <c r="M34" s="20"/>
      <c r="N34" s="20">
        <f>E34*J34*M34</f>
        <v>0</v>
      </c>
      <c r="O34" s="20">
        <f>H34</f>
        <v>2631786</v>
      </c>
      <c r="P34" s="20">
        <f>E34*O34</f>
        <v>7943782.8624000009</v>
      </c>
      <c r="Q34" s="20">
        <f>O34-F34</f>
        <v>240543</v>
      </c>
      <c r="R34" s="20">
        <f>P34-G34</f>
        <v>726054.99120000005</v>
      </c>
      <c r="S34" s="4" t="str">
        <f>'[1]Giá tháng'!K40</f>
        <v>Được tính toán, rồi Link từ sheet Máy sang</v>
      </c>
    </row>
    <row r="35" spans="1:19" ht="16.5" x14ac:dyDescent="0.15">
      <c r="A35" s="16">
        <v>5</v>
      </c>
      <c r="B35" s="17" t="str">
        <f>'[1]Giá tháng'!B41</f>
        <v>M112.1301</v>
      </c>
      <c r="C35" s="18" t="str">
        <f>'[1]Giá tháng'!C41</f>
        <v>Máy đầm bê tông, dầm dùi - công suất : 1,5 kW</v>
      </c>
      <c r="D35" s="17" t="str">
        <f>'[1]Giá tháng'!D41</f>
        <v>ca</v>
      </c>
      <c r="E35" s="19">
        <f>SUMIF([1]HaoPhiVatTu!S6:S154,304,[1]HaoPhiVatTu!L6:L154)</f>
        <v>7.8905999999999992</v>
      </c>
      <c r="F35" s="20">
        <f>'[1]Giá tháng'!E41</f>
        <v>276782</v>
      </c>
      <c r="G35" s="20">
        <f>E35*F35</f>
        <v>2183976.0491999998</v>
      </c>
      <c r="H35" s="21">
        <f>'[1]Giá tháng'!F41</f>
        <v>311518</v>
      </c>
      <c r="I35" s="20">
        <f>E35*H35</f>
        <v>2458063.9307999997</v>
      </c>
      <c r="J35" s="22">
        <v>1</v>
      </c>
      <c r="K35" s="20">
        <f>H35*J35</f>
        <v>311518</v>
      </c>
      <c r="L35" s="20">
        <f>E35*K35</f>
        <v>2458063.9307999997</v>
      </c>
      <c r="M35" s="20"/>
      <c r="N35" s="20">
        <f>E35*J35*M35</f>
        <v>0</v>
      </c>
      <c r="O35" s="20">
        <f>H35</f>
        <v>311518</v>
      </c>
      <c r="P35" s="20">
        <f>E35*O35</f>
        <v>2458063.9307999997</v>
      </c>
      <c r="Q35" s="20">
        <f>O35-F35</f>
        <v>34736</v>
      </c>
      <c r="R35" s="20">
        <f>P35-G35</f>
        <v>274087.88159999996</v>
      </c>
      <c r="S35" s="4" t="str">
        <f>'[1]Giá tháng'!K41</f>
        <v>Được tính toán, rồi Link từ sheet Máy sang</v>
      </c>
    </row>
    <row r="36" spans="1:19" ht="16.5" x14ac:dyDescent="0.15">
      <c r="A36" s="16">
        <v>6</v>
      </c>
      <c r="B36" s="17" t="str">
        <f>'[1]Giá tháng'!B42</f>
        <v>M112.4003</v>
      </c>
      <c r="C36" s="18" t="str">
        <f>'[1]Giá tháng'!C42</f>
        <v>Máy hàn xoay chiều - công suất : 23,0 kW</v>
      </c>
      <c r="D36" s="17" t="str">
        <f>'[1]Giá tháng'!D42</f>
        <v>ca</v>
      </c>
      <c r="E36" s="19">
        <f>SUMIF([1]HaoPhiVatTu!S6:S154,305,[1]HaoPhiVatTu!L6:L154)</f>
        <v>0.59220000000000006</v>
      </c>
      <c r="F36" s="20">
        <f>'[1]Giá tháng'!E42</f>
        <v>411700</v>
      </c>
      <c r="G36" s="20">
        <f>E36*F36</f>
        <v>243808.74000000002</v>
      </c>
      <c r="H36" s="21">
        <f>'[1]Giá tháng'!F42</f>
        <v>458042</v>
      </c>
      <c r="I36" s="20">
        <f>E36*H36</f>
        <v>271252.47240000003</v>
      </c>
      <c r="J36" s="22">
        <v>1</v>
      </c>
      <c r="K36" s="20">
        <f>H36*J36</f>
        <v>458042</v>
      </c>
      <c r="L36" s="20">
        <f>E36*K36</f>
        <v>271252.47240000003</v>
      </c>
      <c r="M36" s="20"/>
      <c r="N36" s="20">
        <f>E36*J36*M36</f>
        <v>0</v>
      </c>
      <c r="O36" s="20">
        <f>H36</f>
        <v>458042</v>
      </c>
      <c r="P36" s="20">
        <f>E36*O36</f>
        <v>271252.47240000003</v>
      </c>
      <c r="Q36" s="20">
        <f>O36-F36</f>
        <v>46342</v>
      </c>
      <c r="R36" s="20">
        <f>P36-G36</f>
        <v>27443.732400000008</v>
      </c>
      <c r="S36" s="4" t="str">
        <f>'[1]Giá tháng'!K42</f>
        <v>Được tính toán, rồi Link từ sheet Máy sang</v>
      </c>
    </row>
    <row r="37" spans="1:19" ht="16.5" x14ac:dyDescent="0.15">
      <c r="A37" s="16">
        <v>7</v>
      </c>
      <c r="B37" s="17" t="str">
        <f>'[1]Giá tháng'!B43</f>
        <v>M108.0303</v>
      </c>
      <c r="C37" s="18" t="str">
        <f>'[1]Giá tháng'!C43</f>
        <v>Máy nén khí, động cơ diezel - năng suất : 360,00 m3/h</v>
      </c>
      <c r="D37" s="17" t="str">
        <f>'[1]Giá tháng'!D43</f>
        <v>ca</v>
      </c>
      <c r="E37" s="19">
        <f>SUMIF([1]HaoPhiVatTu!S6:S154,306,[1]HaoPhiVatTu!L6:L154)</f>
        <v>14.850000000000001</v>
      </c>
      <c r="F37" s="20">
        <f>'[1]Giá tháng'!E43</f>
        <v>1368647</v>
      </c>
      <c r="G37" s="20">
        <f>E37*F37</f>
        <v>20324407.950000003</v>
      </c>
      <c r="H37" s="21">
        <f>'[1]Giá tháng'!F43</f>
        <v>1546326</v>
      </c>
      <c r="I37" s="20">
        <f>E37*H37</f>
        <v>22962941.100000001</v>
      </c>
      <c r="J37" s="22">
        <v>1</v>
      </c>
      <c r="K37" s="20">
        <f>H37*J37</f>
        <v>1546326</v>
      </c>
      <c r="L37" s="20">
        <f>E37*K37</f>
        <v>22962941.100000001</v>
      </c>
      <c r="M37" s="20"/>
      <c r="N37" s="20">
        <f>E37*J37*M37</f>
        <v>0</v>
      </c>
      <c r="O37" s="20">
        <f>H37</f>
        <v>1546326</v>
      </c>
      <c r="P37" s="20">
        <f>E37*O37</f>
        <v>22962941.100000001</v>
      </c>
      <c r="Q37" s="20">
        <f>O37-F37</f>
        <v>177679</v>
      </c>
      <c r="R37" s="20">
        <f>P37-G37</f>
        <v>2638533.1499999985</v>
      </c>
      <c r="S37" s="4" t="str">
        <f>'[1]Giá tháng'!K43</f>
        <v>Được tính toán, rồi Link từ sheet Máy sang</v>
      </c>
    </row>
    <row r="38" spans="1:19" ht="16.5" x14ac:dyDescent="0.15">
      <c r="A38" s="16">
        <v>8</v>
      </c>
      <c r="B38" s="17" t="str">
        <f>'[1]Giá tháng'!B46</f>
        <v>M104.0102</v>
      </c>
      <c r="C38" s="18" t="str">
        <f>'[1]Giá tháng'!C46</f>
        <v>Máy trộn bê tông - dung tích : 250,0 lít</v>
      </c>
      <c r="D38" s="17" t="str">
        <f>'[1]Giá tháng'!D46</f>
        <v>ca</v>
      </c>
      <c r="E38" s="19">
        <f>SUMIF([1]HaoPhiVatTu!S6:S154,307,[1]HaoPhiVatTu!L6:L154)</f>
        <v>8.3429000000000002</v>
      </c>
      <c r="F38" s="20">
        <f>'[1]Giá tháng'!E46</f>
        <v>320806</v>
      </c>
      <c r="G38" s="20">
        <f>E38*F38</f>
        <v>2676452.3774000001</v>
      </c>
      <c r="H38" s="21">
        <f>'[1]Giá tháng'!F46</f>
        <v>356057</v>
      </c>
      <c r="I38" s="20">
        <f>E38*H38</f>
        <v>2970547.9453000003</v>
      </c>
      <c r="J38" s="22">
        <v>1</v>
      </c>
      <c r="K38" s="20">
        <f>H38*J38</f>
        <v>356057</v>
      </c>
      <c r="L38" s="20">
        <f>E38*K38</f>
        <v>2970547.9453000003</v>
      </c>
      <c r="M38" s="20"/>
      <c r="N38" s="20">
        <f>E38*J38*M38</f>
        <v>0</v>
      </c>
      <c r="O38" s="20">
        <f>H38</f>
        <v>356057</v>
      </c>
      <c r="P38" s="20">
        <f>E38*O38</f>
        <v>2970547.9453000003</v>
      </c>
      <c r="Q38" s="20">
        <f>O38-F38</f>
        <v>35251</v>
      </c>
      <c r="R38" s="20">
        <f>P38-G38</f>
        <v>294095.56790000014</v>
      </c>
      <c r="S38" s="4" t="str">
        <f>'[1]Giá tháng'!K46</f>
        <v>Được tính toán, rồi Link từ sheet Máy sang</v>
      </c>
    </row>
    <row r="39" spans="1:19" ht="16.5" x14ac:dyDescent="0.15">
      <c r="A39" s="16">
        <v>9</v>
      </c>
      <c r="B39" s="17" t="str">
        <f>'[1]Giá tháng'!B47</f>
        <v>M104.0202</v>
      </c>
      <c r="C39" s="18" t="str">
        <f>'[1]Giá tháng'!C47</f>
        <v>Máy trộn vữa 150 lít</v>
      </c>
      <c r="D39" s="17" t="str">
        <f>'[1]Giá tháng'!D47</f>
        <v>ca</v>
      </c>
      <c r="E39" s="19">
        <f>SUMIF([1]HaoPhiVatTu!S6:S154,308,[1]HaoPhiVatTu!L6:L154)</f>
        <v>5.1788000000000007</v>
      </c>
      <c r="F39" s="20">
        <f>'[1]Giá tháng'!E47</f>
        <v>294869</v>
      </c>
      <c r="G39" s="20">
        <f>E39*F39</f>
        <v>1527067.5772000002</v>
      </c>
      <c r="H39" s="21">
        <f>'[1]Giá tháng'!F47</f>
        <v>329734</v>
      </c>
      <c r="I39" s="20">
        <f>E39*H39</f>
        <v>1707626.4392000001</v>
      </c>
      <c r="J39" s="22">
        <v>1</v>
      </c>
      <c r="K39" s="20">
        <f>H39*J39</f>
        <v>329734</v>
      </c>
      <c r="L39" s="20">
        <f>E39*K39</f>
        <v>1707626.4392000001</v>
      </c>
      <c r="M39" s="20"/>
      <c r="N39" s="20">
        <f>E39*J39*M39</f>
        <v>0</v>
      </c>
      <c r="O39" s="20">
        <f>H39</f>
        <v>329734</v>
      </c>
      <c r="P39" s="20">
        <f>E39*O39</f>
        <v>1707626.4392000001</v>
      </c>
      <c r="Q39" s="20">
        <f>O39-F39</f>
        <v>34865</v>
      </c>
      <c r="R39" s="20">
        <f>P39-G39</f>
        <v>180558.86199999996</v>
      </c>
      <c r="S39" s="4" t="str">
        <f>'[1]Giá tháng'!K47</f>
        <v>Được tính toán, rồi Link từ sheet Máy sang</v>
      </c>
    </row>
    <row r="40" spans="1:19" ht="16.5" x14ac:dyDescent="0.15">
      <c r="A40" s="16">
        <v>10</v>
      </c>
      <c r="B40" s="17" t="str">
        <f>'[1]Giá tháng'!B48</f>
        <v>M106.0203</v>
      </c>
      <c r="C40" s="18" t="str">
        <f>'[1]Giá tháng'!C48</f>
        <v>Ô tô tự đổ - trọng tải : 7,0 T</v>
      </c>
      <c r="D40" s="17" t="str">
        <f>'[1]Giá tháng'!D48</f>
        <v>ca</v>
      </c>
      <c r="E40" s="19">
        <f>SUMIF([1]HaoPhiVatTu!S6:S154,309,[1]HaoPhiVatTu!L6:L154)</f>
        <v>1.1357955</v>
      </c>
      <c r="F40" s="20">
        <f>'[1]Giá tháng'!E48</f>
        <v>2040201</v>
      </c>
      <c r="G40" s="20">
        <f>E40*F40</f>
        <v>2317251.1148954998</v>
      </c>
      <c r="H40" s="21">
        <f>'[1]Giá tháng'!F48</f>
        <v>2257934</v>
      </c>
      <c r="I40" s="20">
        <f>E40*H40</f>
        <v>2564551.2764969999</v>
      </c>
      <c r="J40" s="22">
        <v>1</v>
      </c>
      <c r="K40" s="20">
        <f>H40*J40</f>
        <v>2257934</v>
      </c>
      <c r="L40" s="20">
        <f>E40*K40</f>
        <v>2564551.2764969999</v>
      </c>
      <c r="M40" s="20"/>
      <c r="N40" s="20">
        <f>E40*J40*M40</f>
        <v>0</v>
      </c>
      <c r="O40" s="20">
        <f>H40</f>
        <v>2257934</v>
      </c>
      <c r="P40" s="20">
        <f>E40*O40</f>
        <v>2564551.2764969999</v>
      </c>
      <c r="Q40" s="20">
        <f>O40-F40</f>
        <v>217733</v>
      </c>
      <c r="R40" s="20">
        <f>P40-G40</f>
        <v>247300.16160150012</v>
      </c>
      <c r="S40" s="4" t="str">
        <f>'[1]Giá tháng'!K48</f>
        <v>Được tính toán, rồi Link từ sheet Máy sang</v>
      </c>
    </row>
    <row r="41" spans="1:19" ht="16.5" x14ac:dyDescent="0.15">
      <c r="A41" s="16">
        <v>11</v>
      </c>
      <c r="B41" s="17" t="str">
        <f>'[1]Giá tháng'!B49</f>
        <v>M106.0104</v>
      </c>
      <c r="C41" s="18" t="str">
        <f>'[1]Giá tháng'!C49</f>
        <v>Ô tô vận tải thùng - trọng tải : 2,5 T</v>
      </c>
      <c r="D41" s="17" t="str">
        <f>'[1]Giá tháng'!D49</f>
        <v>ca</v>
      </c>
      <c r="E41" s="19">
        <f>SUMIF([1]HaoPhiVatTu!S6:S154,3010,[1]HaoPhiVatTu!L6:L154)</f>
        <v>6.1571280000000002</v>
      </c>
      <c r="F41" s="20">
        <f>'[1]Giá tháng'!E49</f>
        <v>837921</v>
      </c>
      <c r="G41" s="20">
        <f>E41*F41</f>
        <v>5159186.8508879999</v>
      </c>
      <c r="H41" s="21">
        <f>'[1]Giá tháng'!F49</f>
        <v>836684</v>
      </c>
      <c r="I41" s="20">
        <f>E41*H41</f>
        <v>5151570.4835520005</v>
      </c>
      <c r="J41" s="22">
        <v>1</v>
      </c>
      <c r="K41" s="20">
        <f>H41*J41</f>
        <v>836684</v>
      </c>
      <c r="L41" s="20">
        <f>E41*K41</f>
        <v>5151570.4835520005</v>
      </c>
      <c r="M41" s="20"/>
      <c r="N41" s="20">
        <f>E41*J41*M41</f>
        <v>0</v>
      </c>
      <c r="O41" s="20">
        <f>H41</f>
        <v>836684</v>
      </c>
      <c r="P41" s="20">
        <f>E41*O41</f>
        <v>5151570.4835520005</v>
      </c>
      <c r="Q41" s="20">
        <f>O41-F41</f>
        <v>-1237</v>
      </c>
      <c r="R41" s="20">
        <f>P41-G41</f>
        <v>-7616.3673359993845</v>
      </c>
      <c r="S41" s="4" t="str">
        <f>'[1]Giá tháng'!K49</f>
        <v>Được tính toán, rồi Link từ sheet Máy sang</v>
      </c>
    </row>
    <row r="42" spans="1:19" ht="16.5" x14ac:dyDescent="0.15">
      <c r="A42" s="16">
        <v>12</v>
      </c>
      <c r="B42" s="17" t="s">
        <v>3</v>
      </c>
      <c r="C42" s="18" t="s">
        <v>2</v>
      </c>
      <c r="D42" s="17" t="s">
        <v>1</v>
      </c>
      <c r="E42" s="19"/>
      <c r="F42" s="20"/>
      <c r="G42" s="20">
        <f>[1]HaoPhiVatTu!N4</f>
        <v>5506.0758000000005</v>
      </c>
      <c r="H42" s="21"/>
      <c r="I42" s="20"/>
      <c r="J42" s="22"/>
      <c r="K42" s="20"/>
      <c r="L42" s="20"/>
      <c r="M42" s="20"/>
      <c r="N42" s="20"/>
      <c r="O42" s="20"/>
      <c r="P42" s="20">
        <f>[1]HaoPhiVatTu!P4</f>
        <v>6125.8537079999996</v>
      </c>
      <c r="Q42" s="20"/>
      <c r="R42" s="20">
        <f>P42-G42</f>
        <v>619.77790799999912</v>
      </c>
    </row>
    <row r="43" spans="1:19" ht="16.5" x14ac:dyDescent="0.15">
      <c r="A43" s="23"/>
      <c r="B43" s="24"/>
      <c r="C43" s="25" t="s">
        <v>0</v>
      </c>
      <c r="D43" s="24"/>
      <c r="E43" s="26"/>
      <c r="F43" s="2"/>
      <c r="G43" s="2">
        <f>SUM(G31:G42)</f>
        <v>44862684.076548912</v>
      </c>
      <c r="H43" s="27"/>
      <c r="I43" s="2">
        <f>SUM(I31:I42)</f>
        <v>49498802.567570999</v>
      </c>
      <c r="J43" s="28"/>
      <c r="K43" s="2"/>
      <c r="L43" s="2">
        <f>SUM(L31:L42)</f>
        <v>49498802.567570999</v>
      </c>
      <c r="M43" s="2"/>
      <c r="N43" s="2">
        <f>SUM(N31:N42)</f>
        <v>0</v>
      </c>
      <c r="O43" s="2"/>
      <c r="P43" s="2">
        <f>SUM(P31:P42)</f>
        <v>49504928.421278998</v>
      </c>
      <c r="Q43" s="2"/>
      <c r="R43" s="2">
        <f>SUM(R31:R42)</f>
        <v>4642244.3447300987</v>
      </c>
    </row>
    <row r="44" spans="1:19" ht="26.25" customHeight="1" x14ac:dyDescent="0.15">
      <c r="A44" s="1" t="str">
        <f>A1</f>
        <v xml:space="preserve">BẢNG TỔNG HỢP VẬT TƯ 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9" ht="25.9" customHeight="1" x14ac:dyDescent="0.15">
      <c r="A45" s="5" t="s">
        <v>15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9" ht="22.15" customHeight="1" x14ac:dyDescent="0.15">
      <c r="A46" s="6" t="s">
        <v>17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9" ht="31.9" customHeight="1" x14ac:dyDescent="0.15">
      <c r="A47" s="7" t="str">
        <f>A4</f>
        <v>STT</v>
      </c>
      <c r="B47" s="8" t="str">
        <f>B4</f>
        <v>Mã số</v>
      </c>
      <c r="C47" s="8" t="str">
        <f>C4</f>
        <v>Tên vật tư</v>
      </c>
      <c r="D47" s="8" t="str">
        <f>D4</f>
        <v>Đơn vị</v>
      </c>
      <c r="E47" s="8" t="str">
        <f>E4</f>
        <v>Khối lượng</v>
      </c>
      <c r="F47" s="8" t="str">
        <f>F4</f>
        <v>Giá gốc_x000D_
(đ)</v>
      </c>
      <c r="G47" s="8" t="str">
        <f>G4</f>
        <v>Thành tiền_x000D_
(đ)</v>
      </c>
      <c r="H47" s="8" t="str">
        <f>H4</f>
        <v>Giá T.B_x000D_
(đ)</v>
      </c>
      <c r="I47" s="8" t="str">
        <f>I4</f>
        <v>Thành tiền_x000D_
(đ)</v>
      </c>
      <c r="J47" s="8" t="str">
        <f>J4</f>
        <v>Hệ số</v>
      </c>
      <c r="K47" s="8" t="str">
        <f>K4</f>
        <v>Giá T.B x H.S_x000D_
(đ)</v>
      </c>
      <c r="L47" s="8" t="str">
        <f>L4</f>
        <v>Thành tiền_x000D_
(đ)</v>
      </c>
      <c r="M47" s="8" t="str">
        <f>M4</f>
        <v>Cước V.C_x000D_
Bù NL, lương_x000D_
(đ)</v>
      </c>
      <c r="N47" s="8" t="str">
        <f>N4</f>
        <v>Thành tiền_x000D_
(đ)</v>
      </c>
      <c r="O47" s="8" t="str">
        <f>O4</f>
        <v>Giá H.T_x000D_
(đ)</v>
      </c>
      <c r="P47" s="8" t="str">
        <f>P4</f>
        <v>Thành tiền_x000D_
(đ)</v>
      </c>
      <c r="Q47" s="8" t="str">
        <f>Q4</f>
        <v>Chênh lệch_x000D_
(đ)</v>
      </c>
      <c r="R47" s="8" t="str">
        <f>R4</f>
        <v>Tổng chênh_x000D_
(đ)</v>
      </c>
      <c r="S47" s="9" t="str">
        <f>S4</f>
        <v>Ghi chú, Nguồn gốc xuất xứ</v>
      </c>
    </row>
    <row r="48" spans="1:19" ht="16.5" x14ac:dyDescent="0.15">
      <c r="A48" s="10" t="s">
        <v>13</v>
      </c>
      <c r="B48" s="11"/>
      <c r="C48" s="11" t="s">
        <v>12</v>
      </c>
      <c r="D48" s="11"/>
      <c r="E48" s="12"/>
      <c r="F48" s="13"/>
      <c r="G48" s="13"/>
      <c r="H48" s="14"/>
      <c r="I48" s="13"/>
      <c r="J48" s="15"/>
      <c r="K48" s="13"/>
      <c r="L48" s="13"/>
      <c r="M48" s="13"/>
      <c r="N48" s="13"/>
      <c r="O48" s="13"/>
      <c r="P48" s="13"/>
      <c r="Q48" s="13"/>
      <c r="R48" s="13"/>
    </row>
    <row r="49" spans="1:21" ht="19.899999999999999" customHeight="1" x14ac:dyDescent="0.15">
      <c r="A49" s="16">
        <v>1</v>
      </c>
      <c r="B49" s="17" t="str">
        <f>'[1]Giá tháng'!B8</f>
        <v>A24.0176</v>
      </c>
      <c r="C49" s="18" t="str">
        <f>'[1]Giá tháng'!C8</f>
        <v>Cát mịn Ml=1,5-2</v>
      </c>
      <c r="D49" s="17" t="str">
        <f>'[1]Giá tháng'!D8</f>
        <v>m3</v>
      </c>
      <c r="E49" s="19">
        <f>SUMIF([1]HaoPhiVatTu!S160:S217,110,[1]HaoPhiVatTu!J160:J217)</f>
        <v>31.736528999999997</v>
      </c>
      <c r="F49" s="20">
        <f>'[1]Giá tháng'!E8</f>
        <v>400000</v>
      </c>
      <c r="G49" s="20">
        <f>E49*F49</f>
        <v>12694611.6</v>
      </c>
      <c r="H49" s="21">
        <f>'[1]Giá tháng'!F8</f>
        <v>576000</v>
      </c>
      <c r="I49" s="20">
        <f>E49*H49</f>
        <v>18280240.704</v>
      </c>
      <c r="J49" s="22">
        <v>1</v>
      </c>
      <c r="K49" s="20">
        <f>H49*J49</f>
        <v>576000</v>
      </c>
      <c r="L49" s="20">
        <f>E49*K49</f>
        <v>18280240.704</v>
      </c>
      <c r="M49" s="20">
        <f>T49+U49</f>
        <v>0</v>
      </c>
      <c r="N49" s="20">
        <f>E49*M49</f>
        <v>0</v>
      </c>
      <c r="O49" s="20">
        <f>H49+M49</f>
        <v>576000</v>
      </c>
      <c r="P49" s="20">
        <f>E49*O49</f>
        <v>18280240.704</v>
      </c>
      <c r="Q49" s="20">
        <f>O49-F49</f>
        <v>176000</v>
      </c>
      <c r="R49" s="20">
        <f>P49-G49</f>
        <v>5585629.1040000003</v>
      </c>
      <c r="S49" s="4" t="str">
        <f>'[1]Giá tháng'!K8</f>
        <v>Áp theo "Cát xây, trát ML=1,5-2,0, ML=0,7-1,4" trong Thông báo giá VL số: 320/2026/TB-SXD của Sở XD TP Hải Phòng ngày 08/05/2026. Vùng: 11</v>
      </c>
      <c r="T49" s="4">
        <f>'[1]Cước VC'!AU8</f>
        <v>0</v>
      </c>
      <c r="U49" s="4">
        <f>'[1]Cước bộ'!W8</f>
        <v>0</v>
      </c>
    </row>
    <row r="50" spans="1:21" ht="18.600000000000001" customHeight="1" x14ac:dyDescent="0.15">
      <c r="A50" s="16">
        <v>2</v>
      </c>
      <c r="B50" s="17" t="str">
        <f>'[1]Giá tháng'!B10</f>
        <v>A24.0180</v>
      </c>
      <c r="C50" s="18" t="str">
        <f>'[1]Giá tháng'!C10</f>
        <v>Cát vàng</v>
      </c>
      <c r="D50" s="17" t="str">
        <f>'[1]Giá tháng'!D10</f>
        <v>m3</v>
      </c>
      <c r="E50" s="19">
        <f>SUMIF([1]HaoPhiVatTu!S160:S217,111,[1]HaoPhiVatTu!J160:J217)</f>
        <v>63.996041250000005</v>
      </c>
      <c r="F50" s="20">
        <f>'[1]Giá tháng'!E10</f>
        <v>450000</v>
      </c>
      <c r="G50" s="20">
        <f>E50*F50</f>
        <v>28798218.562500004</v>
      </c>
      <c r="H50" s="21">
        <f>'[1]Giá tháng'!F10</f>
        <v>779000</v>
      </c>
      <c r="I50" s="20">
        <f>E50*H50</f>
        <v>49852916.133750007</v>
      </c>
      <c r="J50" s="22">
        <v>1</v>
      </c>
      <c r="K50" s="20">
        <f>H50*J50</f>
        <v>779000</v>
      </c>
      <c r="L50" s="20">
        <f>E50*K50</f>
        <v>49852916.133750007</v>
      </c>
      <c r="M50" s="20">
        <f>T50+U50</f>
        <v>0</v>
      </c>
      <c r="N50" s="20">
        <f>E50*M50</f>
        <v>0</v>
      </c>
      <c r="O50" s="20">
        <f>H50+M50</f>
        <v>779000</v>
      </c>
      <c r="P50" s="20">
        <f>E50*O50</f>
        <v>49852916.133750007</v>
      </c>
      <c r="Q50" s="20">
        <f>O50-F50</f>
        <v>329000</v>
      </c>
      <c r="R50" s="20">
        <f>P50-G50</f>
        <v>21054697.571250003</v>
      </c>
      <c r="S50" s="4" t="str">
        <f>'[1]Giá tháng'!K10</f>
        <v>Áp theo "Cát bê tông ML&gt;2,0" trong Thông báo giá VL số: 320/2026/TB-SXD của Sở XD TP Hải Phòng ngày 08/05/2026. Vùng: 11</v>
      </c>
      <c r="T50" s="4">
        <f>'[1]Cước VC'!AU10</f>
        <v>0</v>
      </c>
      <c r="U50" s="4">
        <f>'[1]Cước bộ'!W10</f>
        <v>0</v>
      </c>
    </row>
    <row r="51" spans="1:21" ht="19.899999999999999" customHeight="1" x14ac:dyDescent="0.15">
      <c r="A51" s="16">
        <v>3</v>
      </c>
      <c r="B51" s="17" t="str">
        <f>'[1]Giá tháng'!B14</f>
        <v>A24.0008</v>
      </c>
      <c r="C51" s="18" t="str">
        <f>'[1]Giá tháng'!C14</f>
        <v>Đá 1x2</v>
      </c>
      <c r="D51" s="17" t="str">
        <f>'[1]Giá tháng'!D14</f>
        <v>m3</v>
      </c>
      <c r="E51" s="19">
        <f>SUMIF([1]HaoPhiVatTu!S160:S217,112,[1]HaoPhiVatTu!J160:J217)</f>
        <v>42.496090000000002</v>
      </c>
      <c r="F51" s="20">
        <f>'[1]Giá tháng'!E14</f>
        <v>320000</v>
      </c>
      <c r="G51" s="20">
        <f>E51*F51</f>
        <v>13598748.800000001</v>
      </c>
      <c r="H51" s="21">
        <f>'[1]Giá tháng'!F14</f>
        <v>534000</v>
      </c>
      <c r="I51" s="20">
        <f>E51*H51</f>
        <v>22692912.060000002</v>
      </c>
      <c r="J51" s="22">
        <v>1</v>
      </c>
      <c r="K51" s="20">
        <f>H51*J51</f>
        <v>534000</v>
      </c>
      <c r="L51" s="20">
        <f>E51*K51</f>
        <v>22692912.060000002</v>
      </c>
      <c r="M51" s="20">
        <f>T51+U51</f>
        <v>0</v>
      </c>
      <c r="N51" s="20">
        <f>E51*M51</f>
        <v>0</v>
      </c>
      <c r="O51" s="20">
        <f>H51+M51</f>
        <v>534000</v>
      </c>
      <c r="P51" s="20">
        <f>E51*O51</f>
        <v>22692912.060000002</v>
      </c>
      <c r="Q51" s="20">
        <f>O51-F51</f>
        <v>214000</v>
      </c>
      <c r="R51" s="20">
        <f>P51-G51</f>
        <v>9094163.2600000016</v>
      </c>
      <c r="S51" s="4" t="str">
        <f>'[1]Giá tháng'!K14</f>
        <v>Áp theo "Đá 1x2" trong Thông báo giá VL số: 320/2026/TB-SXD của Sở XD TP Hải Phòng ngày 08/05/2026. Vùng: 11</v>
      </c>
      <c r="T51" s="4">
        <f>'[1]Cước VC'!AU14</f>
        <v>0</v>
      </c>
      <c r="U51" s="4">
        <f>'[1]Cước bộ'!W14</f>
        <v>0</v>
      </c>
    </row>
    <row r="52" spans="1:21" ht="18.600000000000001" customHeight="1" x14ac:dyDescent="0.15">
      <c r="A52" s="16">
        <v>4</v>
      </c>
      <c r="B52" s="17" t="str">
        <f>'[1]Giá tháng'!B16</f>
        <v>A25.0199</v>
      </c>
      <c r="C52" s="18" t="str">
        <f>'[1]Giá tháng'!C16</f>
        <v>Gạch đất sét nung 6,5x10,5x22cm</v>
      </c>
      <c r="D52" s="17" t="str">
        <f>'[1]Giá tháng'!D16</f>
        <v>viên</v>
      </c>
      <c r="E52" s="19">
        <f>SUMIF([1]HaoPhiVatTu!S160:S217,113,[1]HaoPhiVatTu!J160:J217)</f>
        <v>51651.27</v>
      </c>
      <c r="F52" s="20">
        <f>'[1]Giá tháng'!E16</f>
        <v>900</v>
      </c>
      <c r="G52" s="20">
        <f>E52*F52</f>
        <v>46486143</v>
      </c>
      <c r="H52" s="21">
        <f>'[1]Giá tháng'!F16</f>
        <v>1770</v>
      </c>
      <c r="I52" s="20">
        <f>E52*H52</f>
        <v>91422747.899999991</v>
      </c>
      <c r="J52" s="22">
        <v>1</v>
      </c>
      <c r="K52" s="20">
        <f>H52*J52</f>
        <v>1770</v>
      </c>
      <c r="L52" s="20">
        <f>E52*K52</f>
        <v>91422747.899999991</v>
      </c>
      <c r="M52" s="20">
        <f>T52+U52</f>
        <v>0</v>
      </c>
      <c r="N52" s="20">
        <f>E52*M52</f>
        <v>0</v>
      </c>
      <c r="O52" s="20">
        <f>H52+M52</f>
        <v>1770</v>
      </c>
      <c r="P52" s="20">
        <f>E52*O52</f>
        <v>91422747.899999991</v>
      </c>
      <c r="Q52" s="20">
        <f>O52-F52</f>
        <v>870</v>
      </c>
      <c r="R52" s="20">
        <f>P52-G52</f>
        <v>44936604.899999991</v>
      </c>
      <c r="S52" s="4" t="str">
        <f>'[1]Giá tháng'!K16</f>
        <v>Áp theo "Gạch tuynel Đông Triều (5,5x9,5x20,2) gạch đặc A1" trong Thông báo giá VL số: 320/2026/TB-SXD của Sở XD TP Hải Phòng ngày 08/05/2026. Vùng: 11</v>
      </c>
      <c r="T52" s="4">
        <f>'[1]Cước VC'!AU16</f>
        <v>0</v>
      </c>
      <c r="U52" s="4">
        <f>'[1]Cước bộ'!W16</f>
        <v>0</v>
      </c>
    </row>
    <row r="53" spans="1:21" ht="16.5" x14ac:dyDescent="0.15">
      <c r="A53" s="16">
        <v>5</v>
      </c>
      <c r="B53" s="17" t="str">
        <f>'[1]Giá tháng'!B18</f>
        <v>A24.0524</v>
      </c>
      <c r="C53" s="18" t="str">
        <f>'[1]Giá tháng'!C18</f>
        <v>Nước</v>
      </c>
      <c r="D53" s="17" t="str">
        <f>'[1]Giá tháng'!D18</f>
        <v>lít</v>
      </c>
      <c r="E53" s="19">
        <f>SUMIF([1]HaoPhiVatTu!S160:S217,114,[1]HaoPhiVatTu!J160:J217)</f>
        <v>25395.019500000002</v>
      </c>
      <c r="F53" s="20">
        <f>'[1]Giá tháng'!E18</f>
        <v>12</v>
      </c>
      <c r="G53" s="20">
        <f>E53*F53</f>
        <v>304740.23400000005</v>
      </c>
      <c r="H53" s="21">
        <f>'[1]Giá tháng'!F18</f>
        <v>12</v>
      </c>
      <c r="I53" s="20">
        <f>E53*H53</f>
        <v>304740.23400000005</v>
      </c>
      <c r="J53" s="22">
        <v>1</v>
      </c>
      <c r="K53" s="20">
        <f>H53*J53</f>
        <v>12</v>
      </c>
      <c r="L53" s="20">
        <f>E53*K53</f>
        <v>304740.23400000005</v>
      </c>
      <c r="M53" s="20">
        <f>T53+U53</f>
        <v>0</v>
      </c>
      <c r="N53" s="20">
        <f>E53*M53</f>
        <v>0</v>
      </c>
      <c r="O53" s="20">
        <f>H53+M53</f>
        <v>12</v>
      </c>
      <c r="P53" s="20">
        <f>E53*O53</f>
        <v>304740.23400000005</v>
      </c>
      <c r="Q53" s="20">
        <f>O53-F53</f>
        <v>0</v>
      </c>
      <c r="R53" s="20">
        <f>P53-G53</f>
        <v>0</v>
      </c>
      <c r="S53" s="4" t="str">
        <f>'[1]Giá tháng'!K18</f>
        <v/>
      </c>
      <c r="T53" s="4">
        <f>'[1]Cước VC'!AU18</f>
        <v>0</v>
      </c>
      <c r="U53" s="4">
        <f>'[1]Cước bộ'!W18</f>
        <v>0</v>
      </c>
    </row>
    <row r="54" spans="1:21" ht="23.45" customHeight="1" x14ac:dyDescent="0.15">
      <c r="A54" s="16">
        <v>6</v>
      </c>
      <c r="B54" s="17" t="str">
        <f>'[1]Giá tháng'!B25</f>
        <v>A24.0797A</v>
      </c>
      <c r="C54" s="18" t="str">
        <f>'[1]Giá tháng'!C25</f>
        <v>Xi măng PCB30</v>
      </c>
      <c r="D54" s="17" t="str">
        <f>'[1]Giá tháng'!D25</f>
        <v>kg</v>
      </c>
      <c r="E54" s="19">
        <f>SUMIF([1]HaoPhiVatTu!S160:S217,115,[1]HaoPhiVatTu!J160:J217)</f>
        <v>19615.8855</v>
      </c>
      <c r="F54" s="20">
        <f>'[1]Giá tháng'!E25</f>
        <v>1380</v>
      </c>
      <c r="G54" s="20">
        <f>E54*F54</f>
        <v>27069921.990000002</v>
      </c>
      <c r="H54" s="21">
        <f>'[1]Giá tháng'!F25</f>
        <v>1602.3150000000001</v>
      </c>
      <c r="I54" s="20">
        <f>E54*H54</f>
        <v>31430827.574932501</v>
      </c>
      <c r="J54" s="22">
        <v>1</v>
      </c>
      <c r="K54" s="20">
        <f>H54*J54</f>
        <v>1602.3150000000001</v>
      </c>
      <c r="L54" s="20">
        <f>E54*K54</f>
        <v>31430827.574932501</v>
      </c>
      <c r="M54" s="20">
        <f>T54+U54</f>
        <v>0</v>
      </c>
      <c r="N54" s="20">
        <f>E54*M54</f>
        <v>0</v>
      </c>
      <c r="O54" s="20">
        <f>H54+M54</f>
        <v>1602.3150000000001</v>
      </c>
      <c r="P54" s="20">
        <f>E54*O54</f>
        <v>31430827.574932501</v>
      </c>
      <c r="Q54" s="20">
        <f>O54-F54</f>
        <v>222.31500000000005</v>
      </c>
      <c r="R54" s="20">
        <f>P54-G54</f>
        <v>4360905.5849324986</v>
      </c>
      <c r="S54" s="4" t="str">
        <f>'[1]Giá tháng'!K25</f>
        <v>Áp theo "Xi măng Hải Phòng PCB30 bao (VC đường bộ, từ ngày 7/4/2026)" trong Thông báo giá VL số: 320/2026/TB-SXD của Sở XD TP Hải Phòng ngày 08/05/2026. Vùng: 11</v>
      </c>
      <c r="T54" s="4">
        <f>'[1]Cước VC'!AU25</f>
        <v>0</v>
      </c>
      <c r="U54" s="4">
        <f>'[1]Cước bộ'!W25</f>
        <v>0</v>
      </c>
    </row>
    <row r="55" spans="1:21" ht="21.6" customHeight="1" x14ac:dyDescent="0.15">
      <c r="A55" s="16">
        <v>7</v>
      </c>
      <c r="B55" s="17" t="str">
        <f>'[1]Giá tháng'!B27</f>
        <v>A24.0796A</v>
      </c>
      <c r="C55" s="18" t="str">
        <f>'[1]Giá tháng'!C27</f>
        <v>Xi măng PCB40</v>
      </c>
      <c r="D55" s="17" t="str">
        <f>'[1]Giá tháng'!D27</f>
        <v>kg</v>
      </c>
      <c r="E55" s="19">
        <f>SUMIF([1]HaoPhiVatTu!S160:S217,116,[1]HaoPhiVatTu!J160:J217)</f>
        <v>12636.61</v>
      </c>
      <c r="F55" s="20">
        <f>'[1]Giá tháng'!E27</f>
        <v>1398</v>
      </c>
      <c r="G55" s="20">
        <f>E55*F55</f>
        <v>17665980.780000001</v>
      </c>
      <c r="H55" s="21">
        <f>'[1]Giá tháng'!F27</f>
        <v>1620.8330000000001</v>
      </c>
      <c r="I55" s="20">
        <f>E55*H55</f>
        <v>20481834.496130001</v>
      </c>
      <c r="J55" s="22">
        <v>1</v>
      </c>
      <c r="K55" s="20">
        <f>H55*J55</f>
        <v>1620.8330000000001</v>
      </c>
      <c r="L55" s="20">
        <f>E55*K55</f>
        <v>20481834.496130001</v>
      </c>
      <c r="M55" s="20">
        <f>T55+U55</f>
        <v>0</v>
      </c>
      <c r="N55" s="20">
        <f>E55*M55</f>
        <v>0</v>
      </c>
      <c r="O55" s="20">
        <f>H55+M55</f>
        <v>1620.8330000000001</v>
      </c>
      <c r="P55" s="20">
        <f>E55*O55</f>
        <v>20481834.496130001</v>
      </c>
      <c r="Q55" s="20">
        <f>O55-F55</f>
        <v>222.83300000000008</v>
      </c>
      <c r="R55" s="20">
        <f>P55-G55</f>
        <v>2815853.7161299996</v>
      </c>
      <c r="S55" s="4" t="str">
        <f>'[1]Giá tháng'!K27</f>
        <v>Áp theo "Xi măng Hải Phòng PCB40 bao (VC đường bộ, từ ngày 7/4/2026)" trong Thông báo giá VL số: 320/2026/TB-SXD của Sở XD TP Hải Phòng ngày 08/05/2026. Vùng: 11</v>
      </c>
      <c r="T55" s="4">
        <f>'[1]Cước VC'!AU26</f>
        <v>0</v>
      </c>
      <c r="U55" s="4">
        <f>'[1]Cước bộ'!W26</f>
        <v>0</v>
      </c>
    </row>
    <row r="56" spans="1:21" ht="16.5" x14ac:dyDescent="0.15">
      <c r="A56" s="16">
        <v>8</v>
      </c>
      <c r="B56" s="17" t="s">
        <v>11</v>
      </c>
      <c r="C56" s="18" t="s">
        <v>16</v>
      </c>
      <c r="D56" s="17" t="s">
        <v>1</v>
      </c>
      <c r="E56" s="19"/>
      <c r="F56" s="20"/>
      <c r="G56" s="20">
        <f>[1]HaoPhiVatTu!M158</f>
        <v>1374629.957075</v>
      </c>
      <c r="H56" s="21"/>
      <c r="I56" s="20"/>
      <c r="J56" s="22"/>
      <c r="K56" s="20"/>
      <c r="L56" s="20"/>
      <c r="M56" s="20"/>
      <c r="N56" s="20"/>
      <c r="O56" s="20"/>
      <c r="P56" s="20">
        <f>[1]HaoPhiVatTu!O158</f>
        <v>2024424.747005675</v>
      </c>
      <c r="Q56" s="20"/>
      <c r="R56" s="20">
        <f>P56-G56</f>
        <v>649794.78993067495</v>
      </c>
    </row>
    <row r="57" spans="1:21" ht="16.5" x14ac:dyDescent="0.15">
      <c r="A57" s="23"/>
      <c r="B57" s="24"/>
      <c r="C57" s="25" t="s">
        <v>9</v>
      </c>
      <c r="D57" s="24"/>
      <c r="E57" s="26"/>
      <c r="F57" s="2"/>
      <c r="G57" s="2">
        <f>SUM(G49:G56)</f>
        <v>147992994.92357501</v>
      </c>
      <c r="H57" s="27"/>
      <c r="I57" s="2">
        <f>SUM(I49:I56)</f>
        <v>234466219.10281247</v>
      </c>
      <c r="J57" s="28"/>
      <c r="K57" s="2"/>
      <c r="L57" s="2">
        <f>SUM(L49:L56)</f>
        <v>234466219.10281247</v>
      </c>
      <c r="M57" s="2"/>
      <c r="N57" s="2">
        <f>SUM(N49:N56)</f>
        <v>0</v>
      </c>
      <c r="O57" s="2"/>
      <c r="P57" s="2">
        <f>SUM(P49:P56)</f>
        <v>236490643.84981814</v>
      </c>
      <c r="Q57" s="2"/>
      <c r="R57" s="2">
        <f>SUM(R49:R56)</f>
        <v>88497648.926243171</v>
      </c>
    </row>
    <row r="58" spans="1:21" ht="16.5" x14ac:dyDescent="0.15">
      <c r="A58" s="10" t="s">
        <v>8</v>
      </c>
      <c r="B58" s="11"/>
      <c r="C58" s="11" t="s">
        <v>7</v>
      </c>
      <c r="D58" s="11"/>
      <c r="E58" s="12"/>
      <c r="F58" s="13"/>
      <c r="G58" s="13"/>
      <c r="H58" s="14"/>
      <c r="I58" s="13"/>
      <c r="J58" s="15"/>
      <c r="K58" s="13"/>
      <c r="L58" s="13"/>
      <c r="M58" s="13"/>
      <c r="N58" s="13"/>
      <c r="O58" s="13"/>
      <c r="P58" s="13"/>
      <c r="Q58" s="13"/>
      <c r="R58" s="13"/>
    </row>
    <row r="59" spans="1:21" ht="16.5" x14ac:dyDescent="0.15">
      <c r="A59" s="16">
        <v>1</v>
      </c>
      <c r="B59" s="17" t="str">
        <f>'[1]Giá tháng'!B30</f>
        <v>N1.30</v>
      </c>
      <c r="C59" s="18" t="str">
        <f>'[1]Giá tháng'!C30</f>
        <v>Nhân công 3,0/7 - Nhóm 1</v>
      </c>
      <c r="D59" s="17" t="str">
        <f>'[1]Giá tháng'!D30</f>
        <v>công</v>
      </c>
      <c r="E59" s="19">
        <f>SUMIF([1]HaoPhiVatTu!S160:S217,210,[1]HaoPhiVatTu!K160:K217)</f>
        <v>302.21049999999997</v>
      </c>
      <c r="F59" s="20">
        <f>'[1]Giá tháng'!E30</f>
        <v>221303</v>
      </c>
      <c r="G59" s="20">
        <f>E59*F59</f>
        <v>66880090.281499989</v>
      </c>
      <c r="H59" s="21">
        <f>'[1]Giá tháng'!F30</f>
        <v>251480</v>
      </c>
      <c r="I59" s="20">
        <f>E59*H59</f>
        <v>75999896.539999992</v>
      </c>
      <c r="J59" s="22">
        <v>1</v>
      </c>
      <c r="K59" s="20">
        <f>H59*J59</f>
        <v>251480</v>
      </c>
      <c r="L59" s="20">
        <f>E59*K59</f>
        <v>75999896.539999992</v>
      </c>
      <c r="M59" s="20"/>
      <c r="N59" s="20"/>
      <c r="O59" s="20">
        <f>H59</f>
        <v>251480</v>
      </c>
      <c r="P59" s="20">
        <f>E59*O59</f>
        <v>75999896.539999992</v>
      </c>
      <c r="Q59" s="20">
        <f>O59-F59</f>
        <v>30177</v>
      </c>
      <c r="R59" s="20">
        <f>P59-G59</f>
        <v>9119806.2585000023</v>
      </c>
      <c r="S59" s="4" t="str">
        <f>'[1]Giá tháng'!K30</f>
        <v>Được tính toán, rồi Link từ sheet Nhân công sang</v>
      </c>
    </row>
    <row r="60" spans="1:21" ht="16.5" x14ac:dyDescent="0.15">
      <c r="A60" s="16">
        <v>2</v>
      </c>
      <c r="B60" s="17" t="str">
        <f>'[1]Giá tháng'!B31</f>
        <v>N2.30</v>
      </c>
      <c r="C60" s="18" t="str">
        <f>'[1]Giá tháng'!C31</f>
        <v>Nhân công 3,0/7 - Nhóm 2</v>
      </c>
      <c r="D60" s="17" t="str">
        <f>'[1]Giá tháng'!D31</f>
        <v>công</v>
      </c>
      <c r="E60" s="19">
        <f>SUMIF([1]HaoPhiVatTu!S160:S217,211,[1]HaoPhiVatTu!K160:K217)</f>
        <v>58.548000000000002</v>
      </c>
      <c r="F60" s="20">
        <f>'[1]Giá tháng'!E31</f>
        <v>239592</v>
      </c>
      <c r="G60" s="20">
        <f>E60*F60</f>
        <v>14027632.416000001</v>
      </c>
      <c r="H60" s="21">
        <f>'[1]Giá tháng'!F31</f>
        <v>272513</v>
      </c>
      <c r="I60" s="20">
        <f>E60*H60</f>
        <v>15955091.124</v>
      </c>
      <c r="J60" s="22">
        <v>1</v>
      </c>
      <c r="K60" s="20">
        <f>H60*J60</f>
        <v>272513</v>
      </c>
      <c r="L60" s="20">
        <f>E60*K60</f>
        <v>15955091.124</v>
      </c>
      <c r="M60" s="20"/>
      <c r="N60" s="20"/>
      <c r="O60" s="20">
        <f>H60</f>
        <v>272513</v>
      </c>
      <c r="P60" s="20">
        <f>E60*O60</f>
        <v>15955091.124</v>
      </c>
      <c r="Q60" s="20">
        <f>O60-F60</f>
        <v>32921</v>
      </c>
      <c r="R60" s="20">
        <f>P60-G60</f>
        <v>1927458.7079999987</v>
      </c>
      <c r="S60" s="4" t="str">
        <f>'[1]Giá tháng'!K31</f>
        <v>Được tính toán, rồi Link từ sheet Nhân công sang</v>
      </c>
    </row>
    <row r="61" spans="1:21" ht="16.5" x14ac:dyDescent="0.15">
      <c r="A61" s="16">
        <v>3</v>
      </c>
      <c r="B61" s="17" t="str">
        <f>'[1]Giá tháng'!B32</f>
        <v>N2.35</v>
      </c>
      <c r="C61" s="18" t="str">
        <f>'[1]Giá tháng'!C32</f>
        <v>Nhân công 3,5/7 - Nhóm 2</v>
      </c>
      <c r="D61" s="17" t="str">
        <f>'[1]Giá tháng'!D32</f>
        <v>công</v>
      </c>
      <c r="E61" s="19">
        <f>SUMIF([1]HaoPhiVatTu!S160:S217,212,[1]HaoPhiVatTu!K160:K217)</f>
        <v>162.04319999999998</v>
      </c>
      <c r="F61" s="20">
        <f>'[1]Giá tháng'!E32</f>
        <v>262000</v>
      </c>
      <c r="G61" s="20">
        <f>E61*F61</f>
        <v>42455318.399999999</v>
      </c>
      <c r="H61" s="21">
        <f>'[1]Giá tháng'!F32</f>
        <v>298000</v>
      </c>
      <c r="I61" s="20">
        <f>E61*H61</f>
        <v>48288873.599999994</v>
      </c>
      <c r="J61" s="22">
        <v>1</v>
      </c>
      <c r="K61" s="20">
        <f>H61*J61</f>
        <v>298000</v>
      </c>
      <c r="L61" s="20">
        <f>E61*K61</f>
        <v>48288873.599999994</v>
      </c>
      <c r="M61" s="20"/>
      <c r="N61" s="20"/>
      <c r="O61" s="20">
        <f>H61</f>
        <v>298000</v>
      </c>
      <c r="P61" s="20">
        <f>E61*O61</f>
        <v>48288873.599999994</v>
      </c>
      <c r="Q61" s="20">
        <f>O61-F61</f>
        <v>36000</v>
      </c>
      <c r="R61" s="20">
        <f>P61-G61</f>
        <v>5833555.1999999955</v>
      </c>
      <c r="S61" s="4" t="str">
        <f>'[1]Giá tháng'!K32</f>
        <v>Được tính toán, rồi Link từ sheet Nhân công sang</v>
      </c>
    </row>
    <row r="62" spans="1:21" ht="16.5" x14ac:dyDescent="0.15">
      <c r="A62" s="16">
        <v>4</v>
      </c>
      <c r="B62" s="17" t="str">
        <f>'[1]Giá tháng'!B34</f>
        <v>N2.40</v>
      </c>
      <c r="C62" s="18" t="str">
        <f>'[1]Giá tháng'!C34</f>
        <v>Nhân công 4,0/7 - Nhóm 2</v>
      </c>
      <c r="D62" s="17" t="str">
        <f>'[1]Giá tháng'!D34</f>
        <v>công</v>
      </c>
      <c r="E62" s="19">
        <f>SUMIF([1]HaoPhiVatTu!S160:S217,213,[1]HaoPhiVatTu!K160:K217)</f>
        <v>411.1995</v>
      </c>
      <c r="F62" s="20">
        <f>'[1]Giá tháng'!E34</f>
        <v>284408</v>
      </c>
      <c r="G62" s="20">
        <f>E62*F62</f>
        <v>116948427.396</v>
      </c>
      <c r="H62" s="21">
        <f>'[1]Giá tháng'!F34</f>
        <v>323487</v>
      </c>
      <c r="I62" s="20">
        <f>E62*H62</f>
        <v>133017692.6565</v>
      </c>
      <c r="J62" s="22">
        <v>1</v>
      </c>
      <c r="K62" s="20">
        <f>H62*J62</f>
        <v>323487</v>
      </c>
      <c r="L62" s="20">
        <f>E62*K62</f>
        <v>133017692.6565</v>
      </c>
      <c r="M62" s="20"/>
      <c r="N62" s="20"/>
      <c r="O62" s="20">
        <f>H62</f>
        <v>323487</v>
      </c>
      <c r="P62" s="20">
        <f>E62*O62</f>
        <v>133017692.6565</v>
      </c>
      <c r="Q62" s="20">
        <f>O62-F62</f>
        <v>39079</v>
      </c>
      <c r="R62" s="20">
        <f>P62-G62</f>
        <v>16069265.260499999</v>
      </c>
      <c r="S62" s="4" t="str">
        <f>'[1]Giá tháng'!K34</f>
        <v>Được tính toán, rồi Link từ sheet Nhân công sang</v>
      </c>
    </row>
    <row r="63" spans="1:21" ht="16.5" x14ac:dyDescent="0.15">
      <c r="A63" s="23"/>
      <c r="B63" s="24"/>
      <c r="C63" s="25" t="s">
        <v>6</v>
      </c>
      <c r="D63" s="24"/>
      <c r="E63" s="26"/>
      <c r="F63" s="2"/>
      <c r="G63" s="2">
        <f>SUM(G59:G62)</f>
        <v>240311468.49349999</v>
      </c>
      <c r="H63" s="27"/>
      <c r="I63" s="2">
        <f>SUM(I59:I62)</f>
        <v>273261553.92049998</v>
      </c>
      <c r="J63" s="28"/>
      <c r="K63" s="2"/>
      <c r="L63" s="2">
        <f>SUM(L59:L62)</f>
        <v>273261553.92049998</v>
      </c>
      <c r="M63" s="2"/>
      <c r="N63" s="2">
        <f>SUM(N59:N62)</f>
        <v>0</v>
      </c>
      <c r="O63" s="2"/>
      <c r="P63" s="2">
        <f>SUM(P59:P62)</f>
        <v>273261553.92049998</v>
      </c>
      <c r="Q63" s="2"/>
      <c r="R63" s="2">
        <f>SUM(R59:R62)</f>
        <v>32950085.426999994</v>
      </c>
    </row>
    <row r="64" spans="1:21" ht="16.5" x14ac:dyDescent="0.15">
      <c r="A64" s="10" t="s">
        <v>5</v>
      </c>
      <c r="B64" s="11"/>
      <c r="C64" s="11" t="s">
        <v>4</v>
      </c>
      <c r="D64" s="11"/>
      <c r="E64" s="12"/>
      <c r="F64" s="13"/>
      <c r="G64" s="13"/>
      <c r="H64" s="14"/>
      <c r="I64" s="13"/>
      <c r="J64" s="15"/>
      <c r="K64" s="13"/>
      <c r="L64" s="13"/>
      <c r="M64" s="13"/>
      <c r="N64" s="13"/>
      <c r="O64" s="13"/>
      <c r="P64" s="13"/>
      <c r="Q64" s="13"/>
      <c r="R64" s="13"/>
    </row>
    <row r="65" spans="1:26" ht="33" x14ac:dyDescent="0.15">
      <c r="A65" s="16">
        <v>1</v>
      </c>
      <c r="B65" s="17" t="str">
        <f>'[1]Giá tháng'!B37</f>
        <v>M112.2902</v>
      </c>
      <c r="C65" s="18" t="str">
        <f>'[1]Giá tháng'!C37</f>
        <v>Búa căn khí nén (chưa tính khí nén) - tiêu hao khí nén : 3,0 m3/ph</v>
      </c>
      <c r="D65" s="17" t="str">
        <f>'[1]Giá tháng'!D37</f>
        <v>ca</v>
      </c>
      <c r="E65" s="19">
        <f>SUMIF([1]HaoPhiVatTu!S160:S217,310,[1]HaoPhiVatTu!L160:L217)</f>
        <v>15.694499999999998</v>
      </c>
      <c r="F65" s="20">
        <f>'[1]Giá tháng'!E37</f>
        <v>21147</v>
      </c>
      <c r="G65" s="20">
        <f>E65*F65</f>
        <v>331891.59149999998</v>
      </c>
      <c r="H65" s="21">
        <f>'[1]Giá tháng'!F37</f>
        <v>21147</v>
      </c>
      <c r="I65" s="20">
        <f>E65*H65</f>
        <v>331891.59149999998</v>
      </c>
      <c r="J65" s="22">
        <v>1</v>
      </c>
      <c r="K65" s="20">
        <f>H65*J65</f>
        <v>21147</v>
      </c>
      <c r="L65" s="20">
        <f>E65*K65</f>
        <v>331891.59149999998</v>
      </c>
      <c r="M65" s="20"/>
      <c r="N65" s="20">
        <f>E65*J65*M65</f>
        <v>0</v>
      </c>
      <c r="O65" s="20">
        <f>H65</f>
        <v>21147</v>
      </c>
      <c r="P65" s="20">
        <f>E65*O65</f>
        <v>331891.59149999998</v>
      </c>
      <c r="Q65" s="20">
        <f>O65-F65</f>
        <v>0</v>
      </c>
      <c r="R65" s="20">
        <f>P65-G65</f>
        <v>0</v>
      </c>
      <c r="S65" s="4" t="str">
        <f>'[1]Giá tháng'!K37</f>
        <v>Được tính toán, rồi Link từ sheet Máy sang</v>
      </c>
    </row>
    <row r="66" spans="1:26" ht="16.5" x14ac:dyDescent="0.15">
      <c r="A66" s="16">
        <v>2</v>
      </c>
      <c r="B66" s="17" t="str">
        <f>'[1]Giá tháng'!B39</f>
        <v>M101.0101</v>
      </c>
      <c r="C66" s="18" t="str">
        <f>'[1]Giá tháng'!C39</f>
        <v>Máy đào một gầu, bánh xích - dung tích gầu : 0,40 m3</v>
      </c>
      <c r="D66" s="17" t="str">
        <f>'[1]Giá tháng'!D39</f>
        <v>ca</v>
      </c>
      <c r="E66" s="19">
        <f>SUMIF([1]HaoPhiVatTu!S160:S217,311,[1]HaoPhiVatTu!L160:L217)</f>
        <v>6.3925100000000012E-2</v>
      </c>
      <c r="F66" s="20">
        <f>'[1]Giá tháng'!E39</f>
        <v>2068759</v>
      </c>
      <c r="G66" s="20">
        <f>E66*F66</f>
        <v>132245.62595090002</v>
      </c>
      <c r="H66" s="21">
        <f>'[1]Giá tháng'!F39</f>
        <v>2277870</v>
      </c>
      <c r="I66" s="20">
        <f>E66*H66</f>
        <v>145613.06753700002</v>
      </c>
      <c r="J66" s="22">
        <v>1</v>
      </c>
      <c r="K66" s="20">
        <f>H66*J66</f>
        <v>2277870</v>
      </c>
      <c r="L66" s="20">
        <f>E66*K66</f>
        <v>145613.06753700002</v>
      </c>
      <c r="M66" s="20"/>
      <c r="N66" s="20">
        <f>E66*J66*M66</f>
        <v>0</v>
      </c>
      <c r="O66" s="20">
        <f>H66</f>
        <v>2277870</v>
      </c>
      <c r="P66" s="20">
        <f>E66*O66</f>
        <v>145613.06753700002</v>
      </c>
      <c r="Q66" s="20">
        <f>O66-F66</f>
        <v>209111</v>
      </c>
      <c r="R66" s="20">
        <f>P66-G66</f>
        <v>13367.441586100002</v>
      </c>
      <c r="S66" s="4" t="str">
        <f>'[1]Giá tháng'!K39</f>
        <v>Được tính toán, rồi Link từ sheet Máy sang</v>
      </c>
    </row>
    <row r="67" spans="1:26" ht="16.5" x14ac:dyDescent="0.15">
      <c r="A67" s="16">
        <v>3</v>
      </c>
      <c r="B67" s="17" t="str">
        <f>'[1]Giá tháng'!B41</f>
        <v>M112.1301</v>
      </c>
      <c r="C67" s="18" t="str">
        <f>'[1]Giá tháng'!C41</f>
        <v>Máy đầm bê tông, dầm dùi - công suất : 1,5 kW</v>
      </c>
      <c r="D67" s="17" t="str">
        <f>'[1]Giá tháng'!D41</f>
        <v>ca</v>
      </c>
      <c r="E67" s="19">
        <f>SUMIF([1]HaoPhiVatTu!S160:S217,312,[1]HaoPhiVatTu!L160:L217)</f>
        <v>4.2363999999999997</v>
      </c>
      <c r="F67" s="20">
        <f>'[1]Giá tháng'!E41</f>
        <v>276782</v>
      </c>
      <c r="G67" s="20">
        <f>E67*F67</f>
        <v>1172559.2648</v>
      </c>
      <c r="H67" s="21">
        <f>'[1]Giá tháng'!F41</f>
        <v>311518</v>
      </c>
      <c r="I67" s="20">
        <f>E67*H67</f>
        <v>1319714.8551999999</v>
      </c>
      <c r="J67" s="22">
        <v>1</v>
      </c>
      <c r="K67" s="20">
        <f>H67*J67</f>
        <v>311518</v>
      </c>
      <c r="L67" s="20">
        <f>E67*K67</f>
        <v>1319714.8551999999</v>
      </c>
      <c r="M67" s="20"/>
      <c r="N67" s="20">
        <f>E67*J67*M67</f>
        <v>0</v>
      </c>
      <c r="O67" s="20">
        <f>H67</f>
        <v>311518</v>
      </c>
      <c r="P67" s="20">
        <f>E67*O67</f>
        <v>1319714.8551999999</v>
      </c>
      <c r="Q67" s="20">
        <f>O67-F67</f>
        <v>34736</v>
      </c>
      <c r="R67" s="20">
        <f>P67-G67</f>
        <v>147155.59039999987</v>
      </c>
      <c r="S67" s="4" t="str">
        <f>'[1]Giá tháng'!K41</f>
        <v>Được tính toán, rồi Link từ sheet Máy sang</v>
      </c>
    </row>
    <row r="68" spans="1:26" ht="16.5" x14ac:dyDescent="0.15">
      <c r="A68" s="16">
        <v>4</v>
      </c>
      <c r="B68" s="17" t="str">
        <f>'[1]Giá tháng'!B43</f>
        <v>M108.0303</v>
      </c>
      <c r="C68" s="18" t="str">
        <f>'[1]Giá tháng'!C43</f>
        <v>Máy nén khí, động cơ diezel - năng suất : 360,00 m3/h</v>
      </c>
      <c r="D68" s="17" t="str">
        <f>'[1]Giá tháng'!D43</f>
        <v>ca</v>
      </c>
      <c r="E68" s="19">
        <f>SUMIF([1]HaoPhiVatTu!S160:S217,313,[1]HaoPhiVatTu!L160:L217)</f>
        <v>7.8472499999999989</v>
      </c>
      <c r="F68" s="20">
        <f>'[1]Giá tháng'!E43</f>
        <v>1368647</v>
      </c>
      <c r="G68" s="20">
        <f>E68*F68</f>
        <v>10740115.170749998</v>
      </c>
      <c r="H68" s="21">
        <f>'[1]Giá tháng'!F43</f>
        <v>1546326</v>
      </c>
      <c r="I68" s="20">
        <f>E68*H68</f>
        <v>12134406.703499999</v>
      </c>
      <c r="J68" s="22">
        <v>1</v>
      </c>
      <c r="K68" s="20">
        <f>H68*J68</f>
        <v>1546326</v>
      </c>
      <c r="L68" s="20">
        <f>E68*K68</f>
        <v>12134406.703499999</v>
      </c>
      <c r="M68" s="20"/>
      <c r="N68" s="20">
        <f>E68*J68*M68</f>
        <v>0</v>
      </c>
      <c r="O68" s="20">
        <f>H68</f>
        <v>1546326</v>
      </c>
      <c r="P68" s="20">
        <f>E68*O68</f>
        <v>12134406.703499999</v>
      </c>
      <c r="Q68" s="20">
        <f>O68-F68</f>
        <v>177679</v>
      </c>
      <c r="R68" s="20">
        <f>P68-G68</f>
        <v>1394291.5327500012</v>
      </c>
      <c r="S68" s="4" t="str">
        <f>'[1]Giá tháng'!K43</f>
        <v>Được tính toán, rồi Link từ sheet Máy sang</v>
      </c>
    </row>
    <row r="69" spans="1:26" ht="16.5" x14ac:dyDescent="0.15">
      <c r="A69" s="16">
        <v>5</v>
      </c>
      <c r="B69" s="17" t="str">
        <f>'[1]Giá tháng'!B46</f>
        <v>M104.0102</v>
      </c>
      <c r="C69" s="18" t="str">
        <f>'[1]Giá tháng'!C46</f>
        <v>Máy trộn bê tông - dung tích : 250,0 lít</v>
      </c>
      <c r="D69" s="17" t="str">
        <f>'[1]Giá tháng'!D46</f>
        <v>ca</v>
      </c>
      <c r="E69" s="19">
        <f>SUMIF([1]HaoPhiVatTu!S160:S217,314,[1]HaoPhiVatTu!L160:L217)</f>
        <v>4.5220000000000002</v>
      </c>
      <c r="F69" s="20">
        <f>'[1]Giá tháng'!E46</f>
        <v>320806</v>
      </c>
      <c r="G69" s="20">
        <f>E69*F69</f>
        <v>1450684.7320000001</v>
      </c>
      <c r="H69" s="21">
        <f>'[1]Giá tháng'!F46</f>
        <v>356057</v>
      </c>
      <c r="I69" s="20">
        <f>E69*H69</f>
        <v>1610089.7540000002</v>
      </c>
      <c r="J69" s="22">
        <v>1</v>
      </c>
      <c r="K69" s="20">
        <f>H69*J69</f>
        <v>356057</v>
      </c>
      <c r="L69" s="20">
        <f>E69*K69</f>
        <v>1610089.7540000002</v>
      </c>
      <c r="M69" s="20"/>
      <c r="N69" s="20">
        <f>E69*J69*M69</f>
        <v>0</v>
      </c>
      <c r="O69" s="20">
        <f>H69</f>
        <v>356057</v>
      </c>
      <c r="P69" s="20">
        <f>E69*O69</f>
        <v>1610089.7540000002</v>
      </c>
      <c r="Q69" s="20">
        <f>O69-F69</f>
        <v>35251</v>
      </c>
      <c r="R69" s="20">
        <f>P69-G69</f>
        <v>159405.02200000011</v>
      </c>
      <c r="S69" s="4" t="str">
        <f>'[1]Giá tháng'!K46</f>
        <v>Được tính toán, rồi Link từ sheet Máy sang</v>
      </c>
    </row>
    <row r="70" spans="1:26" ht="16.5" x14ac:dyDescent="0.15">
      <c r="A70" s="16">
        <v>6</v>
      </c>
      <c r="B70" s="17" t="str">
        <f>'[1]Giá tháng'!B48</f>
        <v>M106.0203</v>
      </c>
      <c r="C70" s="18" t="str">
        <f>'[1]Giá tháng'!C48</f>
        <v>Ô tô tự đổ - trọng tải : 7,0 T</v>
      </c>
      <c r="D70" s="17" t="str">
        <f>'[1]Giá tháng'!D48</f>
        <v>ca</v>
      </c>
      <c r="E70" s="19">
        <f>SUMIF([1]HaoPhiVatTu!S160:S217,315,[1]HaoPhiVatTu!L160:L217)</f>
        <v>1.7122265999999999</v>
      </c>
      <c r="F70" s="20">
        <f>'[1]Giá tháng'!E48</f>
        <v>2040201</v>
      </c>
      <c r="G70" s="20">
        <f>E70*F70</f>
        <v>3493286.4215465998</v>
      </c>
      <c r="H70" s="21">
        <f>'[1]Giá tháng'!F48</f>
        <v>2257934</v>
      </c>
      <c r="I70" s="20">
        <f>E70*H70</f>
        <v>3866094.6558443997</v>
      </c>
      <c r="J70" s="22">
        <v>1</v>
      </c>
      <c r="K70" s="20">
        <f>H70*J70</f>
        <v>2257934</v>
      </c>
      <c r="L70" s="20">
        <f>E70*K70</f>
        <v>3866094.6558443997</v>
      </c>
      <c r="M70" s="20"/>
      <c r="N70" s="20">
        <f>E70*J70*M70</f>
        <v>0</v>
      </c>
      <c r="O70" s="20">
        <f>H70</f>
        <v>2257934</v>
      </c>
      <c r="P70" s="20">
        <f>E70*O70</f>
        <v>3866094.6558443997</v>
      </c>
      <c r="Q70" s="20">
        <f>O70-F70</f>
        <v>217733</v>
      </c>
      <c r="R70" s="20">
        <f>P70-G70</f>
        <v>372808.23429779988</v>
      </c>
      <c r="S70" s="4" t="str">
        <f>'[1]Giá tháng'!K48</f>
        <v>Được tính toán, rồi Link từ sheet Máy sang</v>
      </c>
    </row>
    <row r="71" spans="1:26" ht="16.5" x14ac:dyDescent="0.15">
      <c r="A71" s="16">
        <v>7</v>
      </c>
      <c r="B71" s="17" t="str">
        <f>'[1]Giá tháng'!B49</f>
        <v>M106.0104</v>
      </c>
      <c r="C71" s="18" t="str">
        <f>'[1]Giá tháng'!C49</f>
        <v>Ô tô vận tải thùng - trọng tải : 2,5 T</v>
      </c>
      <c r="D71" s="17" t="str">
        <f>'[1]Giá tháng'!D49</f>
        <v>ca</v>
      </c>
      <c r="E71" s="19">
        <f>SUMIF([1]HaoPhiVatTu!S160:S217,316,[1]HaoPhiVatTu!L160:L217)</f>
        <v>3.948896</v>
      </c>
      <c r="F71" s="20">
        <f>'[1]Giá tháng'!E49</f>
        <v>837921</v>
      </c>
      <c r="G71" s="20">
        <f>E71*F71</f>
        <v>3308862.885216</v>
      </c>
      <c r="H71" s="21">
        <f>'[1]Giá tháng'!F49</f>
        <v>836684</v>
      </c>
      <c r="I71" s="20">
        <f>E71*H71</f>
        <v>3303978.1008640002</v>
      </c>
      <c r="J71" s="22">
        <v>1</v>
      </c>
      <c r="K71" s="20">
        <f>H71*J71</f>
        <v>836684</v>
      </c>
      <c r="L71" s="20">
        <f>E71*K71</f>
        <v>3303978.1008640002</v>
      </c>
      <c r="M71" s="20"/>
      <c r="N71" s="20">
        <f>E71*J71*M71</f>
        <v>0</v>
      </c>
      <c r="O71" s="20">
        <f>H71</f>
        <v>836684</v>
      </c>
      <c r="P71" s="20">
        <f>E71*O71</f>
        <v>3303978.1008640002</v>
      </c>
      <c r="Q71" s="20">
        <f>O71-F71</f>
        <v>-1237</v>
      </c>
      <c r="R71" s="20">
        <f>P71-G71</f>
        <v>-4884.7843519998714</v>
      </c>
      <c r="S71" s="4" t="str">
        <f>'[1]Giá tháng'!K49</f>
        <v>Được tính toán, rồi Link từ sheet Máy sang</v>
      </c>
    </row>
    <row r="72" spans="1:26" ht="16.5" x14ac:dyDescent="0.15">
      <c r="A72" s="23"/>
      <c r="B72" s="24"/>
      <c r="C72" s="25" t="s">
        <v>0</v>
      </c>
      <c r="D72" s="24"/>
      <c r="E72" s="26"/>
      <c r="F72" s="2"/>
      <c r="G72" s="2">
        <f>SUM(G65:G71)</f>
        <v>20629645.691763502</v>
      </c>
      <c r="H72" s="27"/>
      <c r="I72" s="2">
        <f>SUM(I65:I71)</f>
        <v>22711788.7284454</v>
      </c>
      <c r="J72" s="28"/>
      <c r="K72" s="2"/>
      <c r="L72" s="2">
        <f>SUM(L65:L71)</f>
        <v>22711788.7284454</v>
      </c>
      <c r="M72" s="2"/>
      <c r="N72" s="2">
        <f>SUM(N65:N71)</f>
        <v>0</v>
      </c>
      <c r="O72" s="2"/>
      <c r="P72" s="2">
        <f>SUM(P65:P71)</f>
        <v>22711788.7284454</v>
      </c>
      <c r="Q72" s="2"/>
      <c r="R72" s="2">
        <f>SUM(R65:R71)</f>
        <v>2082143.0366819012</v>
      </c>
    </row>
    <row r="73" spans="1:26" ht="26.25" customHeight="1" x14ac:dyDescent="0.15">
      <c r="A73" s="1" t="str">
        <f>A1</f>
        <v xml:space="preserve">BẢNG TỔNG HỢP VẬT TƯ 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26" ht="22.9" customHeight="1" x14ac:dyDescent="0.15">
      <c r="A74" s="5" t="s">
        <v>15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6" ht="19.149999999999999" customHeight="1" x14ac:dyDescent="0.15">
      <c r="A75" s="6" t="s">
        <v>14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Z75" s="29"/>
    </row>
    <row r="76" spans="1:26" ht="45" customHeight="1" x14ac:dyDescent="0.15">
      <c r="A76" s="7" t="str">
        <f>A4</f>
        <v>STT</v>
      </c>
      <c r="B76" s="8" t="str">
        <f>B4</f>
        <v>Mã số</v>
      </c>
      <c r="C76" s="8" t="str">
        <f>C4</f>
        <v>Tên vật tư</v>
      </c>
      <c r="D76" s="8" t="str">
        <f>D4</f>
        <v>Đơn vị</v>
      </c>
      <c r="E76" s="8" t="str">
        <f>E4</f>
        <v>Khối lượng</v>
      </c>
      <c r="F76" s="8" t="str">
        <f>F4</f>
        <v>Giá gốc_x000D_
(đ)</v>
      </c>
      <c r="G76" s="8" t="str">
        <f>G4</f>
        <v>Thành tiền_x000D_
(đ)</v>
      </c>
      <c r="H76" s="8" t="str">
        <f>H4</f>
        <v>Giá T.B_x000D_
(đ)</v>
      </c>
      <c r="I76" s="8" t="str">
        <f>I4</f>
        <v>Thành tiền_x000D_
(đ)</v>
      </c>
      <c r="J76" s="8" t="str">
        <f>J4</f>
        <v>Hệ số</v>
      </c>
      <c r="K76" s="8" t="str">
        <f>K4</f>
        <v>Giá T.B x H.S_x000D_
(đ)</v>
      </c>
      <c r="L76" s="8" t="str">
        <f>L4</f>
        <v>Thành tiền_x000D_
(đ)</v>
      </c>
      <c r="M76" s="8" t="str">
        <f>M4</f>
        <v>Cước V.C_x000D_
Bù NL, lương_x000D_
(đ)</v>
      </c>
      <c r="N76" s="8" t="str">
        <f>N4</f>
        <v>Thành tiền_x000D_
(đ)</v>
      </c>
      <c r="O76" s="8" t="str">
        <f>O4</f>
        <v>Giá H.T_x000D_
(đ)</v>
      </c>
      <c r="P76" s="8" t="str">
        <f>P4</f>
        <v>Thành tiền_x000D_
(đ)</v>
      </c>
      <c r="Q76" s="8" t="str">
        <f>Q4</f>
        <v>Chênh lệch_x000D_
(đ)</v>
      </c>
      <c r="R76" s="8" t="str">
        <f>R4</f>
        <v>Tổng chênh_x000D_
(đ)</v>
      </c>
      <c r="S76" s="9" t="str">
        <f>S4</f>
        <v>Ghi chú, Nguồn gốc xuất xứ</v>
      </c>
    </row>
    <row r="77" spans="1:26" ht="16.5" x14ac:dyDescent="0.15">
      <c r="A77" s="10" t="s">
        <v>13</v>
      </c>
      <c r="B77" s="11"/>
      <c r="C77" s="11" t="s">
        <v>12</v>
      </c>
      <c r="D77" s="11"/>
      <c r="E77" s="12"/>
      <c r="F77" s="13"/>
      <c r="G77" s="13"/>
      <c r="H77" s="14"/>
      <c r="I77" s="13"/>
      <c r="J77" s="15"/>
      <c r="K77" s="13"/>
      <c r="L77" s="13"/>
      <c r="M77" s="13"/>
      <c r="N77" s="13"/>
      <c r="O77" s="13"/>
      <c r="P77" s="13"/>
      <c r="Q77" s="13"/>
      <c r="R77" s="13"/>
    </row>
    <row r="78" spans="1:26" ht="16.5" x14ac:dyDescent="0.15">
      <c r="A78" s="16">
        <v>1</v>
      </c>
      <c r="B78" s="17" t="str">
        <f>'[1]Giá tháng'!B11</f>
        <v>A28.0091</v>
      </c>
      <c r="C78" s="18" t="str">
        <f>'[1]Giá tháng'!C11</f>
        <v>Cọc gỗ (4x4x40) cm</v>
      </c>
      <c r="D78" s="17" t="str">
        <f>'[1]Giá tháng'!D11</f>
        <v>cái</v>
      </c>
      <c r="E78" s="19">
        <f>SUMIF([1]HaoPhiVatTu!S223:S258,120,[1]HaoPhiVatTu!J223:J258)</f>
        <v>45.1</v>
      </c>
      <c r="F78" s="20">
        <f>'[1]Giá tháng'!E11</f>
        <v>3000</v>
      </c>
      <c r="G78" s="20">
        <f>E78*F78</f>
        <v>135300</v>
      </c>
      <c r="H78" s="21">
        <f>'[1]Giá tháng'!F11</f>
        <v>3000</v>
      </c>
      <c r="I78" s="20">
        <f>E78*H78</f>
        <v>135300</v>
      </c>
      <c r="J78" s="22">
        <v>1</v>
      </c>
      <c r="K78" s="20">
        <f>H78*J78</f>
        <v>3000</v>
      </c>
      <c r="L78" s="20">
        <f>E78*K78</f>
        <v>135300</v>
      </c>
      <c r="M78" s="20">
        <f>T78+U78</f>
        <v>0</v>
      </c>
      <c r="N78" s="20">
        <f>E78*M78</f>
        <v>0</v>
      </c>
      <c r="O78" s="20">
        <f>H78+M78</f>
        <v>3000</v>
      </c>
      <c r="P78" s="20">
        <f>E78*O78</f>
        <v>135300</v>
      </c>
      <c r="Q78" s="20">
        <f>O78-F78</f>
        <v>0</v>
      </c>
      <c r="R78" s="20">
        <f>P78-G78</f>
        <v>0</v>
      </c>
      <c r="S78" s="4" t="str">
        <f>'[1]Giá tháng'!K11</f>
        <v/>
      </c>
      <c r="T78" s="4">
        <f>'[1]Cước VC'!AU11</f>
        <v>0</v>
      </c>
      <c r="U78" s="4">
        <f>'[1]Cước bộ'!W11</f>
        <v>0</v>
      </c>
    </row>
    <row r="79" spans="1:26" ht="16.5" x14ac:dyDescent="0.15">
      <c r="A79" s="16">
        <v>2</v>
      </c>
      <c r="B79" s="17" t="str">
        <f>'[1]Giá tháng'!B17</f>
        <v>A28.0249</v>
      </c>
      <c r="C79" s="18" t="str">
        <f>'[1]Giá tháng'!C17</f>
        <v>Mốc bê tông đúc sẵn</v>
      </c>
      <c r="D79" s="17" t="str">
        <f>'[1]Giá tháng'!D17</f>
        <v>cái</v>
      </c>
      <c r="E79" s="19">
        <f>SUMIF([1]HaoPhiVatTu!S223:S258,121,[1]HaoPhiVatTu!J223:J258)</f>
        <v>2.16</v>
      </c>
      <c r="F79" s="20">
        <f>'[1]Giá tháng'!E17</f>
        <v>20000</v>
      </c>
      <c r="G79" s="20">
        <f>E79*F79</f>
        <v>43200</v>
      </c>
      <c r="H79" s="21">
        <f>'[1]Giá tháng'!F17</f>
        <v>20000</v>
      </c>
      <c r="I79" s="20">
        <f>E79*H79</f>
        <v>43200</v>
      </c>
      <c r="J79" s="22">
        <v>1</v>
      </c>
      <c r="K79" s="20">
        <f>H79*J79</f>
        <v>20000</v>
      </c>
      <c r="L79" s="20">
        <f>E79*K79</f>
        <v>43200</v>
      </c>
      <c r="M79" s="20">
        <f>T79+U79</f>
        <v>0</v>
      </c>
      <c r="N79" s="20">
        <f>E79*M79</f>
        <v>0</v>
      </c>
      <c r="O79" s="20">
        <f>H79+M79</f>
        <v>20000</v>
      </c>
      <c r="P79" s="20">
        <f>E79*O79</f>
        <v>43200</v>
      </c>
      <c r="Q79" s="20">
        <f>O79-F79</f>
        <v>0</v>
      </c>
      <c r="R79" s="20">
        <f>P79-G79</f>
        <v>0</v>
      </c>
      <c r="S79" s="4" t="str">
        <f>'[1]Giá tháng'!K17</f>
        <v/>
      </c>
      <c r="T79" s="4">
        <f>'[1]Cước VC'!AU17</f>
        <v>0</v>
      </c>
      <c r="U79" s="4">
        <f>'[1]Cước bộ'!W17</f>
        <v>0</v>
      </c>
    </row>
    <row r="80" spans="1:26" ht="16.5" x14ac:dyDescent="0.15">
      <c r="A80" s="16">
        <v>3</v>
      </c>
      <c r="B80" s="17" t="str">
        <f>'[1]Giá tháng'!B20</f>
        <v>A28.0298</v>
      </c>
      <c r="C80" s="18" t="str">
        <f>'[1]Giá tháng'!C20</f>
        <v>Sổ đo</v>
      </c>
      <c r="D80" s="17" t="str">
        <f>'[1]Giá tháng'!D20</f>
        <v>quyển</v>
      </c>
      <c r="E80" s="19">
        <f>SUMIF([1]HaoPhiVatTu!S223:S258,122,[1]HaoPhiVatTu!J223:J258)</f>
        <v>0.27</v>
      </c>
      <c r="F80" s="20">
        <f>'[1]Giá tháng'!E20</f>
        <v>5000</v>
      </c>
      <c r="G80" s="20">
        <f>E80*F80</f>
        <v>1350</v>
      </c>
      <c r="H80" s="21">
        <f>'[1]Giá tháng'!F20</f>
        <v>5000</v>
      </c>
      <c r="I80" s="20">
        <f>E80*H80</f>
        <v>1350</v>
      </c>
      <c r="J80" s="22">
        <v>1</v>
      </c>
      <c r="K80" s="20">
        <f>H80*J80</f>
        <v>5000</v>
      </c>
      <c r="L80" s="20">
        <f>E80*K80</f>
        <v>1350</v>
      </c>
      <c r="M80" s="20">
        <f>T80+U80</f>
        <v>0</v>
      </c>
      <c r="N80" s="20">
        <f>E80*M80</f>
        <v>0</v>
      </c>
      <c r="O80" s="20">
        <f>H80+M80</f>
        <v>5000</v>
      </c>
      <c r="P80" s="20">
        <f>E80*O80</f>
        <v>1350</v>
      </c>
      <c r="Q80" s="20">
        <f>O80-F80</f>
        <v>0</v>
      </c>
      <c r="R80" s="20">
        <f>P80-G80</f>
        <v>0</v>
      </c>
      <c r="S80" s="4" t="str">
        <f>'[1]Giá tháng'!K20</f>
        <v/>
      </c>
      <c r="T80" s="4">
        <f>'[1]Cước VC'!AU20</f>
        <v>0</v>
      </c>
      <c r="U80" s="4">
        <f>'[1]Cước bộ'!W20</f>
        <v>0</v>
      </c>
    </row>
    <row r="81" spans="1:21" ht="16.5" x14ac:dyDescent="0.15">
      <c r="A81" s="16">
        <v>4</v>
      </c>
      <c r="B81" s="17" t="str">
        <f>'[1]Giá tháng'!B21</f>
        <v>A28.0295</v>
      </c>
      <c r="C81" s="18" t="str">
        <f>'[1]Giá tháng'!C21</f>
        <v>Sơn đỏ + trắng</v>
      </c>
      <c r="D81" s="17" t="str">
        <f>'[1]Giá tháng'!D21</f>
        <v>kg</v>
      </c>
      <c r="E81" s="19">
        <f>SUMIF([1]HaoPhiVatTu!S223:S258,123,[1]HaoPhiVatTu!J223:J258)</f>
        <v>0.77500000000000002</v>
      </c>
      <c r="F81" s="20">
        <f>'[1]Giá tháng'!E21</f>
        <v>41440</v>
      </c>
      <c r="G81" s="20">
        <f>E81*F81</f>
        <v>32116</v>
      </c>
      <c r="H81" s="21">
        <f>'[1]Giá tháng'!F21</f>
        <v>41440</v>
      </c>
      <c r="I81" s="20">
        <f>E81*H81</f>
        <v>32116</v>
      </c>
      <c r="J81" s="22">
        <v>1</v>
      </c>
      <c r="K81" s="20">
        <f>H81*J81</f>
        <v>41440</v>
      </c>
      <c r="L81" s="20">
        <f>E81*K81</f>
        <v>32116</v>
      </c>
      <c r="M81" s="20">
        <f>T81+U81</f>
        <v>0</v>
      </c>
      <c r="N81" s="20">
        <f>E81*M81</f>
        <v>0</v>
      </c>
      <c r="O81" s="20">
        <f>H81+M81</f>
        <v>41440</v>
      </c>
      <c r="P81" s="20">
        <f>E81*O81</f>
        <v>32116</v>
      </c>
      <c r="Q81" s="20">
        <f>O81-F81</f>
        <v>0</v>
      </c>
      <c r="R81" s="20">
        <f>P81-G81</f>
        <v>0</v>
      </c>
      <c r="S81" s="4" t="str">
        <f>'[1]Giá tháng'!K21</f>
        <v/>
      </c>
      <c r="T81" s="4">
        <f>'[1]Cước VC'!AU21</f>
        <v>0</v>
      </c>
      <c r="U81" s="4">
        <f>'[1]Cước bộ'!W21</f>
        <v>0</v>
      </c>
    </row>
    <row r="82" spans="1:21" ht="49.5" x14ac:dyDescent="0.15">
      <c r="A82" s="16">
        <v>5</v>
      </c>
      <c r="B82" s="17" t="str">
        <f>'[1]Giá tháng'!B26</f>
        <v>A28.0341</v>
      </c>
      <c r="C82" s="18" t="str">
        <f>'[1]Giá tháng'!C26</f>
        <v>Xi măng PCB30</v>
      </c>
      <c r="D82" s="17" t="str">
        <f>'[1]Giá tháng'!D26</f>
        <v>kg</v>
      </c>
      <c r="E82" s="19">
        <f>SUMIF([1]HaoPhiVatTu!S223:S258,124,[1]HaoPhiVatTu!J223:J258)</f>
        <v>10.8</v>
      </c>
      <c r="F82" s="20">
        <f>'[1]Giá tháng'!E26</f>
        <v>1380</v>
      </c>
      <c r="G82" s="20">
        <f>E82*F82</f>
        <v>14904.000000000002</v>
      </c>
      <c r="H82" s="21">
        <f>'[1]Giá tháng'!F26</f>
        <v>1602.3150000000001</v>
      </c>
      <c r="I82" s="20">
        <f>E82*H82</f>
        <v>17305.002</v>
      </c>
      <c r="J82" s="22">
        <v>1</v>
      </c>
      <c r="K82" s="20">
        <f>H82*J82</f>
        <v>1602.3150000000001</v>
      </c>
      <c r="L82" s="20">
        <f>E82*K82</f>
        <v>17305.002</v>
      </c>
      <c r="M82" s="20">
        <f>T82+U82</f>
        <v>0</v>
      </c>
      <c r="N82" s="20">
        <f>E82*M82</f>
        <v>0</v>
      </c>
      <c r="O82" s="20">
        <f>H82+M82</f>
        <v>1602.3150000000001</v>
      </c>
      <c r="P82" s="20">
        <f>E82*O82</f>
        <v>17305.002</v>
      </c>
      <c r="Q82" s="20">
        <f>O82-F82</f>
        <v>222.31500000000005</v>
      </c>
      <c r="R82" s="20">
        <f>P82-G82</f>
        <v>2401.0019999999986</v>
      </c>
      <c r="S82" s="4" t="str">
        <f>'[1]Giá tháng'!K26</f>
        <v>Áp theo "Xi măng Hải Phòng PCB30 bao (VC đường bộ, từ ngày 7/4/2026)" trong Thông báo giá VL số: 320/2026/TB-SXD của Sở XD TP Hải Phòng ngày 08/05/2026. Vùng: 11</v>
      </c>
      <c r="T82" s="4">
        <f>'[1]Cước VC'!AU25</f>
        <v>0</v>
      </c>
      <c r="U82" s="4">
        <f>'[1]Cước bộ'!W25</f>
        <v>0</v>
      </c>
    </row>
    <row r="83" spans="1:21" ht="16.5" x14ac:dyDescent="0.15">
      <c r="A83" s="16">
        <v>6</v>
      </c>
      <c r="B83" s="17" t="s">
        <v>11</v>
      </c>
      <c r="C83" s="18" t="s">
        <v>10</v>
      </c>
      <c r="D83" s="17" t="s">
        <v>1</v>
      </c>
      <c r="E83" s="19"/>
      <c r="F83" s="20"/>
      <c r="G83" s="20">
        <f>[1]HaoPhiVatTu!M221</f>
        <v>22957</v>
      </c>
      <c r="H83" s="21"/>
      <c r="I83" s="20"/>
      <c r="J83" s="22"/>
      <c r="K83" s="20"/>
      <c r="L83" s="20"/>
      <c r="M83" s="20"/>
      <c r="N83" s="20"/>
      <c r="O83" s="20"/>
      <c r="P83" s="20">
        <f>[1]HaoPhiVatTu!O221</f>
        <v>23197.100200000001</v>
      </c>
      <c r="Q83" s="20"/>
      <c r="R83" s="20">
        <f>P83-G83</f>
        <v>240.10020000000077</v>
      </c>
    </row>
    <row r="84" spans="1:21" ht="16.5" x14ac:dyDescent="0.15">
      <c r="A84" s="23"/>
      <c r="B84" s="24"/>
      <c r="C84" s="25" t="s">
        <v>9</v>
      </c>
      <c r="D84" s="24"/>
      <c r="E84" s="26"/>
      <c r="F84" s="2"/>
      <c r="G84" s="2">
        <f>SUM(G78:G83)</f>
        <v>249827</v>
      </c>
      <c r="H84" s="27"/>
      <c r="I84" s="2">
        <f>SUM(I78:I83)</f>
        <v>229271.00200000001</v>
      </c>
      <c r="J84" s="28"/>
      <c r="K84" s="2"/>
      <c r="L84" s="2">
        <f>SUM(L78:L83)</f>
        <v>229271.00200000001</v>
      </c>
      <c r="M84" s="2"/>
      <c r="N84" s="2">
        <f>SUM(N78:N83)</f>
        <v>0</v>
      </c>
      <c r="O84" s="2"/>
      <c r="P84" s="2">
        <f>SUM(P78:P83)</f>
        <v>252468.10220000002</v>
      </c>
      <c r="Q84" s="2"/>
      <c r="R84" s="2">
        <f>SUM(R78:R83)</f>
        <v>2641.1021999999994</v>
      </c>
    </row>
    <row r="85" spans="1:21" ht="16.5" x14ac:dyDescent="0.15">
      <c r="A85" s="10" t="s">
        <v>8</v>
      </c>
      <c r="B85" s="11"/>
      <c r="C85" s="11" t="s">
        <v>7</v>
      </c>
      <c r="D85" s="11"/>
      <c r="E85" s="12"/>
      <c r="F85" s="13"/>
      <c r="G85" s="13"/>
      <c r="H85" s="14"/>
      <c r="I85" s="13"/>
      <c r="J85" s="15"/>
      <c r="K85" s="13"/>
      <c r="L85" s="13"/>
      <c r="M85" s="13"/>
      <c r="N85" s="13"/>
      <c r="O85" s="13"/>
      <c r="P85" s="13"/>
      <c r="Q85" s="13"/>
      <c r="R85" s="13"/>
    </row>
    <row r="86" spans="1:21" ht="16.5" x14ac:dyDescent="0.15">
      <c r="A86" s="16">
        <v>1</v>
      </c>
      <c r="B86" s="17" t="str">
        <f>'[1]Giá tháng'!B29</f>
        <v>NKS.40</v>
      </c>
      <c r="C86" s="18" t="str">
        <f>'[1]Giá tháng'!C29</f>
        <v>Kỹ sư 4,0/8</v>
      </c>
      <c r="D86" s="17" t="str">
        <f>'[1]Giá tháng'!D29</f>
        <v>công</v>
      </c>
      <c r="E86" s="19">
        <f>SUMIF([1]HaoPhiVatTu!S223:S258,220,[1]HaoPhiVatTu!K223:K258)</f>
        <v>8.5801999999999996</v>
      </c>
      <c r="F86" s="20">
        <f>'[1]Giá tháng'!E29</f>
        <v>284000</v>
      </c>
      <c r="G86" s="20">
        <f>E86*F86</f>
        <v>2436776.7999999998</v>
      </c>
      <c r="H86" s="21">
        <f>'[1]Giá tháng'!F29</f>
        <v>323000</v>
      </c>
      <c r="I86" s="20">
        <f>E86*H86</f>
        <v>2771404.6</v>
      </c>
      <c r="J86" s="22">
        <v>1</v>
      </c>
      <c r="K86" s="20">
        <f>H86*J86</f>
        <v>323000</v>
      </c>
      <c r="L86" s="20">
        <f>E86*K86</f>
        <v>2771404.6</v>
      </c>
      <c r="M86" s="20"/>
      <c r="N86" s="20"/>
      <c r="O86" s="20">
        <f>H86</f>
        <v>323000</v>
      </c>
      <c r="P86" s="20">
        <f>E86*O86</f>
        <v>2771404.6</v>
      </c>
      <c r="Q86" s="20">
        <f>O86-F86</f>
        <v>39000</v>
      </c>
      <c r="R86" s="20">
        <f>P86-G86</f>
        <v>334627.80000000028</v>
      </c>
      <c r="S86" s="4" t="str">
        <f>'[1]Giá tháng'!K29</f>
        <v>Được tính toán, rồi Link từ sheet Nhân công sang</v>
      </c>
    </row>
    <row r="87" spans="1:21" ht="16.5" x14ac:dyDescent="0.15">
      <c r="A87" s="16">
        <v>2</v>
      </c>
      <c r="B87" s="17" t="str">
        <f>'[1]Giá tháng'!B34</f>
        <v>N2.40</v>
      </c>
      <c r="C87" s="18" t="str">
        <f>'[1]Giá tháng'!C34</f>
        <v>Nhân công 4,0/7 - Nhóm 2</v>
      </c>
      <c r="D87" s="17" t="str">
        <f>'[1]Giá tháng'!D34</f>
        <v>công</v>
      </c>
      <c r="E87" s="19">
        <f>SUMIF([1]HaoPhiVatTu!S223:S258,221,[1]HaoPhiVatTu!K223:K258)</f>
        <v>13.506</v>
      </c>
      <c r="F87" s="20">
        <f>'[1]Giá tháng'!E34</f>
        <v>284408</v>
      </c>
      <c r="G87" s="20">
        <f>E87*F87</f>
        <v>3841214.4479999999</v>
      </c>
      <c r="H87" s="21">
        <f>'[1]Giá tháng'!F34</f>
        <v>323487</v>
      </c>
      <c r="I87" s="20">
        <f>E87*H87</f>
        <v>4369015.4220000003</v>
      </c>
      <c r="J87" s="22">
        <v>1</v>
      </c>
      <c r="K87" s="20">
        <f>H87*J87</f>
        <v>323487</v>
      </c>
      <c r="L87" s="20">
        <f>E87*K87</f>
        <v>4369015.4220000003</v>
      </c>
      <c r="M87" s="20"/>
      <c r="N87" s="20"/>
      <c r="O87" s="20">
        <f>H87</f>
        <v>323487</v>
      </c>
      <c r="P87" s="20">
        <f>E87*O87</f>
        <v>4369015.4220000003</v>
      </c>
      <c r="Q87" s="20">
        <f>O87-F87</f>
        <v>39079</v>
      </c>
      <c r="R87" s="20">
        <f>P87-G87</f>
        <v>527800.97400000039</v>
      </c>
      <c r="S87" s="4" t="str">
        <f>'[1]Giá tháng'!K34</f>
        <v>Được tính toán, rồi Link từ sheet Nhân công sang</v>
      </c>
    </row>
    <row r="88" spans="1:21" ht="16.5" x14ac:dyDescent="0.15">
      <c r="A88" s="23"/>
      <c r="B88" s="24"/>
      <c r="C88" s="25" t="s">
        <v>6</v>
      </c>
      <c r="D88" s="24"/>
      <c r="E88" s="26"/>
      <c r="F88" s="2"/>
      <c r="G88" s="2">
        <f>SUM(G86:G87)</f>
        <v>6277991.2479999997</v>
      </c>
      <c r="H88" s="27"/>
      <c r="I88" s="2">
        <f>SUM(I86:I87)</f>
        <v>7140420.0219999999</v>
      </c>
      <c r="J88" s="28"/>
      <c r="K88" s="2"/>
      <c r="L88" s="2">
        <f>SUM(L86:L87)</f>
        <v>7140420.0219999999</v>
      </c>
      <c r="M88" s="2"/>
      <c r="N88" s="2">
        <f>SUM(N86:N87)</f>
        <v>0</v>
      </c>
      <c r="O88" s="2"/>
      <c r="P88" s="2">
        <f>SUM(P86:P87)</f>
        <v>7140420.0219999999</v>
      </c>
      <c r="Q88" s="2"/>
      <c r="R88" s="2">
        <f>SUM(R86:R87)</f>
        <v>862428.77400000067</v>
      </c>
    </row>
    <row r="89" spans="1:21" ht="16.5" x14ac:dyDescent="0.15">
      <c r="A89" s="10" t="s">
        <v>5</v>
      </c>
      <c r="B89" s="11"/>
      <c r="C89" s="11" t="s">
        <v>4</v>
      </c>
      <c r="D89" s="11"/>
      <c r="E89" s="12"/>
      <c r="F89" s="13"/>
      <c r="G89" s="13"/>
      <c r="H89" s="14"/>
      <c r="I89" s="13"/>
      <c r="J89" s="15"/>
      <c r="K89" s="13"/>
      <c r="L89" s="13"/>
      <c r="M89" s="13"/>
      <c r="N89" s="13"/>
      <c r="O89" s="13"/>
      <c r="P89" s="13"/>
      <c r="Q89" s="13"/>
      <c r="R89" s="13"/>
    </row>
    <row r="90" spans="1:21" ht="16.5" x14ac:dyDescent="0.15">
      <c r="A90" s="16">
        <v>1</v>
      </c>
      <c r="B90" s="17" t="str">
        <f>'[1]Giá tháng'!B44</f>
        <v>M201.0021</v>
      </c>
      <c r="C90" s="18" t="str">
        <f>'[1]Giá tháng'!C44</f>
        <v>Máy toàn đạc điện tử</v>
      </c>
      <c r="D90" s="17" t="str">
        <f>'[1]Giá tháng'!D44</f>
        <v>ca</v>
      </c>
      <c r="E90" s="19">
        <f>SUMIF([1]HaoPhiVatTu!S223:S258,320,[1]HaoPhiVatTu!L223:L258)</f>
        <v>1.3340000000000001</v>
      </c>
      <c r="F90" s="20">
        <f>'[1]Giá tháng'!E44</f>
        <v>147059</v>
      </c>
      <c r="G90" s="20">
        <f>E90*F90</f>
        <v>196176.70600000001</v>
      </c>
      <c r="H90" s="21">
        <f>'[1]Giá tháng'!F44</f>
        <v>147059</v>
      </c>
      <c r="I90" s="20">
        <f>E90*H90</f>
        <v>196176.70600000001</v>
      </c>
      <c r="J90" s="22">
        <v>1</v>
      </c>
      <c r="K90" s="20">
        <f>H90*J90</f>
        <v>147059</v>
      </c>
      <c r="L90" s="20">
        <f>E90*K90</f>
        <v>196176.70600000001</v>
      </c>
      <c r="M90" s="20"/>
      <c r="N90" s="20">
        <f>E90*J90*M90</f>
        <v>0</v>
      </c>
      <c r="O90" s="20">
        <f>H90</f>
        <v>147059</v>
      </c>
      <c r="P90" s="20">
        <f>E90*O90</f>
        <v>196176.70600000001</v>
      </c>
      <c r="Q90" s="20">
        <f>O90-F90</f>
        <v>0</v>
      </c>
      <c r="R90" s="20">
        <f>P90-G90</f>
        <v>0</v>
      </c>
      <c r="S90" s="4" t="str">
        <f>'[1]Giá tháng'!K44</f>
        <v>Được tính toán, rồi Link từ sheet Máy sang</v>
      </c>
    </row>
    <row r="91" spans="1:21" ht="16.5" x14ac:dyDescent="0.15">
      <c r="A91" s="16">
        <v>2</v>
      </c>
      <c r="B91" s="17" t="str">
        <f>'[1]Giá tháng'!B45</f>
        <v>M201.0020</v>
      </c>
      <c r="C91" s="18" t="str">
        <f>'[1]Giá tháng'!C45</f>
        <v>Máy thủy bình điện tử</v>
      </c>
      <c r="D91" s="17" t="str">
        <f>'[1]Giá tháng'!D45</f>
        <v>ca</v>
      </c>
      <c r="E91" s="19">
        <f>SUMIF([1]HaoPhiVatTu!S223:S258,321,[1]HaoPhiVatTu!L223:L258)</f>
        <v>2.3092000000000001</v>
      </c>
      <c r="F91" s="20">
        <f>'[1]Giá tháng'!E45</f>
        <v>14767</v>
      </c>
      <c r="G91" s="20">
        <f>E91*F91</f>
        <v>34099.956400000003</v>
      </c>
      <c r="H91" s="21">
        <f>'[1]Giá tháng'!F45</f>
        <v>14767</v>
      </c>
      <c r="I91" s="20">
        <f>E91*H91</f>
        <v>34099.956400000003</v>
      </c>
      <c r="J91" s="22">
        <v>1</v>
      </c>
      <c r="K91" s="20">
        <f>H91*J91</f>
        <v>14767</v>
      </c>
      <c r="L91" s="20">
        <f>E91*K91</f>
        <v>34099.956400000003</v>
      </c>
      <c r="M91" s="20"/>
      <c r="N91" s="20">
        <f>E91*J91*M91</f>
        <v>0</v>
      </c>
      <c r="O91" s="20">
        <f>H91</f>
        <v>14767</v>
      </c>
      <c r="P91" s="20">
        <f>E91*O91</f>
        <v>34099.956400000003</v>
      </c>
      <c r="Q91" s="20">
        <f>O91-F91</f>
        <v>0</v>
      </c>
      <c r="R91" s="20">
        <f>P91-G91</f>
        <v>0</v>
      </c>
      <c r="S91" s="4" t="str">
        <f>'[1]Giá tháng'!K45</f>
        <v>Được tính toán, rồi Link từ sheet Máy sang</v>
      </c>
    </row>
    <row r="92" spans="1:21" ht="16.5" x14ac:dyDescent="0.15">
      <c r="A92" s="16">
        <v>3</v>
      </c>
      <c r="B92" s="17" t="s">
        <v>3</v>
      </c>
      <c r="C92" s="18" t="s">
        <v>2</v>
      </c>
      <c r="D92" s="17" t="s">
        <v>1</v>
      </c>
      <c r="E92" s="19"/>
      <c r="F92" s="20"/>
      <c r="G92" s="20">
        <f>[1]HaoPhiVatTu!N221</f>
        <v>11422.927467999998</v>
      </c>
      <c r="H92" s="21"/>
      <c r="I92" s="20"/>
      <c r="J92" s="22"/>
      <c r="K92" s="20"/>
      <c r="L92" s="20"/>
      <c r="M92" s="20"/>
      <c r="N92" s="20"/>
      <c r="O92" s="20"/>
      <c r="P92" s="20">
        <f>[1]HaoPhiVatTu!P221</f>
        <v>11422.927467999998</v>
      </c>
      <c r="Q92" s="20"/>
      <c r="R92" s="20">
        <f>P92-G92</f>
        <v>0</v>
      </c>
    </row>
    <row r="93" spans="1:21" ht="16.5" x14ac:dyDescent="0.15">
      <c r="A93" s="23"/>
      <c r="B93" s="24"/>
      <c r="C93" s="25" t="s">
        <v>0</v>
      </c>
      <c r="D93" s="24"/>
      <c r="E93" s="26"/>
      <c r="F93" s="2"/>
      <c r="G93" s="2">
        <f>SUM(G90:G92)</f>
        <v>241699.58986800001</v>
      </c>
      <c r="H93" s="27"/>
      <c r="I93" s="2">
        <f>SUM(I90:I92)</f>
        <v>230276.6624</v>
      </c>
      <c r="J93" s="28"/>
      <c r="K93" s="2"/>
      <c r="L93" s="2">
        <f>SUM(L90:L92)</f>
        <v>230276.6624</v>
      </c>
      <c r="M93" s="2"/>
      <c r="N93" s="2">
        <f>SUM(N90:N92)</f>
        <v>0</v>
      </c>
      <c r="O93" s="2"/>
      <c r="P93" s="2">
        <f>SUM(P90:P92)</f>
        <v>241699.58986800001</v>
      </c>
      <c r="Q93" s="2"/>
      <c r="R93" s="2">
        <f>SUM(R90:R92)</f>
        <v>0</v>
      </c>
    </row>
  </sheetData>
  <mergeCells count="9">
    <mergeCell ref="A74:R74"/>
    <mergeCell ref="A75:R75"/>
    <mergeCell ref="A73:R73"/>
    <mergeCell ref="A1:R1"/>
    <mergeCell ref="A44:R44"/>
    <mergeCell ref="A2:R2"/>
    <mergeCell ref="A3:R3"/>
    <mergeCell ref="A45:R45"/>
    <mergeCell ref="A46:R46"/>
  </mergeCells>
  <pageMargins left="0.65" right="0" top="0.36" bottom="0.44" header="0.26" footer="0.17"/>
  <pageSetup paperSize="9" fitToHeight="0" orientation="landscape" blackAndWhite="1" r:id="rId1"/>
  <headerFooter alignWithMargins="0">
    <oddFooter>&amp;C&amp;P</oddFooter>
  </headerFooter>
  <rowBreaks count="2" manualBreakCount="2">
    <brk id="43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Tổng hợp VT</vt:lpstr>
      <vt:lpstr>'Tổng hợp VT'!Print_Area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leduc</dc:creator>
  <cp:lastModifiedBy>leduc</cp:lastModifiedBy>
  <dcterms:created xsi:type="dcterms:W3CDTF">2026-07-06T07:09:02Z</dcterms:created>
  <dcterms:modified xsi:type="dcterms:W3CDTF">2026-07-06T07:10:31Z</dcterms:modified>
</cp:coreProperties>
</file>