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1. Kiến Hưng\1. Công trình\2. Sự nghiệp\1.Dân dụng\9. NVH Đại Thắng\Gửi ngày 27.6\4. NVH Đại Thắng\Chỉnh sửa sau thẩm định\"/>
    </mc:Choice>
  </mc:AlternateContent>
  <bookViews>
    <workbookView xWindow="-120" yWindow="-120" windowWidth="29040" windowHeight="15840" firstSheet="2" activeTab="2"/>
  </bookViews>
  <sheets>
    <sheet name="SGV" sheetId="5" state="veryHidden" r:id="rId1"/>
    <sheet name="DTCBĐT" sheetId="4" state="hidden" r:id="rId2"/>
    <sheet name="THDT" sheetId="1" r:id="rId3"/>
    <sheet name="TT 12-2021" sheetId="3" r:id="rId4"/>
    <sheet name="Chu so" sheetId="2" state="hidden" r:id="rId5"/>
  </sheets>
  <externalReferences>
    <externalReference r:id="rId6"/>
  </externalReferences>
  <definedNames>
    <definedName name="_xlnm.Print_Area" localSheetId="1">DTCBĐT!$A$1:$I$29</definedName>
    <definedName name="_xlnm.Print_Area" localSheetId="2">THDT!$A$1:$G$27</definedName>
    <definedName name="_xlnm.Print_Titles" localSheetId="1">DTCBĐT!$5:$6</definedName>
    <definedName name="_xlnm.Print_Titles" localSheetId="2">THDT!$4:$5</definedName>
    <definedName name="Table1">'Chu so'!$B$31:$C$41</definedName>
    <definedName name="Table2">'Chu so'!$E$31:$F$41</definedName>
    <definedName name="Table4">'Chu so'!$K$31:$L$41</definedName>
    <definedName name="Table5">'Chu so'!$N$31:$O$41</definedName>
  </definedNames>
  <calcPr calcId="162913"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7" i="1" l="1"/>
  <c r="E16" i="1" l="1"/>
  <c r="G25" i="1"/>
  <c r="E18" i="1"/>
  <c r="E17" i="1"/>
  <c r="E15" i="1"/>
  <c r="E19" i="1"/>
  <c r="D19" i="1"/>
  <c r="E23" i="1" l="1"/>
  <c r="E22" i="1"/>
  <c r="D23" i="1"/>
  <c r="D22" i="1"/>
  <c r="E13" i="1"/>
  <c r="D18" i="1"/>
  <c r="D17" i="1"/>
  <c r="D16" i="1"/>
  <c r="D15" i="1"/>
  <c r="O18" i="1"/>
  <c r="O15" i="1"/>
  <c r="O17" i="1" s="1"/>
  <c r="N17" i="1" s="1"/>
  <c r="I17" i="1" s="1"/>
  <c r="O13" i="1"/>
  <c r="N13" i="1" s="1"/>
  <c r="I13" i="1" s="1"/>
  <c r="O24" i="1"/>
  <c r="N24" i="1"/>
  <c r="I24" i="1"/>
  <c r="N15" i="1" l="1"/>
  <c r="I15" i="1" s="1"/>
  <c r="O16" i="1"/>
  <c r="N16" i="1" s="1"/>
  <c r="I16" i="1" s="1"/>
  <c r="I9" i="1" l="1"/>
  <c r="I8" i="1"/>
  <c r="I7" i="1"/>
  <c r="Q15" i="1" l="1"/>
  <c r="P15" i="1" s="1"/>
  <c r="Q16" i="1" l="1"/>
  <c r="Q18" i="1"/>
  <c r="F19" i="1"/>
  <c r="G19" i="1" s="1"/>
  <c r="Q17" i="1" l="1"/>
  <c r="P17" i="1" s="1"/>
  <c r="P16" i="1"/>
  <c r="Q19" i="1"/>
  <c r="P19" i="1" s="1"/>
  <c r="P18" i="1"/>
  <c r="E6" i="1" l="1"/>
  <c r="F9" i="1"/>
  <c r="G9" i="1" s="1"/>
  <c r="F8" i="1"/>
  <c r="G8" i="1" s="1"/>
  <c r="F16" i="1" l="1"/>
  <c r="G16" i="1" s="1"/>
  <c r="F17" i="1"/>
  <c r="G17" i="1" s="1"/>
  <c r="E10" i="1"/>
  <c r="C5" i="3" l="1"/>
  <c r="F24" i="1"/>
  <c r="E24" i="1"/>
  <c r="F11" i="1"/>
  <c r="F10" i="1" l="1"/>
  <c r="G10" i="1" s="1"/>
  <c r="K29" i="1" s="1"/>
  <c r="G11" i="1"/>
  <c r="F20" i="1" l="1"/>
  <c r="F12" i="4" l="1"/>
  <c r="J14" i="4"/>
  <c r="E14" i="4" s="1"/>
  <c r="J13" i="4"/>
  <c r="E13" i="4" s="1"/>
  <c r="F14" i="4" l="1"/>
  <c r="F13" i="4"/>
  <c r="J7" i="4" l="1"/>
  <c r="G12" i="4" l="1"/>
  <c r="H12" i="4" l="1"/>
  <c r="G14" i="4"/>
  <c r="H14" i="4" s="1"/>
  <c r="G13" i="4"/>
  <c r="H13" i="4" s="1"/>
  <c r="H244" i="3" l="1"/>
  <c r="J244" i="3" s="1"/>
  <c r="N232" i="3"/>
  <c r="O232" i="3" s="1"/>
  <c r="O237" i="3" s="1"/>
  <c r="K208" i="3"/>
  <c r="L208" i="3" s="1"/>
  <c r="J188" i="3"/>
  <c r="L188" i="3" s="1"/>
  <c r="L189" i="3" s="1"/>
  <c r="B49" i="2"/>
  <c r="K46" i="2" s="1"/>
  <c r="B48" i="2"/>
  <c r="I46" i="2" s="1"/>
  <c r="H46" i="2" s="1"/>
  <c r="B47" i="2"/>
  <c r="F46" i="2" s="1"/>
  <c r="E46" i="2" s="1"/>
  <c r="M208" i="3" l="1"/>
  <c r="M209" i="3" s="1"/>
  <c r="K188" i="3"/>
  <c r="K189" i="3" s="1"/>
  <c r="J189" i="3" s="1"/>
  <c r="I244" i="3"/>
  <c r="I245" i="3" s="1"/>
  <c r="P232" i="3"/>
  <c r="P233" i="3" s="1"/>
  <c r="L213" i="3"/>
  <c r="L210" i="3"/>
  <c r="O234" i="3"/>
  <c r="J245" i="3"/>
  <c r="L211" i="3"/>
  <c r="O235" i="3"/>
  <c r="L212" i="3"/>
  <c r="O236" i="3"/>
  <c r="L209" i="3"/>
  <c r="O233" i="3"/>
  <c r="B44" i="2"/>
  <c r="K209" i="3" l="1"/>
  <c r="K213" i="3"/>
  <c r="K212" i="3"/>
  <c r="M212" i="3"/>
  <c r="M210" i="3"/>
  <c r="H245" i="3"/>
  <c r="M211" i="3"/>
  <c r="K210" i="3"/>
  <c r="K211" i="3"/>
  <c r="M213" i="3"/>
  <c r="P236" i="3"/>
  <c r="N233" i="3"/>
  <c r="N235" i="3"/>
  <c r="N234" i="3"/>
  <c r="P235" i="3"/>
  <c r="N237" i="3"/>
  <c r="P237" i="3"/>
  <c r="P234" i="3"/>
  <c r="N236" i="3"/>
  <c r="F7" i="1" l="1"/>
  <c r="F6" i="1" s="1"/>
  <c r="G6" i="1" l="1"/>
  <c r="G7" i="1"/>
  <c r="C4" i="3"/>
  <c r="G56" i="3" s="1"/>
  <c r="F7" i="4"/>
  <c r="I7" i="4" s="1"/>
  <c r="G21" i="1"/>
  <c r="K28" i="1" l="1"/>
  <c r="J6" i="1"/>
  <c r="K196" i="3"/>
  <c r="L371" i="3"/>
  <c r="N220" i="3"/>
  <c r="O32" i="3"/>
  <c r="L390" i="3"/>
  <c r="O140" i="3"/>
  <c r="O152" i="3"/>
  <c r="O20" i="3"/>
  <c r="N164" i="3"/>
  <c r="L306" i="3"/>
  <c r="N68" i="3"/>
  <c r="L281" i="3"/>
  <c r="O44" i="3"/>
  <c r="N176" i="3"/>
  <c r="Q44" i="3" l="1"/>
  <c r="P44" i="3"/>
  <c r="N306" i="3"/>
  <c r="M306" i="3"/>
  <c r="Q152" i="3"/>
  <c r="P152" i="3"/>
  <c r="P140" i="3"/>
  <c r="Q140" i="3"/>
  <c r="I56" i="3"/>
  <c r="H56" i="3"/>
  <c r="M281" i="3"/>
  <c r="N281" i="3"/>
  <c r="P68" i="3"/>
  <c r="O68" i="3"/>
  <c r="P164" i="3"/>
  <c r="O164" i="3"/>
  <c r="Q20" i="3"/>
  <c r="P20" i="3"/>
  <c r="M390" i="3"/>
  <c r="N390" i="3"/>
  <c r="P32" i="3"/>
  <c r="Q32" i="3"/>
  <c r="O220" i="3"/>
  <c r="P220" i="3"/>
  <c r="M371" i="3"/>
  <c r="N371" i="3"/>
  <c r="M196" i="3"/>
  <c r="L196" i="3"/>
  <c r="O176" i="3"/>
  <c r="P176" i="3"/>
  <c r="J15" i="4"/>
  <c r="E15" i="4" s="1"/>
  <c r="J11" i="4"/>
  <c r="J16" i="4"/>
  <c r="J17" i="4"/>
  <c r="P97" i="3" l="1"/>
  <c r="P124" i="3"/>
  <c r="P75" i="3"/>
  <c r="P99" i="3"/>
  <c r="P74" i="3"/>
  <c r="P105" i="3"/>
  <c r="P119" i="3"/>
  <c r="P92" i="3"/>
  <c r="P125" i="3"/>
  <c r="P81" i="3"/>
  <c r="P111" i="3"/>
  <c r="P101" i="3"/>
  <c r="P126" i="3"/>
  <c r="P112" i="3"/>
  <c r="P106" i="3"/>
  <c r="P84" i="3"/>
  <c r="P91" i="3"/>
  <c r="P78" i="3"/>
  <c r="P107" i="3"/>
  <c r="P77" i="3"/>
  <c r="P113" i="3"/>
  <c r="P127" i="3"/>
  <c r="P71" i="3"/>
  <c r="P117" i="3"/>
  <c r="P120" i="3"/>
  <c r="P131" i="3"/>
  <c r="P88" i="3"/>
  <c r="P73" i="3"/>
  <c r="P72" i="3"/>
  <c r="P79" i="3"/>
  <c r="P110" i="3"/>
  <c r="P130" i="3"/>
  <c r="P85" i="3"/>
  <c r="P100" i="3"/>
  <c r="P123" i="3"/>
  <c r="P80" i="3"/>
  <c r="P98" i="3"/>
  <c r="P104" i="3"/>
  <c r="P133" i="3"/>
  <c r="P94" i="3"/>
  <c r="P90" i="3"/>
  <c r="P87" i="3"/>
  <c r="P114" i="3"/>
  <c r="P103" i="3"/>
  <c r="P116" i="3"/>
  <c r="P132" i="3"/>
  <c r="P86" i="3"/>
  <c r="P93" i="3"/>
  <c r="P118" i="3"/>
  <c r="P129" i="3"/>
  <c r="N379" i="3"/>
  <c r="N375" i="3"/>
  <c r="N287" i="3"/>
  <c r="N383" i="3"/>
  <c r="N296" i="3"/>
  <c r="N295" i="3"/>
  <c r="N284" i="3"/>
  <c r="N376" i="3"/>
  <c r="N283" i="3"/>
  <c r="N299" i="3"/>
  <c r="N374" i="3"/>
  <c r="N291" i="3"/>
  <c r="N381" i="3"/>
  <c r="N290" i="3"/>
  <c r="N298" i="3"/>
  <c r="N286" i="3"/>
  <c r="N377" i="3"/>
  <c r="N380" i="3"/>
  <c r="N285" i="3"/>
  <c r="N382" i="3"/>
  <c r="N293" i="3"/>
  <c r="N289" i="3"/>
  <c r="N297" i="3"/>
  <c r="N292" i="3"/>
  <c r="N373" i="3"/>
  <c r="M201" i="3"/>
  <c r="M199" i="3"/>
  <c r="M197" i="3"/>
  <c r="M200" i="3"/>
  <c r="M198" i="3"/>
  <c r="O225" i="3"/>
  <c r="N225" i="3" s="1"/>
  <c r="O222" i="3"/>
  <c r="N222" i="3" s="1"/>
  <c r="O221" i="3"/>
  <c r="N221" i="3" s="1"/>
  <c r="O224" i="3"/>
  <c r="N224" i="3" s="1"/>
  <c r="O223" i="3"/>
  <c r="N223" i="3" s="1"/>
  <c r="I60" i="3"/>
  <c r="I58" i="3"/>
  <c r="I61" i="3"/>
  <c r="I59" i="3"/>
  <c r="I57" i="3"/>
  <c r="P144" i="3"/>
  <c r="O144" i="3" s="1"/>
  <c r="P145" i="3"/>
  <c r="O145" i="3" s="1"/>
  <c r="P141" i="3"/>
  <c r="O141" i="3" s="1"/>
  <c r="P143" i="3"/>
  <c r="O143" i="3" s="1"/>
  <c r="P142" i="3"/>
  <c r="O142" i="3" s="1"/>
  <c r="O181" i="3"/>
  <c r="N181" i="3" s="1"/>
  <c r="O180" i="3"/>
  <c r="N180" i="3" s="1"/>
  <c r="O178" i="3"/>
  <c r="N178" i="3" s="1"/>
  <c r="O179" i="3"/>
  <c r="N179" i="3" s="1"/>
  <c r="O177" i="3"/>
  <c r="N177" i="3" s="1"/>
  <c r="L201" i="3"/>
  <c r="K201" i="3" s="1"/>
  <c r="L198" i="3"/>
  <c r="K198" i="3" s="1"/>
  <c r="L199" i="3"/>
  <c r="K199" i="3" s="1"/>
  <c r="L197" i="3"/>
  <c r="K197" i="3" s="1"/>
  <c r="L200" i="3"/>
  <c r="K200" i="3" s="1"/>
  <c r="M376" i="3"/>
  <c r="L376" i="3" s="1"/>
  <c r="M299" i="3"/>
  <c r="L299" i="3" s="1"/>
  <c r="M292" i="3"/>
  <c r="L292" i="3" s="1"/>
  <c r="M379" i="3"/>
  <c r="L379" i="3" s="1"/>
  <c r="M374" i="3"/>
  <c r="L374" i="3" s="1"/>
  <c r="M373" i="3"/>
  <c r="L373" i="3" s="1"/>
  <c r="M287" i="3"/>
  <c r="L287" i="3" s="1"/>
  <c r="M383" i="3"/>
  <c r="L383" i="3" s="1"/>
  <c r="M297" i="3"/>
  <c r="L297" i="3" s="1"/>
  <c r="M296" i="3"/>
  <c r="L296" i="3" s="1"/>
  <c r="M377" i="3"/>
  <c r="L377" i="3" s="1"/>
  <c r="M295" i="3"/>
  <c r="L295" i="3" s="1"/>
  <c r="M293" i="3"/>
  <c r="L293" i="3" s="1"/>
  <c r="M375" i="3"/>
  <c r="L375" i="3" s="1"/>
  <c r="M285" i="3"/>
  <c r="L285" i="3" s="1"/>
  <c r="M381" i="3"/>
  <c r="L381" i="3" s="1"/>
  <c r="M291" i="3"/>
  <c r="L291" i="3" s="1"/>
  <c r="M382" i="3"/>
  <c r="L382" i="3" s="1"/>
  <c r="M384" i="3"/>
  <c r="L384" i="3" s="1"/>
  <c r="M286" i="3"/>
  <c r="L286" i="3" s="1"/>
  <c r="M300" i="3"/>
  <c r="L300" i="3" s="1"/>
  <c r="M283" i="3"/>
  <c r="L283" i="3" s="1"/>
  <c r="M289" i="3"/>
  <c r="L289" i="3" s="1"/>
  <c r="M284" i="3"/>
  <c r="L284" i="3" s="1"/>
  <c r="M298" i="3"/>
  <c r="L298" i="3" s="1"/>
  <c r="M380" i="3"/>
  <c r="L380" i="3" s="1"/>
  <c r="M290" i="3"/>
  <c r="L290" i="3" s="1"/>
  <c r="P225" i="3"/>
  <c r="P224" i="3"/>
  <c r="P223" i="3"/>
  <c r="P221" i="3"/>
  <c r="P222" i="3"/>
  <c r="H61" i="3"/>
  <c r="H57" i="3"/>
  <c r="H60" i="3"/>
  <c r="H59" i="3"/>
  <c r="H58" i="3"/>
  <c r="Q35" i="3"/>
  <c r="Q37" i="3"/>
  <c r="Q36" i="3"/>
  <c r="Q34" i="3"/>
  <c r="Q33" i="3"/>
  <c r="P37" i="3"/>
  <c r="O37" i="3" s="1"/>
  <c r="P36" i="3"/>
  <c r="O36" i="3" s="1"/>
  <c r="P33" i="3"/>
  <c r="O33" i="3" s="1"/>
  <c r="P34" i="3"/>
  <c r="O34" i="3" s="1"/>
  <c r="P35" i="3"/>
  <c r="O35" i="3" s="1"/>
  <c r="Q143" i="3"/>
  <c r="Q141" i="3"/>
  <c r="Q144" i="3"/>
  <c r="Q145" i="3"/>
  <c r="Q142" i="3"/>
  <c r="P155" i="3"/>
  <c r="O155" i="3" s="1"/>
  <c r="P154" i="3"/>
  <c r="O154" i="3" s="1"/>
  <c r="P157" i="3"/>
  <c r="O157" i="3" s="1"/>
  <c r="P153" i="3"/>
  <c r="O153" i="3" s="1"/>
  <c r="P156" i="3"/>
  <c r="O156" i="3" s="1"/>
  <c r="P22" i="3"/>
  <c r="O22" i="3" s="1"/>
  <c r="P23" i="3"/>
  <c r="O23" i="3" s="1"/>
  <c r="P24" i="3"/>
  <c r="O24" i="3" s="1"/>
  <c r="P25" i="3"/>
  <c r="O25" i="3" s="1"/>
  <c r="P21" i="3"/>
  <c r="O21" i="3" s="1"/>
  <c r="Q157" i="3"/>
  <c r="Q155" i="3"/>
  <c r="Q154" i="3"/>
  <c r="Q153" i="3"/>
  <c r="Q156" i="3"/>
  <c r="Q24" i="3"/>
  <c r="Q21" i="3"/>
  <c r="Q22" i="3"/>
  <c r="Q25" i="3"/>
  <c r="Q23" i="3"/>
  <c r="M398" i="3"/>
  <c r="L398" i="3" s="1"/>
  <c r="M393" i="3"/>
  <c r="L393" i="3" s="1"/>
  <c r="M316" i="3"/>
  <c r="L316" i="3" s="1"/>
  <c r="M309" i="3"/>
  <c r="L309" i="3" s="1"/>
  <c r="M311" i="3"/>
  <c r="L311" i="3" s="1"/>
  <c r="M399" i="3"/>
  <c r="L399" i="3" s="1"/>
  <c r="M310" i="3"/>
  <c r="L310" i="3" s="1"/>
  <c r="M401" i="3"/>
  <c r="L401" i="3" s="1"/>
  <c r="M395" i="3"/>
  <c r="L395" i="3" s="1"/>
  <c r="M317" i="3"/>
  <c r="L317" i="3" s="1"/>
  <c r="M396" i="3"/>
  <c r="L396" i="3" s="1"/>
  <c r="M402" i="3"/>
  <c r="L402" i="3" s="1"/>
  <c r="M315" i="3"/>
  <c r="L315" i="3" s="1"/>
  <c r="M318" i="3"/>
  <c r="L318" i="3" s="1"/>
  <c r="M319" i="3"/>
  <c r="M314" i="3"/>
  <c r="L314" i="3" s="1"/>
  <c r="M394" i="3"/>
  <c r="L394" i="3" s="1"/>
  <c r="M312" i="3"/>
  <c r="L312" i="3" s="1"/>
  <c r="M308" i="3"/>
  <c r="L308" i="3" s="1"/>
  <c r="M392" i="3"/>
  <c r="L392" i="3" s="1"/>
  <c r="M403" i="3"/>
  <c r="M400" i="3"/>
  <c r="L400" i="3" s="1"/>
  <c r="O167" i="3"/>
  <c r="N167" i="3" s="1"/>
  <c r="O166" i="3"/>
  <c r="N166" i="3" s="1"/>
  <c r="O165" i="3"/>
  <c r="N165" i="3" s="1"/>
  <c r="O169" i="3"/>
  <c r="N169" i="3" s="1"/>
  <c r="O168" i="3"/>
  <c r="N168" i="3" s="1"/>
  <c r="N393" i="3"/>
  <c r="N314" i="3"/>
  <c r="N309" i="3"/>
  <c r="N395" i="3"/>
  <c r="N316" i="3"/>
  <c r="N317" i="3"/>
  <c r="N402" i="3"/>
  <c r="N311" i="3"/>
  <c r="N310" i="3"/>
  <c r="N398" i="3"/>
  <c r="N394" i="3"/>
  <c r="N318" i="3"/>
  <c r="N400" i="3"/>
  <c r="N396" i="3"/>
  <c r="N308" i="3"/>
  <c r="N399" i="3"/>
  <c r="N312" i="3"/>
  <c r="N315" i="3"/>
  <c r="N392" i="3"/>
  <c r="N401" i="3"/>
  <c r="P168" i="3"/>
  <c r="P169" i="3"/>
  <c r="P166" i="3"/>
  <c r="P167" i="3"/>
  <c r="P165" i="3"/>
  <c r="P47" i="3"/>
  <c r="O47" i="3" s="1"/>
  <c r="P46" i="3"/>
  <c r="O46" i="3" s="1"/>
  <c r="P49" i="3"/>
  <c r="O49" i="3" s="1"/>
  <c r="P48" i="3"/>
  <c r="O48" i="3" s="1"/>
  <c r="P45" i="3"/>
  <c r="O45" i="3" s="1"/>
  <c r="P177" i="3"/>
  <c r="P179" i="3"/>
  <c r="P178" i="3"/>
  <c r="P181" i="3"/>
  <c r="P180" i="3"/>
  <c r="O131" i="3"/>
  <c r="N131" i="3" s="1"/>
  <c r="O78" i="3"/>
  <c r="N78" i="3" s="1"/>
  <c r="O119" i="3"/>
  <c r="N119" i="3" s="1"/>
  <c r="O126" i="3"/>
  <c r="N126" i="3" s="1"/>
  <c r="O100" i="3"/>
  <c r="N100" i="3" s="1"/>
  <c r="O110" i="3"/>
  <c r="N110" i="3" s="1"/>
  <c r="O113" i="3"/>
  <c r="N113" i="3" s="1"/>
  <c r="O116" i="3"/>
  <c r="N116" i="3" s="1"/>
  <c r="O124" i="3"/>
  <c r="N124" i="3" s="1"/>
  <c r="O86" i="3"/>
  <c r="N86" i="3" s="1"/>
  <c r="O111" i="3"/>
  <c r="N111" i="3" s="1"/>
  <c r="O87" i="3"/>
  <c r="N87" i="3" s="1"/>
  <c r="O90" i="3"/>
  <c r="N90" i="3" s="1"/>
  <c r="O118" i="3"/>
  <c r="N118" i="3" s="1"/>
  <c r="O133" i="3"/>
  <c r="N133" i="3" s="1"/>
  <c r="O114" i="3"/>
  <c r="N114" i="3" s="1"/>
  <c r="O77" i="3"/>
  <c r="N77" i="3" s="1"/>
  <c r="O105" i="3"/>
  <c r="N105" i="3" s="1"/>
  <c r="O81" i="3"/>
  <c r="N81" i="3" s="1"/>
  <c r="O101" i="3"/>
  <c r="N101" i="3" s="1"/>
  <c r="O117" i="3"/>
  <c r="N117" i="3" s="1"/>
  <c r="O112" i="3"/>
  <c r="N112" i="3" s="1"/>
  <c r="O92" i="3"/>
  <c r="N92" i="3" s="1"/>
  <c r="O127" i="3"/>
  <c r="N127" i="3" s="1"/>
  <c r="O97" i="3"/>
  <c r="N97" i="3" s="1"/>
  <c r="O71" i="3"/>
  <c r="N71" i="3" s="1"/>
  <c r="O107" i="3"/>
  <c r="N107" i="3" s="1"/>
  <c r="O125" i="3"/>
  <c r="N125" i="3" s="1"/>
  <c r="O98" i="3"/>
  <c r="N98" i="3" s="1"/>
  <c r="O72" i="3"/>
  <c r="N72" i="3" s="1"/>
  <c r="O129" i="3"/>
  <c r="N129" i="3" s="1"/>
  <c r="O85" i="3"/>
  <c r="N85" i="3" s="1"/>
  <c r="O130" i="3"/>
  <c r="N130" i="3" s="1"/>
  <c r="O91" i="3"/>
  <c r="N91" i="3" s="1"/>
  <c r="O120" i="3"/>
  <c r="N120" i="3" s="1"/>
  <c r="O93" i="3"/>
  <c r="N93" i="3" s="1"/>
  <c r="O79" i="3"/>
  <c r="N79" i="3" s="1"/>
  <c r="O84" i="3"/>
  <c r="N84" i="3" s="1"/>
  <c r="O75" i="3"/>
  <c r="N75" i="3" s="1"/>
  <c r="O94" i="3"/>
  <c r="N94" i="3" s="1"/>
  <c r="O104" i="3"/>
  <c r="N104" i="3" s="1"/>
  <c r="O103" i="3"/>
  <c r="N103" i="3" s="1"/>
  <c r="O106" i="3"/>
  <c r="N106" i="3" s="1"/>
  <c r="O123" i="3"/>
  <c r="N123" i="3" s="1"/>
  <c r="O73" i="3"/>
  <c r="N73" i="3" s="1"/>
  <c r="O74" i="3"/>
  <c r="N74" i="3" s="1"/>
  <c r="O132" i="3"/>
  <c r="N132" i="3" s="1"/>
  <c r="O80" i="3"/>
  <c r="N80" i="3" s="1"/>
  <c r="O99" i="3"/>
  <c r="N99" i="3" s="1"/>
  <c r="O88" i="3"/>
  <c r="N88" i="3" s="1"/>
  <c r="Q47" i="3"/>
  <c r="Q48" i="3"/>
  <c r="Q45" i="3"/>
  <c r="Q49" i="3"/>
  <c r="Q46" i="3"/>
  <c r="F15" i="4"/>
  <c r="G15" i="4" s="1"/>
  <c r="H15" i="4" s="1"/>
  <c r="E17" i="4"/>
  <c r="F17" i="4"/>
  <c r="G17" i="4" s="1"/>
  <c r="H17" i="4" s="1"/>
  <c r="E16" i="4"/>
  <c r="F16" i="4"/>
  <c r="F11" i="4"/>
  <c r="E11" i="4"/>
  <c r="G57" i="3" l="1"/>
  <c r="G60" i="3"/>
  <c r="G61" i="3"/>
  <c r="G58" i="3"/>
  <c r="G59" i="3"/>
  <c r="J9" i="4"/>
  <c r="G16" i="4"/>
  <c r="H16" i="4" s="1"/>
  <c r="G11" i="4"/>
  <c r="H11" i="4" s="1"/>
  <c r="F10" i="4"/>
  <c r="F9" i="4" l="1"/>
  <c r="E9" i="4"/>
  <c r="E12" i="1"/>
  <c r="F13" i="1"/>
  <c r="G10" i="4"/>
  <c r="H10" i="4"/>
  <c r="F15" i="1" l="1"/>
  <c r="F12" i="1"/>
  <c r="G12" i="1" s="1"/>
  <c r="K30" i="1" s="1"/>
  <c r="O23" i="1" s="1"/>
  <c r="N23" i="1" s="1"/>
  <c r="I23" i="1" s="1"/>
  <c r="G13" i="1"/>
  <c r="G9" i="4"/>
  <c r="H9" i="4" s="1"/>
  <c r="F8" i="4"/>
  <c r="G8" i="4" s="1"/>
  <c r="H8" i="4" s="1"/>
  <c r="H18" i="4" s="1"/>
  <c r="H19" i="4" s="1"/>
  <c r="J21" i="4" s="1"/>
  <c r="C9" i="3"/>
  <c r="J262" i="3" s="1"/>
  <c r="F23" i="1" l="1"/>
  <c r="G23" i="1" s="1"/>
  <c r="G15" i="1"/>
  <c r="J269" i="3"/>
  <c r="K262" i="3"/>
  <c r="K263" i="3" s="1"/>
  <c r="L262" i="3"/>
  <c r="J342" i="3"/>
  <c r="C10" i="3"/>
  <c r="J329" i="3" s="1"/>
  <c r="J349" i="3"/>
  <c r="M252" i="3"/>
  <c r="M359" i="3"/>
  <c r="K269" i="3" l="1"/>
  <c r="K270" i="3" s="1"/>
  <c r="L269" i="3"/>
  <c r="K342" i="3"/>
  <c r="K343" i="3" s="1"/>
  <c r="L342" i="3"/>
  <c r="O252" i="3"/>
  <c r="N252" i="3"/>
  <c r="K349" i="3"/>
  <c r="K350" i="3" s="1"/>
  <c r="L349" i="3"/>
  <c r="L329" i="3"/>
  <c r="K329" i="3"/>
  <c r="O359" i="3"/>
  <c r="N359" i="3"/>
  <c r="L263" i="3"/>
  <c r="J263" i="3" s="1"/>
  <c r="L270" i="3" l="1"/>
  <c r="J270" i="3" s="1"/>
  <c r="L332" i="3"/>
  <c r="L333" i="3"/>
  <c r="L331" i="3"/>
  <c r="L330" i="3"/>
  <c r="N253" i="3"/>
  <c r="M253" i="3" s="1"/>
  <c r="N360" i="3"/>
  <c r="M360" i="3" s="1"/>
  <c r="O360" i="3"/>
  <c r="O253" i="3"/>
  <c r="L343" i="3"/>
  <c r="J343" i="3" s="1"/>
  <c r="K330" i="3"/>
  <c r="J330" i="3" s="1"/>
  <c r="K333" i="3"/>
  <c r="J333" i="3" s="1"/>
  <c r="K332" i="3"/>
  <c r="J332" i="3" s="1"/>
  <c r="K331" i="3"/>
  <c r="J331" i="3" s="1"/>
  <c r="L350" i="3"/>
  <c r="J350" i="3" s="1"/>
  <c r="L39" i="1" l="1"/>
  <c r="M39" i="1" s="1"/>
  <c r="K33" i="1"/>
  <c r="N18" i="1" l="1"/>
  <c r="I18" i="1" s="1"/>
  <c r="E14" i="1" l="1"/>
  <c r="F18" i="1"/>
  <c r="F14" i="1" s="1"/>
  <c r="O22" i="1" s="1"/>
  <c r="N22" i="1" s="1"/>
  <c r="I22" i="1" s="1"/>
  <c r="G18" i="1" l="1"/>
  <c r="G14" i="1" s="1"/>
  <c r="E20" i="1" l="1"/>
  <c r="G22" i="1"/>
  <c r="G20" i="1" s="1"/>
  <c r="K31" i="1"/>
  <c r="G24" i="1" l="1"/>
  <c r="K36" i="1" s="1"/>
  <c r="K40" i="1" s="1"/>
  <c r="K32" i="1"/>
  <c r="L38" i="1"/>
  <c r="I31" i="1" l="1"/>
  <c r="M38" i="1"/>
  <c r="M40" i="1" s="1"/>
  <c r="L40" i="1"/>
  <c r="G26" i="1" l="1"/>
  <c r="A1" i="2" s="1"/>
  <c r="A4" i="2" s="1"/>
  <c r="C4" i="2" s="1"/>
  <c r="J25" i="1"/>
  <c r="D5" i="2" l="1"/>
  <c r="C5" i="2"/>
  <c r="E4" i="2"/>
  <c r="E5" i="2" s="1"/>
  <c r="G4" i="2" l="1"/>
  <c r="H5" i="2" s="1"/>
  <c r="J4" i="2" l="1"/>
  <c r="L4" i="2" s="1"/>
  <c r="L5" i="2" s="1"/>
  <c r="G5" i="2"/>
  <c r="F5" i="2"/>
  <c r="N4" i="2"/>
  <c r="Q4" i="2" s="1"/>
  <c r="O5" i="2"/>
  <c r="N5" i="2" l="1"/>
  <c r="R5" i="2"/>
  <c r="Q5" i="2"/>
  <c r="S4" i="2"/>
  <c r="S5" i="2" l="1"/>
  <c r="U4" i="2"/>
  <c r="X4" i="2" l="1"/>
  <c r="U5" i="2"/>
  <c r="Z4" i="2" l="1"/>
  <c r="Z5" i="2" l="1"/>
  <c r="AB4" i="2"/>
  <c r="V5" i="2" s="1"/>
  <c r="I5" i="2" s="1"/>
  <c r="M5" i="2" l="1"/>
  <c r="AB5" i="2"/>
  <c r="P5" i="2"/>
  <c r="T5" i="2" s="1"/>
  <c r="W5" i="2"/>
  <c r="X5" i="2" s="1"/>
  <c r="Y5" i="2" s="1"/>
  <c r="J5" i="2" l="1"/>
  <c r="K5" i="2" s="1"/>
  <c r="AA5" i="2"/>
  <c r="C7" i="2" l="1"/>
  <c r="C8" i="2" s="1"/>
  <c r="E8" i="2" s="1"/>
  <c r="E9" i="2" s="1"/>
  <c r="B1" i="2" s="1"/>
</calcChain>
</file>

<file path=xl/sharedStrings.xml><?xml version="1.0" encoding="utf-8"?>
<sst xmlns="http://schemas.openxmlformats.org/spreadsheetml/2006/main" count="978" uniqueCount="401">
  <si>
    <t>Đơn vị tính: đồng</t>
  </si>
  <si>
    <t>TT</t>
  </si>
  <si>
    <t>Nội dung chi phí</t>
  </si>
  <si>
    <t>Ký hiệu</t>
  </si>
  <si>
    <t>Căn cứ lập</t>
  </si>
  <si>
    <t>Cách tính</t>
  </si>
  <si>
    <t>Chi phí trước thuế</t>
  </si>
  <si>
    <t>Thuế GTGT</t>
  </si>
  <si>
    <t>Chi phí sau thuế</t>
  </si>
  <si>
    <t>[1]</t>
  </si>
  <si>
    <t>[2]</t>
  </si>
  <si>
    <t>[3]</t>
  </si>
  <si>
    <t>[4]</t>
  </si>
  <si>
    <t>[5]</t>
  </si>
  <si>
    <t>[6]</t>
  </si>
  <si>
    <t>[7]</t>
  </si>
  <si>
    <t>[8] = [6] + [7]</t>
  </si>
  <si>
    <t>I</t>
  </si>
  <si>
    <t xml:space="preserve"> CHI PHÍ XÂY DỰNG</t>
  </si>
  <si>
    <t>1.1</t>
  </si>
  <si>
    <t>1.2</t>
  </si>
  <si>
    <t>II</t>
  </si>
  <si>
    <t xml:space="preserve"> CHI PHÍ QUẢN LÝ DỰ ÁN </t>
  </si>
  <si>
    <t>2.1</t>
  </si>
  <si>
    <t xml:space="preserve"> Chi phí quản lý dự án</t>
  </si>
  <si>
    <t>%</t>
  </si>
  <si>
    <t>III</t>
  </si>
  <si>
    <t xml:space="preserve"> CHI PHÍ TƯ VẤN ĐẦU TƯ XÂY DỰNG</t>
  </si>
  <si>
    <t>3.1</t>
  </si>
  <si>
    <t>Chi phí lập Báo cáo đề xuất chủ trương đầu tư</t>
  </si>
  <si>
    <t>Gtv1</t>
  </si>
  <si>
    <t>3.2</t>
  </si>
  <si>
    <t>Gtv2</t>
  </si>
  <si>
    <t>3.3</t>
  </si>
  <si>
    <t>Gtv3</t>
  </si>
  <si>
    <t>Chi phí thẩm tra thiết kế BVTC</t>
  </si>
  <si>
    <t>3.4</t>
  </si>
  <si>
    <t>Chi phí thẩm tra dự toán</t>
  </si>
  <si>
    <t>Gtv4</t>
  </si>
  <si>
    <t>3.5</t>
  </si>
  <si>
    <t>Gtv5</t>
  </si>
  <si>
    <t>Gtv6</t>
  </si>
  <si>
    <t>IV</t>
  </si>
  <si>
    <t xml:space="preserve"> CHI PHÍ KHÁC</t>
  </si>
  <si>
    <t>4.2</t>
  </si>
  <si>
    <t>4.3</t>
  </si>
  <si>
    <t>Chi phí thẩm tra, phê duyệt quyết toán</t>
  </si>
  <si>
    <t>TỔNG DỰ TOÁN</t>
  </si>
  <si>
    <t>TDT</t>
  </si>
  <si>
    <t>LÀM TRÒN</t>
  </si>
  <si>
    <r>
      <t>G</t>
    </r>
    <r>
      <rPr>
        <b/>
        <vertAlign val="subscript"/>
        <sz val="12"/>
        <rFont val="Times New Roman"/>
        <family val="1"/>
      </rPr>
      <t>XD</t>
    </r>
  </si>
  <si>
    <r>
      <t>G</t>
    </r>
    <r>
      <rPr>
        <b/>
        <vertAlign val="subscript"/>
        <sz val="12"/>
        <rFont val="Times New Roman"/>
        <family val="1"/>
      </rPr>
      <t>QLDA</t>
    </r>
  </si>
  <si>
    <r>
      <t>G</t>
    </r>
    <r>
      <rPr>
        <b/>
        <vertAlign val="subscript"/>
        <sz val="12"/>
        <rFont val="Times New Roman"/>
        <family val="1"/>
      </rPr>
      <t>TV</t>
    </r>
  </si>
  <si>
    <r>
      <t>G</t>
    </r>
    <r>
      <rPr>
        <b/>
        <vertAlign val="subscript"/>
        <sz val="12"/>
        <rFont val="Times New Roman"/>
        <family val="1"/>
      </rPr>
      <t>K</t>
    </r>
  </si>
  <si>
    <t>1.2.1</t>
  </si>
  <si>
    <t>1.2.2</t>
  </si>
  <si>
    <t>1.3</t>
  </si>
  <si>
    <t>1.3.1</t>
  </si>
  <si>
    <t>1.3.2</t>
  </si>
  <si>
    <t>trăm tỷ</t>
  </si>
  <si>
    <t>chục tỷ</t>
  </si>
  <si>
    <t>tỷ</t>
  </si>
  <si>
    <t>trăm triệu</t>
  </si>
  <si>
    <t>chục triệu</t>
  </si>
  <si>
    <t>triệu</t>
  </si>
  <si>
    <t>trăm nghìn</t>
  </si>
  <si>
    <t>chục nghìn</t>
  </si>
  <si>
    <t>nghìn</t>
  </si>
  <si>
    <t>trăm</t>
  </si>
  <si>
    <t>chục</t>
  </si>
  <si>
    <t>đ.vị</t>
  </si>
  <si>
    <t xml:space="preserve">(Bằng chữ : </t>
  </si>
  <si>
    <t xml:space="preserve">không </t>
  </si>
  <si>
    <t xml:space="preserve">một </t>
  </si>
  <si>
    <t xml:space="preserve">mốt </t>
  </si>
  <si>
    <t xml:space="preserve">mười </t>
  </si>
  <si>
    <t xml:space="preserve">hai </t>
  </si>
  <si>
    <t xml:space="preserve">ba </t>
  </si>
  <si>
    <t xml:space="preserve">bốn </t>
  </si>
  <si>
    <t xml:space="preserve">năm </t>
  </si>
  <si>
    <t xml:space="preserve">lăm </t>
  </si>
  <si>
    <t xml:space="preserve">sáu </t>
  </si>
  <si>
    <t xml:space="preserve">bảy </t>
  </si>
  <si>
    <t xml:space="preserve">tám </t>
  </si>
  <si>
    <t xml:space="preserve">chín </t>
  </si>
  <si>
    <t>Table1</t>
  </si>
  <si>
    <t>Table2</t>
  </si>
  <si>
    <t>Table3</t>
  </si>
  <si>
    <t>Table4</t>
  </si>
  <si>
    <t>Table5</t>
  </si>
  <si>
    <t>Table6</t>
  </si>
  <si>
    <t>Finish :</t>
  </si>
  <si>
    <t>Data :</t>
  </si>
  <si>
    <t>TP. Hải Phòng</t>
  </si>
  <si>
    <t xml:space="preserve">ngày  </t>
  </si>
  <si>
    <t xml:space="preserve">  tháng  </t>
  </si>
  <si>
    <t xml:space="preserve">  năm  </t>
  </si>
  <si>
    <t>Date :</t>
  </si>
  <si>
    <t>Month :</t>
  </si>
  <si>
    <t>Year :</t>
  </si>
  <si>
    <t>1.4</t>
  </si>
  <si>
    <t>Định mức chi phí quản lý dự án và tư vấn đầu tư xây dựng</t>
  </si>
  <si>
    <t>Chi phí xây dựng (Gxd):</t>
  </si>
  <si>
    <t>(tỷ đồng)</t>
  </si>
  <si>
    <t>Chi phí thiết bị (Gtb):</t>
  </si>
  <si>
    <t>Chi phí bồi thường giải phóng mặt bằng, tái định cư (Ggpmb):</t>
  </si>
  <si>
    <t>Chi phí quản lý dự án (Gqlda):</t>
  </si>
  <si>
    <t>Chi phí tư vấn đầu tư xây dựng (Gtv):</t>
  </si>
  <si>
    <t>Tổng mức đầu tư (Gxdct):</t>
  </si>
  <si>
    <t>Tổng mức đầu tư không có chi phí giải phóng mặt bằng(Gxdct-Ggpmb):</t>
  </si>
  <si>
    <t>Chi phí khảo sát xây dựng (Gks)</t>
  </si>
  <si>
    <t>GSLD$</t>
  </si>
  <si>
    <t>Đơn vị tính: tỷ lệ %</t>
  </si>
  <si>
    <t>QLDA79^</t>
  </si>
  <si>
    <t>^</t>
  </si>
  <si>
    <t>Loại công trình</t>
  </si>
  <si>
    <t>Chi phí xây dựng và chi phí thiết bị (chưa có thuế GTGT) (tỷ đồng)</t>
  </si>
  <si>
    <t>Giá trị</t>
  </si>
  <si>
    <t>Cận dưới</t>
  </si>
  <si>
    <t>Cận trên</t>
  </si>
  <si>
    <t>&lt;= 10</t>
  </si>
  <si>
    <t>Công trình dân dụng</t>
  </si>
  <si>
    <t>Công trình công nghiệp</t>
  </si>
  <si>
    <t>Công trình giao thông</t>
  </si>
  <si>
    <t>Công trình nông nghiệp và phát triển nông thôn</t>
  </si>
  <si>
    <t>Công trình hạ tầng kỹ thuật</t>
  </si>
  <si>
    <t>QLDA79$</t>
  </si>
  <si>
    <t>NCTKT79^</t>
  </si>
  <si>
    <t>&lt;= 15</t>
  </si>
  <si>
    <t>NCTKT79$</t>
  </si>
  <si>
    <t>NCKT79^</t>
  </si>
  <si>
    <t>NCKT79$</t>
  </si>
  <si>
    <t>LBC79^</t>
  </si>
  <si>
    <t>&lt;= 1</t>
  </si>
  <si>
    <t>&lt; 15</t>
  </si>
  <si>
    <t>LBC79$</t>
  </si>
  <si>
    <t>Bảng số 5-14: Định mức chi phí thiết kế kỹ thuật cho các loại công trình</t>
  </si>
  <si>
    <t>TKKT79^</t>
  </si>
  <si>
    <t>Loại công trình/
Loại thiết kế/
cấp công trình</t>
  </si>
  <si>
    <t>Chi phí xây dựng (chưa có thuế GTGT) (tỷ đồng)</t>
  </si>
  <si>
    <t>100</t>
  </si>
  <si>
    <t>200</t>
  </si>
  <si>
    <t>500</t>
  </si>
  <si>
    <t>1.000</t>
  </si>
  <si>
    <t>2.000</t>
  </si>
  <si>
    <t>5.000</t>
  </si>
  <si>
    <t>8.000</t>
  </si>
  <si>
    <t>10.000</t>
  </si>
  <si>
    <t>Thiết kế 3 bước</t>
  </si>
  <si>
    <t>Cấp đặc biệt</t>
  </si>
  <si>
    <t>Cấp I</t>
  </si>
  <si>
    <t>1.3.3</t>
  </si>
  <si>
    <t>Cấp II</t>
  </si>
  <si>
    <t>1.3.4</t>
  </si>
  <si>
    <t>Cấp III</t>
  </si>
  <si>
    <t>1.3.5</t>
  </si>
  <si>
    <t>Cấp IV</t>
  </si>
  <si>
    <t>-</t>
  </si>
  <si>
    <t>Thiết kế 2 bước</t>
  </si>
  <si>
    <t>1.2.3</t>
  </si>
  <si>
    <t>1.2.4</t>
  </si>
  <si>
    <t>1.2.5</t>
  </si>
  <si>
    <t>2.3</t>
  </si>
  <si>
    <t>2.3.1</t>
  </si>
  <si>
    <t>2.3.2</t>
  </si>
  <si>
    <t>2.3.3</t>
  </si>
  <si>
    <t>2.3.4</t>
  </si>
  <si>
    <t>2.3.5</t>
  </si>
  <si>
    <t>2.2</t>
  </si>
  <si>
    <t>2.2.1</t>
  </si>
  <si>
    <t>2.2.2</t>
  </si>
  <si>
    <t>2.2.3</t>
  </si>
  <si>
    <t>2.2.4</t>
  </si>
  <si>
    <t>2.2.5</t>
  </si>
  <si>
    <t>3.3.1</t>
  </si>
  <si>
    <t>3.3.2</t>
  </si>
  <si>
    <t>3.3.3</t>
  </si>
  <si>
    <t>3.3.4</t>
  </si>
  <si>
    <t>3.3.5</t>
  </si>
  <si>
    <t>3.2.1</t>
  </si>
  <si>
    <t>3.2.2</t>
  </si>
  <si>
    <t>3.2.3</t>
  </si>
  <si>
    <t>3.2.4</t>
  </si>
  <si>
    <t>3.2.5</t>
  </si>
  <si>
    <t>4.3.1</t>
  </si>
  <si>
    <t>4.3.2</t>
  </si>
  <si>
    <t>4.3.3</t>
  </si>
  <si>
    <t>4.3.4</t>
  </si>
  <si>
    <t>4.3.5</t>
  </si>
  <si>
    <t>4.2.1</t>
  </si>
  <si>
    <t>4.2.2</t>
  </si>
  <si>
    <t>4.2.3</t>
  </si>
  <si>
    <t>4.2.4</t>
  </si>
  <si>
    <t>4.2.5</t>
  </si>
  <si>
    <t>5.3</t>
  </si>
  <si>
    <t>5.3.1</t>
  </si>
  <si>
    <t>5.3.2</t>
  </si>
  <si>
    <t>5.3.3</t>
  </si>
  <si>
    <t>5.3.4</t>
  </si>
  <si>
    <t>5.3.5</t>
  </si>
  <si>
    <t>5.2</t>
  </si>
  <si>
    <t>5.2.1</t>
  </si>
  <si>
    <t>5.2.2</t>
  </si>
  <si>
    <t>5.2.3</t>
  </si>
  <si>
    <t>5.2.4</t>
  </si>
  <si>
    <t>5.2.5</t>
  </si>
  <si>
    <t>TKKT79$</t>
  </si>
  <si>
    <t>TTTKT79^</t>
  </si>
  <si>
    <t>Chi phí xây dựng và thiết bị (chưa có thuế GTGT) (tỷ đồng)</t>
  </si>
  <si>
    <t>TTTKT79$</t>
  </si>
  <si>
    <t>TTKT79^</t>
  </si>
  <si>
    <t>TTKT79$</t>
  </si>
  <si>
    <t>TTTKXD79^</t>
  </si>
  <si>
    <t>Chi phí xây dựng (chưa có thuế GTGT) trong tổng mức đầu tư được duyệt hoặc giá gói thầu được duyệt (tỷ đồng)</t>
  </si>
  <si>
    <t>TTTKXD79$</t>
  </si>
  <si>
    <t>TTDT79^</t>
  </si>
  <si>
    <t>TTDT79$</t>
  </si>
  <si>
    <t>LHSTV79^</t>
  </si>
  <si>
    <t>Chi phí tư vấn (chưa có thuế GTGT) của giá gói thầu được duyệt (tỷ đồng)</t>
  </si>
  <si>
    <t>Tỷ lệ %</t>
  </si>
  <si>
    <t>LHSTV79$</t>
  </si>
  <si>
    <t>LXL79^</t>
  </si>
  <si>
    <t>Chi phí xây dựng (chưa có thuế GTGT) của giá gói thầu được duyệt (tỷ đồng)</t>
  </si>
  <si>
    <t>LXL79$</t>
  </si>
  <si>
    <t>LTB79^</t>
  </si>
  <si>
    <t>Chi phí vật tư, thiết bị (chưa có thuế GTGT) của giá gói thầu được duyệt (tỷ đồng)</t>
  </si>
  <si>
    <t>LTB79$</t>
  </si>
  <si>
    <t>GSTC79^</t>
  </si>
  <si>
    <t>Chi phí xây dựng (chưa có thuế GTGT) của giá gói thầu thi công xây dựng được duyệt (tỷ đồng)</t>
  </si>
  <si>
    <t>GSTC79$</t>
  </si>
  <si>
    <t>GSLD79^</t>
  </si>
  <si>
    <t>Chi phí thiết bị (chưa có thuế GTGT) của giá gói thầu mua sắm vật tư, thiết bị lắp đặt vào công trình được duyệt (tỷ đồng)</t>
  </si>
  <si>
    <t>GSLD79$</t>
  </si>
  <si>
    <t>GSKS79^</t>
  </si>
  <si>
    <t>Chi phí khảo sát xây dựng (chưa có thuế GTGT) của giá gói thầu khảo sát xây dựng được duyệt (tỷ đồng)</t>
  </si>
  <si>
    <t>Theo Thông tư số 176/2011/TT-BTC ngày 6/12/2011 của Bộ Tài chính</t>
  </si>
  <si>
    <t>Hướng dẫn chế độ thu, nộp và quản lý sử dụng phí thẩm định dự án đầu tư xây dựng</t>
  </si>
  <si>
    <t>Biểu mức thu phí thẩm định dự án đầu tư xây dựng</t>
  </si>
  <si>
    <t>TDDA^</t>
  </si>
  <si>
    <t>Tổng mức đầu tư dự án (tỷ đồng)</t>
  </si>
  <si>
    <t>&lt;=15</t>
  </si>
  <si>
    <t>&gt;=10.000</t>
  </si>
  <si>
    <t>TDDA$</t>
  </si>
  <si>
    <t>Theo Thông tư số 19/2011/TT- BTC ngày 14 tháng 02 năm 2011 của Bộ Tài chính</t>
  </si>
  <si>
    <t>Quy định về quyết toán dự án hoàn thành thuộc nguồn vốn Nhà nước</t>
  </si>
  <si>
    <t>Định mức chi phí thẩm tra, phê duyệt quyết toán</t>
  </si>
  <si>
    <t>TTQT^</t>
  </si>
  <si>
    <t>Tổng mức đầu tư (Tỷ đồng)</t>
  </si>
  <si>
    <t>&lt;=5</t>
  </si>
  <si>
    <t>&gt;= 10.000</t>
  </si>
  <si>
    <t>Thẩm tra, phê duyệt (%)</t>
  </si>
  <si>
    <t>TTQT$</t>
  </si>
  <si>
    <t>Định mức chi phí kiểm toán độc lập</t>
  </si>
  <si>
    <t>CPKT^</t>
  </si>
  <si>
    <t>Kiểm toán ( %)</t>
  </si>
  <si>
    <t>CPKT$</t>
  </si>
  <si>
    <t>Theo Thông tư số 75/2014/TT- BTC ngày 12 tháng 6 năm 2014 của Bộ Tài chính</t>
  </si>
  <si>
    <t>Quy định mức thu, chế độ thu, nộp, quản lý và sử dụng phí thẩm tra thiết kế công trình xây dựng</t>
  </si>
  <si>
    <t>1. Phí thẩm tra thiết kế</t>
  </si>
  <si>
    <t>TTTK75^</t>
  </si>
  <si>
    <t>Chi phí xây dựng (chưa có thuế GTGT) trong dự toán công trình hoặc dự toán gói thầu được duyệt (tỷ đồng)</t>
  </si>
  <si>
    <t>Phụ lục số 1: Phí thẩm tra thiết kế xây dựng công trình sử dụng vốn ngân sách nhà nước do cơ quan quản lý nhà nước thực hiện toàn bộ công việc thẩm tra</t>
  </si>
  <si>
    <t>1.5</t>
  </si>
  <si>
    <t>Phụ lục số 2: Phí thẩm tra thiết kế xây dựng công trình sử dụng vốn ngân sách nhà nước khi cơ quan quản lý nhà nước thuê tổ chức tư vấn, cá nhân cùng thẩm tra</t>
  </si>
  <si>
    <t>2.4</t>
  </si>
  <si>
    <t>2.5</t>
  </si>
  <si>
    <t>Phụ lục số 3: Phí thẩm tra thiết kế xây dựng công trình sử dụng nguồn vốn khác</t>
  </si>
  <si>
    <t>TTTK75$</t>
  </si>
  <si>
    <t>2. Phí thẩm tra dự toán</t>
  </si>
  <si>
    <t>TTDT75^</t>
  </si>
  <si>
    <t>TTDT75$</t>
  </si>
  <si>
    <t>Theo Thông tư số 150/2014/TT- BTC ngày 10 tháng 10 năm 2014 của Bộ Tài chính</t>
  </si>
  <si>
    <t>Quy định mức thu, chế độ thu, nộp, quản lý và sử dụng phí thẩm duyệt thiết kế về phòng cháy chữa cháy</t>
  </si>
  <si>
    <t>Biểu mức thu phí II - phí thẩm duyệt về phòng cháy, chữa cháy đối với dự án, công trình</t>
  </si>
  <si>
    <t>PCCC^</t>
  </si>
  <si>
    <r>
      <t xml:space="preserve">Tổng mức đầu tư (tỷ đồng)
</t>
    </r>
    <r>
      <rPr>
        <b/>
        <i/>
        <sz val="11"/>
        <rFont val="Times New Roman"/>
        <family val="1"/>
      </rPr>
      <t>không bao gồm chi phí bồi thường giải phóng mặt bằng, hỗ trợ và tái định cư đã được phê duyệt trong dự án</t>
    </r>
  </si>
  <si>
    <t>PCCC$</t>
  </si>
  <si>
    <t>TTQT09^</t>
  </si>
  <si>
    <t>TTQT09$</t>
  </si>
  <si>
    <t>CPKT09^</t>
  </si>
  <si>
    <t>CPKT09$</t>
  </si>
  <si>
    <t>Theo Thông tư số 209/2016/TT-BTC ngày 10/11/2016 của Bộ Tài chính</t>
  </si>
  <si>
    <t>Quy định mức thu, chế độ thu, nộp, quản lý và sử dụng phí thẩm định dự án đầu tư xây dựng, phí thẩm định thiết kế cơ sở</t>
  </si>
  <si>
    <t>TDDA209^</t>
  </si>
  <si>
    <t>TDDA209$</t>
  </si>
  <si>
    <t>Theo Thông tư số 210/2016/TT- BTC ngày 10 tháng 11 năm 2016 của Bộ Tài chính</t>
  </si>
  <si>
    <t>Quy định mức thu, chế độ thu, nộp, quản lý và sử dụng phí thẩm định thiết kế kỹ thuật, phí thẩm định dự toán xây dựng</t>
  </si>
  <si>
    <t>1. Phí thẩm định thiết kế kỹ thuật</t>
  </si>
  <si>
    <t>TTTK210^</t>
  </si>
  <si>
    <t>Phụ lục số 1: Phí thẩm định thiết kế kỹ thuật</t>
  </si>
  <si>
    <t>Phụ lục số 2: Phí thẩm định thiết kế kỹ thuật khi cơ quan chuyên môn về xây dựng mời tổ chức tư vấn, cá nhân cùng thẩm định</t>
  </si>
  <si>
    <t>TTTK210$</t>
  </si>
  <si>
    <t>2. Phí thẩm định dự toán xây dựng</t>
  </si>
  <si>
    <t>TTDT210^</t>
  </si>
  <si>
    <t>Phụ lục số 1: Phí thẩm định dự toán xây dựng</t>
  </si>
  <si>
    <t>Phụ lục số 2: Phí thẩm định dự toán xây dựng khi cơ quan chuyên môn về xây dựng mời tổ chức tư vấn, cá nhân cùng thẩm định</t>
  </si>
  <si>
    <t>TTDT210$</t>
  </si>
  <si>
    <t>GSKS79$</t>
  </si>
  <si>
    <t>Chi phí giám sát thi công XD</t>
  </si>
  <si>
    <t>Bỏ</t>
  </si>
  <si>
    <t>Thay TT 75/2014/TT-BTC</t>
  </si>
  <si>
    <t>TT 16/2019/TT-BXD</t>
  </si>
  <si>
    <t>Chi phí khảo sát địa hình</t>
  </si>
  <si>
    <t>Chi phí lập Báo cáo kinh tế kỹ thuật</t>
  </si>
  <si>
    <t>Chi phí lập nhiệm vụ khảo sát xây dựng</t>
  </si>
  <si>
    <t>Chi phí giám sát khảo sát xây dựng</t>
  </si>
  <si>
    <t>DT chi tiết</t>
  </si>
  <si>
    <t>Gtv7</t>
  </si>
  <si>
    <t>2.6</t>
  </si>
  <si>
    <t>TT 09/2019/TT-BXD</t>
  </si>
  <si>
    <t>NĐ 136/2015/NĐ-CP; TT 16/2019/TT-BXD</t>
  </si>
  <si>
    <t>Theo Báo cáo đề xuất</t>
  </si>
  <si>
    <t>TỔNG CHI PHÍ CHUẨN BỊ ĐẦU TƯ</t>
  </si>
  <si>
    <t xml:space="preserve"> CHI PHÍ CHUẨN BỊ ĐẦU TƯ</t>
  </si>
  <si>
    <t>2.7</t>
  </si>
  <si>
    <r>
      <t>G</t>
    </r>
    <r>
      <rPr>
        <b/>
        <vertAlign val="subscript"/>
        <sz val="12"/>
        <rFont val="Times New Roman"/>
        <family val="1"/>
      </rPr>
      <t>CBĐT</t>
    </r>
  </si>
  <si>
    <t>(II)</t>
  </si>
  <si>
    <t>BẢNG TỔNG HỢP DỰ TOÁN CHI PHÍ CHUẨN BỊ ĐẦU TƯ</t>
  </si>
  <si>
    <t>Theo Thông tư số 10/2020/TT-BTC ngày 20 tháng 02 năm 2020</t>
  </si>
  <si>
    <t>[9]</t>
  </si>
  <si>
    <t>Ghi chú</t>
  </si>
  <si>
    <t>Theo Điều 6 thông tư 01/2017/TT-BXD ngày 6/2/2017</t>
  </si>
  <si>
    <t>CÔNG TRÌNH: XÂY MỚI 4 PHÒNG HỌC 2 TẦNG TRƯỜNG THCS CHIẾN THẮNG, HUYỆN AN LÃO, TP HẢI PHÒNG</t>
  </si>
  <si>
    <t>ĐỊA ĐIỂM: XÃ CHIẾN THẮNG, HUYỆN AN LÃO, TP HẢI PHÒNG</t>
  </si>
  <si>
    <t>TRƯỞNG PHÒNG</t>
  </si>
  <si>
    <t>Đào Văn Tần</t>
  </si>
  <si>
    <t>Nguyễn Thế Phong</t>
  </si>
  <si>
    <t>NGƯỜI LẬP</t>
  </si>
  <si>
    <t>PHÒNG KINH TẾ VÀ HẠ TẦNG</t>
  </si>
  <si>
    <t>Chi phí sau thuế
(làm tròn)</t>
  </si>
  <si>
    <t xml:space="preserve">An Lão, ngày     tháng 8 năm 2020             </t>
  </si>
  <si>
    <t xml:space="preserve">Bảng số 2.1 của Thông tư 16/2019/TT - BXD 26/12/2019 V/v Hướng dẫn xác định chi phí quản lý dự án và tư vấn ĐTXD </t>
  </si>
  <si>
    <t xml:space="preserve">Theo bảng số 2.23 Thông tư 16/2019/TT - BXD 26/12/2019 V/v Hướng dẫn xác định chi phí quản lý dự án và tư vấn ĐTXD </t>
  </si>
  <si>
    <t xml:space="preserve">Theo bảng số 2.3  của Thông tư 16/2019/TT - BXD 26/12/2019 V/v Hướng dẫn xác định chi phí quản lý dự án và tư vấn ĐTXD (Định mức chi phí lập BC kinh tế kỹ thuật) </t>
  </si>
  <si>
    <t xml:space="preserve">Theo bảng số 2.16  của Thông tư 16/2019/TT - BXD 26/12/2019 V/v Hướng dẫn xác định chi phí quản lý dự án và tư vấn ĐTXD (Định mức chi phí thẩm tra thiết kế xây dựng) </t>
  </si>
  <si>
    <t xml:space="preserve">Theo bảng số 2.17  của Thông tư 16/2019/TT - BXD 26/12/2019 V/v Hướng dẫn xác định chi phí quản lý dự án và tư vấn ĐTXD (Định mức chi phí thẩm tra dự toán xây dựng) </t>
  </si>
  <si>
    <t>2.1+...+2.7</t>
  </si>
  <si>
    <t>(Bằng chữ : Hai trăm linh chín triệu, sáu trăm bốn mươi hai nghìn đồng chẵn./.)</t>
  </si>
  <si>
    <t>Bảng THDT CPXD</t>
  </si>
  <si>
    <t>Theo Phụ lục I kèm theo Thông tư số 12/2021/TT-BXD ngày 31 tháng 8 năm 2021 của Bộ Xây dựng</t>
  </si>
  <si>
    <t>Bảng 1.1: Định mức chi phí quản lý dự án</t>
  </si>
  <si>
    <t>Bảng 2.1: Định mức chi phí lập báo cáo nghiên cứu tiền khả thi</t>
  </si>
  <si>
    <t>Bảng 2.2: Định mức chi phí lập báo cáo nghiên cứu khả thi</t>
  </si>
  <si>
    <t>Bảng 2.3: Định mức chi phí lập báo cáo kinh tế - kỹ thuật</t>
  </si>
  <si>
    <t>Bảng 2.15: Định mức chi phí thẩm tra báo cáo nghiên cứu khả thi</t>
  </si>
  <si>
    <t>Bảng 2.14: Định mức chi phí thẩm tra báo cáo nghiên cứu tiền khả thi</t>
  </si>
  <si>
    <t>Bảng 2.16: Định mức chi phí thẩm tra thiết kế xây dựng</t>
  </si>
  <si>
    <t>Bảng 2.17: Định mức chi phí thẩm tra dự toán xây dựng</t>
  </si>
  <si>
    <t>Bảng 2.18: Định mức chi phí lập hồ sơ mời thầu, đánh giá hồ sơ dự thầu tư vấn</t>
  </si>
  <si>
    <t>Bảng 2.19: Định mức chi phí lập hồ sơ mời thầu, đánh giá hồ sơ dự thầu thi công xây dựng</t>
  </si>
  <si>
    <t>Bảng 2.20: Định mức chi phí lập hồ sơ mời thầu, đánh giá hồ sơ dự thầu mua sắm vật tư, thiết bị</t>
  </si>
  <si>
    <t>Bảng 2.21: Định mức chi phí giám sát thi công xây dựng</t>
  </si>
  <si>
    <t>Bảng 2.22: Định mức chi phí giám sát lắp đặt thiết bị</t>
  </si>
  <si>
    <t>Bảng 2.23: Định mức chi phí giám sát công tác khảo sát xây dựng</t>
  </si>
  <si>
    <r>
      <t>G</t>
    </r>
    <r>
      <rPr>
        <vertAlign val="subscript"/>
        <sz val="12"/>
        <rFont val="Times New Roman"/>
        <family val="1"/>
      </rPr>
      <t>XD1</t>
    </r>
  </si>
  <si>
    <t>Chi khác</t>
  </si>
  <si>
    <t>Dự phòng</t>
  </si>
  <si>
    <t>Tổng</t>
  </si>
  <si>
    <t>đồng./.)</t>
  </si>
  <si>
    <t>c) Chi phí thẩm tra, phê duyệt quyết toán:</t>
  </si>
  <si>
    <t>Giá trị quyết toán do chủ đầu tư đề nghị phê duyệt của dự án, dự án thành phần, tiểu dự án, công trình, hạng mục công trình độc lập (tỷ đồng)</t>
  </si>
  <si>
    <t>≤5</t>
  </si>
  <si>
    <t>≥ 10.000</t>
  </si>
  <si>
    <t>Tỷ lệ định mức chi phí thẩm tra, phê duyệt quyết toán (%)</t>
  </si>
  <si>
    <t>Nghị định 99/2021/NĐ-CP Chi phí thẩm tra, phê duyệt quyết toán:</t>
  </si>
  <si>
    <t>1.1+1.3</t>
  </si>
  <si>
    <t>CHỦ ĐẦU TƯ</t>
  </si>
  <si>
    <t>ĐƠN VỊ LẬP</t>
  </si>
  <si>
    <t xml:space="preserve">BẢNG TỔNG MỨC ĐẦU TƯ XÂY DỰNG </t>
  </si>
  <si>
    <t xml:space="preserve">              CN. Vũ Thị Huế</t>
  </si>
  <si>
    <t xml:space="preserve"> CHI PHÍ MUA SẮM THIẾT BỊ</t>
  </si>
  <si>
    <r>
      <t>G</t>
    </r>
    <r>
      <rPr>
        <b/>
        <vertAlign val="subscript"/>
        <sz val="12"/>
        <rFont val="Times New Roman"/>
        <family val="1"/>
      </rPr>
      <t>TB</t>
    </r>
  </si>
  <si>
    <t>Chi phí mua sắm thiết bị</t>
  </si>
  <si>
    <r>
      <t>G</t>
    </r>
    <r>
      <rPr>
        <vertAlign val="subscript"/>
        <sz val="12"/>
        <rFont val="Times New Roman"/>
        <family val="1"/>
      </rPr>
      <t>TB1</t>
    </r>
  </si>
  <si>
    <t>Bảng THDT TB</t>
  </si>
  <si>
    <t>3,446% * (Gxd+Gtb)</t>
  </si>
  <si>
    <t>4.1</t>
  </si>
  <si>
    <t>V</t>
  </si>
  <si>
    <t>DỰ PHÒNG CHI</t>
  </si>
  <si>
    <t>G1</t>
  </si>
  <si>
    <t>G2</t>
  </si>
  <si>
    <t>G3</t>
  </si>
  <si>
    <t>Chi phí kiểm toán độc lập</t>
  </si>
  <si>
    <t>Chi phí thẩm định</t>
  </si>
  <si>
    <t>Định mức tối thiểu</t>
  </si>
  <si>
    <t>5.1</t>
  </si>
  <si>
    <t>VI</t>
  </si>
  <si>
    <t>4.4</t>
  </si>
  <si>
    <t>Chi phí giám sát lắp đặt thiết bị</t>
  </si>
  <si>
    <t>5.1+...+5.3</t>
  </si>
  <si>
    <t>Kiến Hưng, ngày    tháng 3 năm 2026</t>
  </si>
  <si>
    <t>Chi phí xây lắp Nhà văn hóa</t>
  </si>
  <si>
    <t>Chi phí xây lắp Nhà vệ sinh</t>
  </si>
  <si>
    <t>Chi phí xây lắp Sân</t>
  </si>
  <si>
    <r>
      <t>G</t>
    </r>
    <r>
      <rPr>
        <vertAlign val="subscript"/>
        <sz val="12"/>
        <rFont val="Times New Roman"/>
        <family val="1"/>
      </rPr>
      <t>XD3</t>
    </r>
  </si>
  <si>
    <r>
      <t>G</t>
    </r>
    <r>
      <rPr>
        <vertAlign val="subscript"/>
        <sz val="12"/>
        <rFont val="Times New Roman"/>
        <family val="1"/>
      </rPr>
      <t>XD2</t>
    </r>
  </si>
  <si>
    <t>Chi phí thẩm tra Báo cáo kinh tế - kỹ thuật, phần thiết kế</t>
  </si>
  <si>
    <t>Chi phí thẩm tra Báo cáo kinh tế - kỹ thuật, phần dự toán</t>
  </si>
  <si>
    <t>4.5</t>
  </si>
  <si>
    <t>DỰ ÁN : SỬA CHỮA, CẢI TẠO NHÀ VĂN HÓA THÔN ĐẠI THẮNG VÀ CÁC HẠNG MỤC PHỤ TRỢ</t>
  </si>
  <si>
    <t>4.1+...+4.5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</si>
</sst>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5">
    <numFmt numFmtId="164" formatCode="_(&quot;$&quot;* #,##0_);_(&quot;$&quot;* \(#,##0\);_(&quot;$&quot;* &quot;-&quot;_);_(@_)"/>
    <numFmt numFmtId="165" formatCode="_(&quot;$&quot;* #,##0.00_);_(&quot;$&quot;* \(#,##0.00\);_(&quot;$&quot;* &quot;-&quot;??_);_(@_)"/>
    <numFmt numFmtId="166" formatCode="_(* #,##0.00_);_(* \(#,##0.00\);_(* &quot;-&quot;??_);_(@_)"/>
    <numFmt numFmtId="167" formatCode="_-* #,##0_-;\-* #,##0_-;_-* &quot;-&quot;_-;_-@_-"/>
    <numFmt numFmtId="168" formatCode="_-* #,##0.00_-;\-* #,##0.00_-;_-* &quot;-&quot;??_-;_-@_-"/>
    <numFmt numFmtId="169" formatCode="_(* #,##0_);_(* \(#,##0\);_(* &quot;-&quot;??_);_(@_)"/>
    <numFmt numFmtId="170" formatCode="0.000"/>
    <numFmt numFmtId="171" formatCode="0.0000"/>
    <numFmt numFmtId="172" formatCode="0.00000"/>
    <numFmt numFmtId="173" formatCode="#,##0\ &quot;DM&quot;;\-#,##0\ &quot;DM&quot;"/>
    <numFmt numFmtId="174" formatCode="_ * #,##0_ ;_ * \-#,##0_ ;_ * &quot;-&quot;_ ;_ @_ "/>
    <numFmt numFmtId="175" formatCode="0.000000000"/>
    <numFmt numFmtId="176" formatCode="0.000%"/>
    <numFmt numFmtId="177" formatCode="0.0%"/>
    <numFmt numFmtId="178" formatCode="0.0000%"/>
    <numFmt numFmtId="179" formatCode="_ * #,##0.00_ ;_ * \-#,##0.00_ ;_ * &quot;-&quot;??_ ;_ @_ "/>
    <numFmt numFmtId="180" formatCode="#,##0;\(#,##0\)"/>
    <numFmt numFmtId="181" formatCode="\$#,##0\ ;\(\$#,##0\)"/>
    <numFmt numFmtId="182" formatCode="\t0.00%"/>
    <numFmt numFmtId="183" formatCode="m\o\n\th\ \D\,\ \y\y\y\y"/>
    <numFmt numFmtId="184" formatCode="_-* #,##0\ _D_M_-;\-* #,##0\ _D_M_-;_-* &quot;-&quot;\ _D_M_-;_-@_-"/>
    <numFmt numFmtId="185" formatCode="_-* #,##0.00\ _D_M_-;\-* #,##0.00\ _D_M_-;_-* &quot;-&quot;??\ _D_M_-;_-@_-"/>
    <numFmt numFmtId="186" formatCode="\t#\ ??/??"/>
    <numFmt numFmtId="187" formatCode="#.00"/>
    <numFmt numFmtId="188" formatCode="#."/>
    <numFmt numFmtId="189" formatCode="&quot;£&quot;#,##0.00;\-&quot;£&quot;#,##0.00"/>
    <numFmt numFmtId="190" formatCode="_-* #,##0.0\ _F_-;\-* #,##0.0\ _F_-;_-* &quot;-&quot;??\ _F_-;_-@_-"/>
    <numFmt numFmtId="191" formatCode="_-* #,##0\ _F_-;\-* #,##0\ _F_-;_-* &quot;-&quot;\ _F_-;_-@_-"/>
    <numFmt numFmtId="192" formatCode="#,###,###.00"/>
    <numFmt numFmtId="193" formatCode="#,###,###,###.00"/>
    <numFmt numFmtId="194" formatCode="_-* #,##0\ &quot;DM&quot;_-;\-* #,##0\ &quot;DM&quot;_-;_-* &quot;-&quot;\ &quot;DM&quot;_-;_-@_-"/>
    <numFmt numFmtId="195" formatCode="_-* #,##0.00\ &quot;DM&quot;_-;\-* #,##0.00\ &quot;DM&quot;_-;_-* &quot;-&quot;??\ &quot;DM&quot;_-;_-@_-"/>
    <numFmt numFmtId="196" formatCode="00&quot;.&quot;000"/>
    <numFmt numFmtId="197" formatCode="#,##0_ ;\-#,##0\ "/>
    <numFmt numFmtId="198" formatCode="_(* #,##0.0_);_(* \(#,##0.0\);_(* &quot;-&quot;??_);_(@_)"/>
  </numFmts>
  <fonts count="104">
    <font>
      <sz val="11"/>
      <color theme="1"/>
      <name val="Calibri"/>
      <family val="2"/>
      <scheme val="minor"/>
    </font>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vertAlign val="subscript"/>
      <sz val="12"/>
      <name val="Times New Roman"/>
      <family val="1"/>
    </font>
    <font>
      <b/>
      <sz val="13"/>
      <color theme="1"/>
      <name val="Times New Roman"/>
      <family val="1"/>
    </font>
    <font>
      <b/>
      <sz val="11"/>
      <color theme="1"/>
      <name val="Times New Roman"/>
      <family val="1"/>
    </font>
    <font>
      <i/>
      <sz val="12"/>
      <color theme="1"/>
      <name val="Times New Roman"/>
      <family val="1"/>
    </font>
    <font>
      <i/>
      <sz val="13"/>
      <color theme="1"/>
      <name val="Times New Roman"/>
      <family val="1"/>
    </font>
    <font>
      <b/>
      <sz val="18"/>
      <color theme="1"/>
      <name val="Times New Roman"/>
      <family val="1"/>
    </font>
    <font>
      <b/>
      <i/>
      <sz val="12"/>
      <color theme="1"/>
      <name val="Times New Roman"/>
      <family val="1"/>
    </font>
    <font>
      <b/>
      <sz val="18"/>
      <name val="Times New Roman"/>
      <family val="1"/>
    </font>
    <font>
      <sz val="11"/>
      <name val="Times New Roman"/>
      <family val="1"/>
    </font>
    <font>
      <b/>
      <sz val="14"/>
      <name val="Times New Roman"/>
      <family val="1"/>
    </font>
    <font>
      <sz val="14"/>
      <name val="Times New Roman"/>
      <family val="1"/>
    </font>
    <font>
      <b/>
      <sz val="11"/>
      <name val="Times New Roman"/>
      <family val="1"/>
    </font>
    <font>
      <b/>
      <i/>
      <sz val="11"/>
      <name val="Times New Roman"/>
      <family val="1"/>
    </font>
    <font>
      <sz val="12"/>
      <name val=".VnTime"/>
      <family val="2"/>
    </font>
    <font>
      <sz val="11"/>
      <name val="??"/>
      <family val="3"/>
    </font>
    <font>
      <sz val="10"/>
      <name val="??"/>
      <family val="3"/>
      <charset val="129"/>
    </font>
    <font>
      <sz val="10"/>
      <name val=".VnArial"/>
      <family val="2"/>
    </font>
    <font>
      <sz val="12"/>
      <name val="????"/>
      <charset val="136"/>
    </font>
    <font>
      <sz val="10"/>
      <name val="???"/>
      <family val="3"/>
      <charset val="129"/>
    </font>
    <font>
      <sz val="10"/>
      <name val="Helv"/>
      <family val="2"/>
    </font>
    <font>
      <sz val="11"/>
      <name val="–¾’©"/>
      <family val="1"/>
      <charset val="128"/>
    </font>
    <font>
      <sz val="10"/>
      <name val="Arial"/>
      <family val="2"/>
    </font>
    <font>
      <sz val="12"/>
      <name val="¹ÙÅÁÃ¼"/>
      <charset val="129"/>
    </font>
    <font>
      <i/>
      <sz val="12"/>
      <color indexed="8"/>
      <name val=".VnBook-AntiquaH"/>
      <family val="2"/>
    </font>
    <font>
      <sz val="11"/>
      <color indexed="8"/>
      <name val="Calibri"/>
      <family val="2"/>
    </font>
    <font>
      <b/>
      <sz val="12"/>
      <color indexed="8"/>
      <name val=".VnBook-Antiqua"/>
      <family val="2"/>
    </font>
    <font>
      <sz val="10"/>
      <name val=".VnTime"/>
      <family val="2"/>
    </font>
    <font>
      <sz val="11"/>
      <color indexed="9"/>
      <name val="Calibri"/>
      <family val="2"/>
    </font>
    <font>
      <sz val="12"/>
      <name val="¹UAAA¼"/>
      <family val="3"/>
      <charset val="129"/>
    </font>
    <font>
      <sz val="11"/>
      <color indexed="20"/>
      <name val="Calibri"/>
      <family val="2"/>
    </font>
    <font>
      <sz val="11"/>
      <name val="µ¸¿ò"/>
      <charset val="129"/>
    </font>
    <font>
      <sz val="12"/>
      <name val="µ¸¿òÃ¼"/>
      <family val="3"/>
      <charset val="129"/>
    </font>
    <font>
      <sz val="11"/>
      <name val="돋움"/>
      <family val="3"/>
      <charset val="129"/>
    </font>
    <font>
      <b/>
      <sz val="11"/>
      <color indexed="52"/>
      <name val="Calibri"/>
      <family val="2"/>
    </font>
    <font>
      <b/>
      <sz val="10"/>
      <name val="Helv"/>
    </font>
    <font>
      <b/>
      <sz val="11"/>
      <color indexed="9"/>
      <name val="Calibri"/>
      <family val="2"/>
    </font>
    <font>
      <sz val="10"/>
      <name val="VNI-Aptima"/>
    </font>
    <font>
      <sz val="12"/>
      <name val="Arial"/>
      <family val="2"/>
    </font>
    <font>
      <sz val="12"/>
      <name val=".VnArial Narrow"/>
      <family val="2"/>
    </font>
    <font>
      <sz val="10"/>
      <name val="Times New Roman"/>
      <family val="1"/>
    </font>
    <font>
      <sz val="1"/>
      <color indexed="8"/>
      <name val="Courier"/>
      <family val="3"/>
    </font>
    <font>
      <i/>
      <sz val="11"/>
      <color indexed="23"/>
      <name val="Calibri"/>
      <family val="2"/>
    </font>
    <font>
      <sz val="11"/>
      <color indexed="17"/>
      <name val="Calibri"/>
      <family val="2"/>
    </font>
    <font>
      <sz val="8"/>
      <name val="Arial"/>
      <family val="2"/>
    </font>
    <font>
      <b/>
      <sz val="12"/>
      <name val="Helv"/>
    </font>
    <font>
      <b/>
      <sz val="12"/>
      <name val="Arial"/>
      <family val="2"/>
    </font>
    <font>
      <b/>
      <sz val="18"/>
      <name val="Arial"/>
      <family val="2"/>
    </font>
    <font>
      <b/>
      <sz val="11"/>
      <color indexed="56"/>
      <name val="Calibri"/>
      <family val="2"/>
    </font>
    <font>
      <b/>
      <sz val="1"/>
      <color indexed="8"/>
      <name val="Courier"/>
      <family val="3"/>
    </font>
    <font>
      <sz val="11"/>
      <color indexed="62"/>
      <name val="Calibri"/>
      <family val="2"/>
    </font>
    <font>
      <sz val="11"/>
      <color indexed="52"/>
      <name val="Calibri"/>
      <family val="2"/>
    </font>
    <font>
      <sz val="10"/>
      <name val="MS Sans Serif"/>
      <family val="2"/>
    </font>
    <font>
      <b/>
      <sz val="11"/>
      <name val="Helv"/>
    </font>
    <font>
      <sz val="11"/>
      <color indexed="60"/>
      <name val="Calibri"/>
      <family val="2"/>
    </font>
    <font>
      <sz val="7"/>
      <name val="Small Fonts"/>
      <family val="2"/>
    </font>
    <font>
      <sz val="10"/>
      <name val="Courier New"/>
      <family val="3"/>
    </font>
    <font>
      <sz val="11"/>
      <color indexed="8"/>
      <name val="Times New Roman"/>
      <family val="1"/>
    </font>
    <font>
      <sz val="13"/>
      <name val=".VnTime"/>
      <family val="2"/>
    </font>
    <font>
      <b/>
      <sz val="11"/>
      <color indexed="63"/>
      <name val="Calibri"/>
      <family val="2"/>
    </font>
    <font>
      <sz val="10"/>
      <name val="VNI-Times"/>
    </font>
    <font>
      <b/>
      <sz val="18"/>
      <color indexed="56"/>
      <name val="Cambria"/>
      <family val="2"/>
    </font>
    <font>
      <sz val="10"/>
      <color indexed="10"/>
      <name val="VNI-Helve-Condense"/>
    </font>
    <font>
      <sz val="11"/>
      <color indexed="10"/>
      <name val="Calibri"/>
      <family val="2"/>
    </font>
    <font>
      <sz val="16"/>
      <name val="AngsanaUPC"/>
      <family val="3"/>
    </font>
    <font>
      <sz val="10"/>
      <name val=" "/>
      <family val="1"/>
      <charset val="136"/>
    </font>
    <font>
      <sz val="12"/>
      <name val="Times New Roman"/>
      <family val="1"/>
    </font>
    <font>
      <sz val="14"/>
      <name val="뼻뮝"/>
      <family val="3"/>
    </font>
    <font>
      <sz val="12"/>
      <name val="바탕체"/>
      <family val="3"/>
    </font>
    <font>
      <sz val="10"/>
      <name val="굴림체"/>
      <family val="3"/>
    </font>
    <font>
      <sz val="9"/>
      <name val="Arial"/>
      <family val="2"/>
    </font>
    <font>
      <sz val="11"/>
      <color rgb="FFFF0000"/>
      <name val="Times New Roman"/>
      <family val="1"/>
    </font>
    <font>
      <b/>
      <sz val="13"/>
      <color theme="1"/>
      <name val="Times New Roman"/>
      <family val="1"/>
      <charset val="163"/>
    </font>
    <font>
      <sz val="14"/>
      <color theme="1"/>
      <name val="Times New Roman"/>
      <family val="1"/>
      <charset val="163"/>
    </font>
    <font>
      <b/>
      <sz val="14"/>
      <color theme="1"/>
      <name val="Times New Roman"/>
      <family val="1"/>
      <charset val="163"/>
    </font>
    <font>
      <b/>
      <i/>
      <sz val="13"/>
      <name val="Times New Roman"/>
      <family val="1"/>
    </font>
    <font>
      <sz val="12"/>
      <color rgb="FFFF0000"/>
      <name val="Times New Roman"/>
      <family val="1"/>
    </font>
    <font>
      <b/>
      <i/>
      <sz val="14"/>
      <color theme="1"/>
      <name val="Times New Roman"/>
      <family val="1"/>
    </font>
    <font>
      <sz val="10"/>
      <color theme="1"/>
      <name val="Arial"/>
      <family val="2"/>
    </font>
    <font>
      <b/>
      <sz val="10"/>
      <color theme="1"/>
      <name val="Arial"/>
      <family val="2"/>
    </font>
    <font>
      <b/>
      <sz val="11"/>
      <color rgb="FFFF0000"/>
      <name val="Times New Roman"/>
      <family val="1"/>
    </font>
    <font>
      <sz val="11"/>
      <color rgb="FFFF0000"/>
      <name val="Calibri"/>
      <family val="2"/>
      <scheme val="minor"/>
    </font>
    <font>
      <sz val="8"/>
      <name val="Calibri"/>
      <family val="2"/>
      <scheme val="minor"/>
    </font>
    <font>
      <vertAlign val="subscript"/>
      <sz val="12"/>
      <name val="Times New Roman"/>
      <family val="1"/>
    </font>
    <font>
      <sz val="14"/>
      <color theme="1"/>
      <name val="Times New Roman"/>
      <family val="1"/>
    </font>
    <font>
      <sz val="13"/>
      <color theme="1"/>
      <name val="Times New Roman"/>
      <family val="1"/>
    </font>
    <font>
      <b/>
      <sz val="12"/>
      <name val="Times New Roman"/>
      <family val="1"/>
    </font>
    <font>
      <sz val="12"/>
      <color theme="1"/>
      <name val="Times New Roman"/>
      <family val="2"/>
    </font>
    <font>
      <i/>
      <sz val="13"/>
      <name val="Times New Roman"/>
      <family val="1"/>
    </font>
    <font>
      <b/>
      <sz val="14"/>
      <color theme="1"/>
      <name val="Times New Roman"/>
      <family val="1"/>
    </font>
    <font>
      <b/>
      <sz val="10"/>
      <name val="Microsoft Sans Serif"/>
      <family val="2"/>
    </font>
    <font>
      <sz val="8.25"/>
      <name val="Microsoft Sans Serif"/>
      <family val="2"/>
    </font>
    <font>
      <sz val="13"/>
      <color rgb="FFFF0000"/>
      <name val=".VnArialH"/>
      <family val="2"/>
      <charset val="163"/>
    </font>
    <font>
      <sz val="13"/>
      <color rgb="FFFF0000"/>
      <name val=".VnArial"/>
      <family val="2"/>
      <charset val="163"/>
    </font>
    <font>
      <sz val="13"/>
      <color rgb="FFFF0000"/>
      <name val=".VnTime"/>
      <family val="2"/>
      <charset val="163"/>
    </font>
    <font>
      <b/>
      <sz val="11"/>
      <name val=".VnTime"/>
      <family val="2"/>
    </font>
    <font>
      <sz val="13"/>
      <color indexed="12"/>
      <name val=".VnArialH"/>
      <family val="2"/>
      <charset val="163"/>
    </font>
    <font>
      <sz val="13"/>
      <color indexed="10"/>
      <name val=".VnArial"/>
      <family val="2"/>
      <charset val="163"/>
    </font>
    <font>
      <sz val="13"/>
      <name val=".VnArial"/>
      <family val="2"/>
      <charset val="163"/>
    </font>
    <font>
      <sz val="13"/>
      <name val=".VnTime"/>
      <family val="2"/>
      <charset val="163"/>
    </font>
  </fonts>
  <fills count="26">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rgb="FFFFFF00"/>
        <bgColor indexed="64"/>
      </patternFill>
    </fill>
    <fill>
      <patternFill patternType="solid">
        <fgColor theme="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style="hair">
        <color indexed="64"/>
      </top>
      <bottom style="hair">
        <color indexed="64"/>
      </bottom>
      <diagonal/>
    </border>
    <border>
      <left/>
      <right style="double">
        <color indexed="64"/>
      </right>
      <top style="thin">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hair">
        <color indexed="64"/>
      </bottom>
      <diagonal/>
    </border>
    <border>
      <left/>
      <right style="double">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s>
  <cellStyleXfs count="176">
    <xf numFmtId="0" fontId="0" fillId="0" borderId="0"/>
    <xf numFmtId="166" fontId="1" fillId="0" borderId="0" applyFont="0" applyFill="0" applyBorder="0" applyAlignment="0" applyProtection="0"/>
    <xf numFmtId="0" fontId="18" fillId="0" borderId="0" applyNumberFormat="0" applyFill="0" applyBorder="0" applyAlignment="0" applyProtection="0"/>
    <xf numFmtId="173" fontId="19" fillId="0" borderId="0" applyFont="0" applyFill="0" applyBorder="0" applyAlignment="0" applyProtection="0"/>
    <xf numFmtId="0" fontId="20" fillId="0" borderId="22"/>
    <xf numFmtId="174" fontId="21" fillId="0" borderId="0" applyFont="0" applyFill="0" applyBorder="0" applyAlignment="0" applyProtection="0"/>
    <xf numFmtId="167" fontId="22" fillId="0" borderId="0" applyFont="0" applyFill="0" applyBorder="0" applyAlignment="0" applyProtection="0"/>
    <xf numFmtId="9" fontId="19" fillId="0" borderId="0" applyFont="0" applyFill="0" applyBorder="0" applyAlignment="0" applyProtection="0"/>
    <xf numFmtId="0" fontId="23" fillId="0" borderId="0"/>
    <xf numFmtId="0" fontId="24" fillId="0" borderId="0"/>
    <xf numFmtId="0" fontId="25" fillId="0" borderId="0"/>
    <xf numFmtId="0" fontId="25" fillId="0" borderId="0"/>
    <xf numFmtId="0" fontId="25" fillId="0" borderId="0"/>
    <xf numFmtId="0" fontId="26" fillId="0" borderId="0"/>
    <xf numFmtId="9" fontId="27" fillId="0" borderId="0" applyFont="0" applyFill="0" applyBorder="0" applyAlignment="0" applyProtection="0"/>
    <xf numFmtId="0" fontId="28" fillId="2" borderId="0"/>
    <xf numFmtId="0" fontId="18"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30" fillId="2" borderId="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31" fillId="0" borderId="0"/>
    <xf numFmtId="0" fontId="31" fillId="0" borderId="0"/>
    <xf numFmtId="0" fontId="32" fillId="13"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20" borderId="0" applyNumberFormat="0" applyBorder="0" applyAlignment="0" applyProtection="0"/>
    <xf numFmtId="175" fontId="18" fillId="0" borderId="0" applyFont="0" applyFill="0" applyBorder="0" applyAlignment="0" applyProtection="0"/>
    <xf numFmtId="0" fontId="33" fillId="0" borderId="0" applyFont="0" applyFill="0" applyBorder="0" applyAlignment="0" applyProtection="0"/>
    <xf numFmtId="175" fontId="18" fillId="0" borderId="0" applyFont="0" applyFill="0" applyBorder="0" applyAlignment="0" applyProtection="0"/>
    <xf numFmtId="176" fontId="18" fillId="0" borderId="0" applyFont="0" applyFill="0" applyBorder="0" applyAlignment="0" applyProtection="0"/>
    <xf numFmtId="0" fontId="33" fillId="0" borderId="0" applyFont="0" applyFill="0" applyBorder="0" applyAlignment="0" applyProtection="0"/>
    <xf numFmtId="176" fontId="18" fillId="0" borderId="0" applyFont="0" applyFill="0" applyBorder="0" applyAlignment="0" applyProtection="0"/>
    <xf numFmtId="177" fontId="18" fillId="0" borderId="0" applyFont="0" applyFill="0" applyBorder="0" applyAlignment="0" applyProtection="0"/>
    <xf numFmtId="0" fontId="33" fillId="0" borderId="0" applyFont="0" applyFill="0" applyBorder="0" applyAlignment="0" applyProtection="0"/>
    <xf numFmtId="174" fontId="27" fillId="0" borderId="0" applyFont="0" applyFill="0" applyBorder="0" applyAlignment="0" applyProtection="0"/>
    <xf numFmtId="178" fontId="18" fillId="0" borderId="0" applyFont="0" applyFill="0" applyBorder="0" applyAlignment="0" applyProtection="0"/>
    <xf numFmtId="0" fontId="33" fillId="0" borderId="0" applyFont="0" applyFill="0" applyBorder="0" applyAlignment="0" applyProtection="0"/>
    <xf numFmtId="179" fontId="27" fillId="0" borderId="0" applyFont="0" applyFill="0" applyBorder="0" applyAlignment="0" applyProtection="0"/>
    <xf numFmtId="0" fontId="34" fillId="4" borderId="0" applyNumberFormat="0" applyBorder="0" applyAlignment="0" applyProtection="0"/>
    <xf numFmtId="0" fontId="33" fillId="0" borderId="0"/>
    <xf numFmtId="0" fontId="35" fillId="0" borderId="0"/>
    <xf numFmtId="0" fontId="33" fillId="0" borderId="0"/>
    <xf numFmtId="0" fontId="36" fillId="0" borderId="0"/>
    <xf numFmtId="0" fontId="37" fillId="0" borderId="0" applyFill="0" applyBorder="0" applyAlignment="0"/>
    <xf numFmtId="0" fontId="38" fillId="2" borderId="23" applyNumberFormat="0" applyAlignment="0" applyProtection="0"/>
    <xf numFmtId="0" fontId="39" fillId="0" borderId="0"/>
    <xf numFmtId="0" fontId="40" fillId="21" borderId="24" applyNumberFormat="0" applyAlignment="0" applyProtection="0"/>
    <xf numFmtId="1" fontId="41" fillId="0" borderId="25" applyBorder="0"/>
    <xf numFmtId="166" fontId="29"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13" fillId="0" borderId="0" applyFont="0" applyFill="0" applyBorder="0" applyAlignment="0" applyProtection="0">
      <alignment vertical="top" wrapText="1"/>
      <protection locked="0"/>
    </xf>
    <xf numFmtId="180" fontId="44" fillId="0" borderId="0"/>
    <xf numFmtId="3" fontId="26" fillId="0" borderId="0" applyFont="0" applyFill="0" applyBorder="0" applyAlignment="0" applyProtection="0"/>
    <xf numFmtId="181" fontId="26" fillId="0" borderId="0" applyFont="0" applyFill="0" applyBorder="0" applyAlignment="0" applyProtection="0"/>
    <xf numFmtId="182" fontId="26" fillId="0" borderId="0"/>
    <xf numFmtId="183" fontId="45" fillId="0" borderId="0">
      <protection locked="0"/>
    </xf>
    <xf numFmtId="184" fontId="26" fillId="0" borderId="0" applyFont="0" applyFill="0" applyBorder="0" applyAlignment="0" applyProtection="0"/>
    <xf numFmtId="185" fontId="26" fillId="0" borderId="0" applyFont="0" applyFill="0" applyBorder="0" applyAlignment="0" applyProtection="0"/>
    <xf numFmtId="186" fontId="26" fillId="0" borderId="0"/>
    <xf numFmtId="3" fontId="18" fillId="0" borderId="0" applyFont="0" applyBorder="0" applyAlignment="0"/>
    <xf numFmtId="0" fontId="46" fillId="0" borderId="0" applyNumberFormat="0" applyFill="0" applyBorder="0" applyAlignment="0" applyProtection="0"/>
    <xf numFmtId="3" fontId="18" fillId="0" borderId="0" applyFont="0" applyBorder="0" applyAlignment="0"/>
    <xf numFmtId="187" fontId="45" fillId="0" borderId="0">
      <protection locked="0"/>
    </xf>
    <xf numFmtId="0" fontId="47" fillId="5" borderId="0" applyNumberFormat="0" applyBorder="0" applyAlignment="0" applyProtection="0"/>
    <xf numFmtId="38" fontId="48" fillId="2" borderId="0" applyNumberFormat="0" applyBorder="0" applyAlignment="0" applyProtection="0"/>
    <xf numFmtId="0" fontId="49" fillId="0" borderId="0">
      <alignment horizontal="left"/>
    </xf>
    <xf numFmtId="0" fontId="50" fillId="0" borderId="26" applyNumberFormat="0" applyAlignment="0" applyProtection="0">
      <alignment horizontal="left" vertical="center"/>
    </xf>
    <xf numFmtId="0" fontId="50" fillId="0" borderId="19">
      <alignment horizontal="left" vertical="center"/>
    </xf>
    <xf numFmtId="0" fontId="51" fillId="0" borderId="0" applyNumberFormat="0" applyFill="0" applyBorder="0" applyAlignment="0" applyProtection="0"/>
    <xf numFmtId="0" fontId="50" fillId="0" borderId="0" applyNumberFormat="0" applyFill="0" applyBorder="0" applyAlignment="0" applyProtection="0"/>
    <xf numFmtId="0" fontId="52" fillId="0" borderId="27" applyNumberFormat="0" applyFill="0" applyAlignment="0" applyProtection="0"/>
    <xf numFmtId="188" fontId="53" fillId="0" borderId="0">
      <protection locked="0"/>
    </xf>
    <xf numFmtId="188" fontId="53" fillId="0" borderId="0">
      <protection locked="0"/>
    </xf>
    <xf numFmtId="10" fontId="48" fillId="22" borderId="1" applyNumberFormat="0" applyBorder="0" applyAlignment="0" applyProtection="0"/>
    <xf numFmtId="0" fontId="54" fillId="8" borderId="23" applyNumberFormat="0" applyAlignment="0" applyProtection="0"/>
    <xf numFmtId="0" fontId="55" fillId="0" borderId="28" applyNumberFormat="0" applyFill="0" applyAlignment="0" applyProtection="0"/>
    <xf numFmtId="38" fontId="56" fillId="0" borderId="0" applyFont="0" applyFill="0" applyBorder="0" applyAlignment="0" applyProtection="0"/>
    <xf numFmtId="40" fontId="56" fillId="0" borderId="0" applyFont="0" applyFill="0" applyBorder="0" applyAlignment="0" applyProtection="0"/>
    <xf numFmtId="38" fontId="56" fillId="0" borderId="0" applyFont="0" applyFill="0" applyBorder="0" applyAlignment="0" applyProtection="0"/>
    <xf numFmtId="0" fontId="57" fillId="0" borderId="29"/>
    <xf numFmtId="0" fontId="42" fillId="0" borderId="0" applyNumberFormat="0" applyFont="0" applyFill="0" applyAlignment="0"/>
    <xf numFmtId="0" fontId="58" fillId="23" borderId="0" applyNumberFormat="0" applyBorder="0" applyAlignment="0" applyProtection="0"/>
    <xf numFmtId="0" fontId="44" fillId="0" borderId="0"/>
    <xf numFmtId="37" fontId="59" fillId="0" borderId="0"/>
    <xf numFmtId="189" fontId="60" fillId="0" borderId="0"/>
    <xf numFmtId="0" fontId="29" fillId="0" borderId="0"/>
    <xf numFmtId="0" fontId="42" fillId="0" borderId="0"/>
    <xf numFmtId="0" fontId="42" fillId="0" borderId="0"/>
    <xf numFmtId="0" fontId="13" fillId="0" borderId="0" applyAlignment="0">
      <alignment vertical="top" wrapText="1"/>
      <protection locked="0"/>
    </xf>
    <xf numFmtId="0" fontId="43" fillId="0" borderId="0"/>
    <xf numFmtId="0" fontId="42" fillId="0" borderId="0"/>
    <xf numFmtId="0" fontId="42" fillId="0" borderId="0"/>
    <xf numFmtId="0" fontId="43" fillId="0" borderId="0"/>
    <xf numFmtId="0" fontId="42" fillId="0" borderId="0"/>
    <xf numFmtId="0" fontId="42" fillId="0" borderId="0"/>
    <xf numFmtId="0" fontId="61" fillId="0" borderId="0"/>
    <xf numFmtId="0" fontId="61" fillId="0" borderId="0"/>
    <xf numFmtId="0" fontId="13" fillId="0" borderId="0" applyAlignment="0">
      <alignment vertical="top" wrapText="1"/>
      <protection locked="0"/>
    </xf>
    <xf numFmtId="0" fontId="26" fillId="22" borderId="30" applyNumberFormat="0" applyFont="0" applyAlignment="0" applyProtection="0"/>
    <xf numFmtId="168" fontId="25" fillId="0" borderId="0" applyFont="0" applyFill="0" applyBorder="0" applyAlignment="0" applyProtection="0"/>
    <xf numFmtId="167" fontId="25" fillId="0" borderId="0" applyFont="0" applyFill="0" applyBorder="0" applyAlignment="0" applyProtection="0"/>
    <xf numFmtId="0" fontId="62" fillId="0" borderId="0" applyNumberFormat="0" applyFill="0" applyBorder="0" applyAlignment="0" applyProtection="0"/>
    <xf numFmtId="0" fontId="18" fillId="0" borderId="0" applyNumberFormat="0" applyFill="0" applyBorder="0" applyAlignment="0" applyProtection="0"/>
    <xf numFmtId="0" fontId="26" fillId="0" borderId="0" applyFont="0" applyFill="0" applyBorder="0" applyAlignment="0" applyProtection="0"/>
    <xf numFmtId="0" fontId="44" fillId="0" borderId="0"/>
    <xf numFmtId="0" fontId="63" fillId="2" borderId="31" applyNumberFormat="0" applyAlignment="0" applyProtection="0"/>
    <xf numFmtId="10" fontId="26" fillId="0" borderId="0" applyFont="0" applyFill="0" applyBorder="0" applyAlignment="0" applyProtection="0"/>
    <xf numFmtId="10" fontId="26"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13" fillId="0" borderId="0" applyFont="0" applyFill="0" applyBorder="0" applyAlignment="0" applyProtection="0">
      <alignment vertical="top" wrapText="1"/>
      <protection locked="0"/>
    </xf>
    <xf numFmtId="9" fontId="56" fillId="0" borderId="32" applyNumberFormat="0" applyBorder="0"/>
    <xf numFmtId="0" fontId="18" fillId="0" borderId="0" applyNumberFormat="0" applyFill="0" applyBorder="0" applyAlignment="0" applyProtection="0"/>
    <xf numFmtId="3" fontId="64" fillId="0" borderId="33">
      <alignment horizontal="right" wrapText="1"/>
    </xf>
    <xf numFmtId="0" fontId="31" fillId="0" borderId="0" applyNumberFormat="0" applyFill="0" applyBorder="0" applyAlignment="0" applyProtection="0"/>
    <xf numFmtId="0" fontId="57" fillId="0" borderId="0"/>
    <xf numFmtId="190" fontId="18" fillId="0" borderId="18">
      <alignment horizontal="right" vertical="center"/>
    </xf>
    <xf numFmtId="191" fontId="18" fillId="0" borderId="18">
      <alignment horizontal="center"/>
    </xf>
    <xf numFmtId="0" fontId="26" fillId="0" borderId="0" applyNumberFormat="0" applyFill="0" applyBorder="0" applyAlignment="0" applyProtection="0"/>
    <xf numFmtId="0" fontId="65" fillId="0" borderId="0" applyNumberFormat="0" applyFill="0" applyBorder="0" applyAlignment="0" applyProtection="0"/>
    <xf numFmtId="188" fontId="45" fillId="0" borderId="12">
      <protection locked="0"/>
    </xf>
    <xf numFmtId="0" fontId="66" fillId="0" borderId="0" applyBorder="0">
      <alignment vertical="top" wrapText="1"/>
    </xf>
    <xf numFmtId="192" fontId="18" fillId="0" borderId="0"/>
    <xf numFmtId="193" fontId="18" fillId="0" borderId="1"/>
    <xf numFmtId="194" fontId="26" fillId="0" borderId="0" applyFont="0" applyFill="0" applyBorder="0" applyAlignment="0" applyProtection="0"/>
    <xf numFmtId="195" fontId="26" fillId="0" borderId="0" applyFont="0" applyFill="0" applyBorder="0" applyAlignment="0" applyProtection="0"/>
    <xf numFmtId="0" fontId="67" fillId="0" borderId="0" applyNumberFormat="0" applyFill="0" applyBorder="0" applyAlignment="0" applyProtection="0"/>
    <xf numFmtId="164" fontId="68" fillId="0" borderId="0" applyFont="0" applyFill="0" applyBorder="0" applyAlignment="0" applyProtection="0"/>
    <xf numFmtId="165" fontId="68" fillId="0" borderId="0" applyFont="0" applyFill="0" applyBorder="0" applyAlignment="0" applyProtection="0"/>
    <xf numFmtId="0" fontId="68" fillId="0" borderId="0"/>
    <xf numFmtId="0" fontId="69" fillId="0" borderId="0" applyFont="0" applyFill="0" applyBorder="0" applyAlignment="0" applyProtection="0"/>
    <xf numFmtId="0" fontId="69" fillId="0" borderId="0" applyFont="0" applyFill="0" applyBorder="0" applyAlignment="0" applyProtection="0"/>
    <xf numFmtId="0" fontId="70" fillId="0" borderId="0">
      <alignment vertical="center"/>
    </xf>
    <xf numFmtId="40" fontId="71" fillId="0" borderId="0" applyFont="0" applyFill="0" applyBorder="0" applyAlignment="0" applyProtection="0"/>
    <xf numFmtId="38" fontId="71" fillId="0" borderId="0" applyFont="0" applyFill="0" applyBorder="0" applyAlignment="0" applyProtection="0"/>
    <xf numFmtId="0" fontId="71" fillId="0" borderId="0" applyFont="0" applyFill="0" applyBorder="0" applyAlignment="0" applyProtection="0"/>
    <xf numFmtId="0" fontId="71" fillId="0" borderId="0" applyFont="0" applyFill="0" applyBorder="0" applyAlignment="0" applyProtection="0"/>
    <xf numFmtId="9" fontId="72" fillId="0" borderId="0" applyFon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196" fontId="37" fillId="0" borderId="0" applyFont="0" applyFill="0" applyBorder="0" applyAlignment="0" applyProtection="0"/>
    <xf numFmtId="0" fontId="73" fillId="0" borderId="0"/>
    <xf numFmtId="0" fontId="42" fillId="0" borderId="0"/>
    <xf numFmtId="168" fontId="74" fillId="0" borderId="0" applyFont="0" applyFill="0" applyBorder="0" applyAlignment="0" applyProtection="0"/>
    <xf numFmtId="0" fontId="91" fillId="0" borderId="0"/>
    <xf numFmtId="0" fontId="18" fillId="0" borderId="0"/>
    <xf numFmtId="0" fontId="26" fillId="0" borderId="0"/>
    <xf numFmtId="0" fontId="31" fillId="0" borderId="0"/>
    <xf numFmtId="0" fontId="95" fillId="0" borderId="0">
      <protection locked="0"/>
    </xf>
    <xf numFmtId="0" fontId="95" fillId="0" borderId="0">
      <protection locked="0"/>
    </xf>
  </cellStyleXfs>
  <cellXfs count="267">
    <xf numFmtId="0" fontId="0" fillId="0" borderId="0" xfId="0"/>
    <xf numFmtId="0" fontId="4" fillId="0" borderId="0" xfId="0" applyFont="1"/>
    <xf numFmtId="0" fontId="4" fillId="0" borderId="0" xfId="0" applyFont="1" applyAlignment="1">
      <alignment vertical="top"/>
    </xf>
    <xf numFmtId="169" fontId="4" fillId="0" borderId="0" xfId="1" applyNumberFormat="1" applyFont="1" applyAlignment="1">
      <alignment vertical="top"/>
    </xf>
    <xf numFmtId="0" fontId="3" fillId="0" borderId="0" xfId="0" applyFont="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top"/>
    </xf>
    <xf numFmtId="0" fontId="7" fillId="0" borderId="1" xfId="0" applyFont="1" applyBorder="1" applyAlignment="1">
      <alignment horizontal="center" vertical="top"/>
    </xf>
    <xf numFmtId="169" fontId="3" fillId="0" borderId="1" xfId="1" applyNumberFormat="1" applyFont="1" applyBorder="1" applyAlignment="1">
      <alignment vertical="top"/>
    </xf>
    <xf numFmtId="0" fontId="3" fillId="0" borderId="2" xfId="0" applyFont="1" applyBorder="1" applyAlignment="1">
      <alignment vertical="top" wrapText="1"/>
    </xf>
    <xf numFmtId="0" fontId="3" fillId="0" borderId="2" xfId="0" applyFont="1" applyBorder="1" applyAlignment="1">
      <alignment horizontal="center" vertical="top"/>
    </xf>
    <xf numFmtId="0" fontId="7" fillId="0" borderId="2" xfId="0" applyFont="1" applyBorder="1" applyAlignment="1">
      <alignment horizontal="center" vertical="top"/>
    </xf>
    <xf numFmtId="169" fontId="3" fillId="0" borderId="2" xfId="1" applyNumberFormat="1" applyFont="1" applyBorder="1" applyAlignment="1">
      <alignment vertical="top"/>
    </xf>
    <xf numFmtId="0" fontId="4" fillId="0" borderId="2" xfId="0" applyFont="1" applyBorder="1" applyAlignment="1">
      <alignment vertical="top" wrapText="1"/>
    </xf>
    <xf numFmtId="0" fontId="4" fillId="0" borderId="2" xfId="0" applyFont="1" applyBorder="1" applyAlignment="1">
      <alignment horizontal="center" vertical="top"/>
    </xf>
    <xf numFmtId="0" fontId="2" fillId="0" borderId="2" xfId="0" applyFont="1" applyBorder="1" applyAlignment="1">
      <alignment horizontal="center" vertical="top"/>
    </xf>
    <xf numFmtId="169" fontId="4" fillId="0" borderId="2" xfId="1" applyNumberFormat="1" applyFont="1" applyBorder="1" applyAlignment="1">
      <alignment vertical="top"/>
    </xf>
    <xf numFmtId="0" fontId="3" fillId="0" borderId="6" xfId="0"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vertical="top"/>
    </xf>
    <xf numFmtId="0" fontId="4" fillId="0" borderId="10" xfId="0" applyFont="1" applyBorder="1" applyAlignment="1">
      <alignment vertical="top"/>
    </xf>
    <xf numFmtId="0" fontId="3" fillId="0" borderId="11" xfId="0" applyFont="1" applyBorder="1" applyAlignment="1">
      <alignment vertical="top" wrapText="1"/>
    </xf>
    <xf numFmtId="0" fontId="3" fillId="0" borderId="12" xfId="0" applyFont="1" applyBorder="1" applyAlignment="1">
      <alignment horizontal="center" vertical="top"/>
    </xf>
    <xf numFmtId="169" fontId="3" fillId="0" borderId="12" xfId="1" applyNumberFormat="1" applyFont="1" applyBorder="1" applyAlignment="1">
      <alignment vertical="top"/>
    </xf>
    <xf numFmtId="169" fontId="3" fillId="0" borderId="13" xfId="1" applyNumberFormat="1" applyFont="1" applyBorder="1" applyAlignment="1">
      <alignment vertical="top"/>
    </xf>
    <xf numFmtId="0" fontId="2" fillId="0" borderId="2" xfId="0" applyFont="1" applyBorder="1" applyAlignment="1">
      <alignment horizontal="center" vertical="top" wrapText="1"/>
    </xf>
    <xf numFmtId="0" fontId="3" fillId="0" borderId="15" xfId="0" applyFont="1" applyBorder="1" applyAlignment="1">
      <alignment horizontal="center" vertical="top"/>
    </xf>
    <xf numFmtId="0" fontId="3" fillId="0" borderId="16" xfId="0" applyFont="1" applyBorder="1" applyAlignment="1">
      <alignment vertical="top" wrapText="1"/>
    </xf>
    <xf numFmtId="0" fontId="3" fillId="0" borderId="16" xfId="0" applyFont="1" applyBorder="1" applyAlignment="1">
      <alignment horizontal="center" vertical="top"/>
    </xf>
    <xf numFmtId="0" fontId="7" fillId="0" borderId="16" xfId="0" applyFont="1" applyBorder="1" applyAlignment="1">
      <alignment horizontal="center" vertical="top"/>
    </xf>
    <xf numFmtId="169" fontId="3" fillId="0" borderId="16" xfId="1" applyNumberFormat="1" applyFont="1" applyBorder="1" applyAlignment="1">
      <alignment vertical="top"/>
    </xf>
    <xf numFmtId="0" fontId="4" fillId="0" borderId="1" xfId="0" applyFont="1" applyBorder="1" applyAlignment="1">
      <alignment horizontal="center" vertical="top"/>
    </xf>
    <xf numFmtId="0" fontId="4" fillId="0" borderId="8" xfId="0" applyFont="1" applyBorder="1" applyAlignment="1">
      <alignment horizontal="center" vertical="top"/>
    </xf>
    <xf numFmtId="169" fontId="4" fillId="0" borderId="0" xfId="0" applyNumberFormat="1"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13" fillId="0" borderId="0" xfId="0" applyFont="1"/>
    <xf numFmtId="0" fontId="15" fillId="0" borderId="0" xfId="0" applyFont="1"/>
    <xf numFmtId="0" fontId="13" fillId="0" borderId="0" xfId="0" applyFont="1" applyProtection="1">
      <protection locked="0"/>
    </xf>
    <xf numFmtId="0" fontId="16" fillId="0" borderId="1" xfId="0" applyFont="1" applyBorder="1" applyAlignment="1" applyProtection="1">
      <alignment horizontal="center"/>
      <protection locked="0"/>
    </xf>
    <xf numFmtId="0" fontId="16" fillId="0" borderId="1" xfId="0" applyFont="1" applyBorder="1" applyAlignment="1" applyProtection="1">
      <alignment horizontal="center" vertical="center"/>
      <protection locked="0"/>
    </xf>
    <xf numFmtId="3" fontId="16" fillId="0" borderId="1" xfId="0" applyNumberFormat="1"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1" xfId="0" applyFont="1" applyBorder="1" applyProtection="1">
      <protection locked="0"/>
    </xf>
    <xf numFmtId="170" fontId="13" fillId="0" borderId="1" xfId="0" applyNumberFormat="1" applyFont="1" applyBorder="1" applyAlignment="1" applyProtection="1">
      <alignment horizontal="center" vertical="center"/>
      <protection locked="0"/>
    </xf>
    <xf numFmtId="170" fontId="13" fillId="0" borderId="1" xfId="0" applyNumberFormat="1" applyFont="1" applyBorder="1" applyAlignment="1" applyProtection="1">
      <alignment horizontal="center"/>
      <protection locked="0"/>
    </xf>
    <xf numFmtId="0" fontId="13" fillId="0" borderId="1" xfId="0" applyFont="1" applyBorder="1" applyAlignment="1" applyProtection="1">
      <alignment horizontal="center"/>
      <protection locked="0"/>
    </xf>
    <xf numFmtId="170" fontId="13" fillId="0" borderId="0" xfId="0" applyNumberFormat="1" applyFont="1" applyAlignment="1" applyProtection="1">
      <alignment horizontal="center"/>
      <protection locked="0"/>
    </xf>
    <xf numFmtId="0" fontId="16" fillId="0" borderId="0" xfId="0" applyFont="1" applyAlignment="1" applyProtection="1">
      <alignment vertical="center"/>
      <protection locked="0"/>
    </xf>
    <xf numFmtId="2" fontId="13" fillId="0" borderId="1" xfId="0" applyNumberFormat="1" applyFont="1" applyBorder="1" applyAlignment="1" applyProtection="1">
      <alignment horizontal="center"/>
      <protection locked="0"/>
    </xf>
    <xf numFmtId="0" fontId="16" fillId="0" borderId="0" xfId="0" applyFont="1" applyProtection="1">
      <protection locked="0"/>
    </xf>
    <xf numFmtId="0" fontId="16" fillId="0" borderId="0" xfId="0" applyFont="1" applyAlignment="1" applyProtection="1">
      <alignment vertical="center" wrapText="1"/>
      <protection locked="0"/>
    </xf>
    <xf numFmtId="3" fontId="16" fillId="0" borderId="0" xfId="0" applyNumberFormat="1" applyFont="1" applyAlignment="1" applyProtection="1">
      <alignment horizontal="center" vertical="center"/>
      <protection locked="0"/>
    </xf>
    <xf numFmtId="2" fontId="13" fillId="0" borderId="0" xfId="0" applyNumberFormat="1" applyFont="1" applyAlignment="1" applyProtection="1">
      <alignment horizontal="center"/>
      <protection locked="0"/>
    </xf>
    <xf numFmtId="170" fontId="13" fillId="0" borderId="0" xfId="0" applyNumberFormat="1" applyFont="1" applyAlignment="1" applyProtection="1">
      <alignment horizontal="center" vertical="center"/>
      <protection locked="0"/>
    </xf>
    <xf numFmtId="0" fontId="15" fillId="0" borderId="0" xfId="0" applyFont="1" applyAlignment="1" applyProtection="1">
      <alignment horizontal="center"/>
      <protection locked="0"/>
    </xf>
    <xf numFmtId="0" fontId="16" fillId="0" borderId="1" xfId="0" applyFont="1" applyBorder="1" applyAlignment="1" applyProtection="1">
      <alignment horizontal="center" vertical="center" wrapText="1"/>
      <protection locked="0"/>
    </xf>
    <xf numFmtId="171" fontId="13" fillId="0" borderId="1" xfId="0" applyNumberFormat="1" applyFont="1" applyBorder="1" applyAlignment="1" applyProtection="1">
      <alignment horizontal="center" vertical="center"/>
      <protection locked="0"/>
    </xf>
    <xf numFmtId="3" fontId="13"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16" fillId="0" borderId="0" xfId="0" applyFont="1" applyAlignment="1" applyProtection="1">
      <alignment horizontal="left"/>
      <protection locked="0"/>
    </xf>
    <xf numFmtId="0" fontId="13" fillId="0" borderId="1" xfId="0" applyFont="1" applyBorder="1" applyAlignment="1" applyProtection="1">
      <alignment wrapText="1"/>
      <protection locked="0"/>
    </xf>
    <xf numFmtId="171" fontId="13" fillId="0" borderId="1" xfId="0" applyNumberFormat="1" applyFont="1" applyBorder="1" applyAlignment="1" applyProtection="1">
      <alignment horizontal="center"/>
      <protection locked="0"/>
    </xf>
    <xf numFmtId="172" fontId="13" fillId="0" borderId="1" xfId="0" applyNumberFormat="1" applyFont="1" applyBorder="1" applyAlignment="1" applyProtection="1">
      <alignment horizontal="center" vertical="center"/>
      <protection locked="0"/>
    </xf>
    <xf numFmtId="172" fontId="13" fillId="0" borderId="1" xfId="0" applyNumberFormat="1" applyFont="1" applyBorder="1" applyAlignment="1" applyProtection="1">
      <alignment horizontal="center"/>
      <protection locked="0"/>
    </xf>
    <xf numFmtId="170" fontId="13" fillId="0" borderId="1" xfId="0" applyNumberFormat="1" applyFont="1" applyBorder="1" applyAlignment="1">
      <alignment horizontal="center"/>
    </xf>
    <xf numFmtId="170" fontId="4" fillId="0" borderId="0" xfId="0" applyNumberFormat="1" applyFont="1" applyAlignment="1">
      <alignment vertical="center"/>
    </xf>
    <xf numFmtId="0" fontId="75" fillId="24" borderId="0" xfId="0" applyFont="1" applyFill="1" applyAlignment="1" applyProtection="1">
      <alignment horizontal="center"/>
      <protection locked="0"/>
    </xf>
    <xf numFmtId="0" fontId="75" fillId="24" borderId="0" xfId="0" applyFont="1" applyFill="1" applyAlignment="1" applyProtection="1">
      <alignment horizontal="left"/>
      <protection locked="0"/>
    </xf>
    <xf numFmtId="170" fontId="13" fillId="0" borderId="1" xfId="0" applyNumberFormat="1" applyFont="1" applyBorder="1" applyAlignment="1" applyProtection="1">
      <alignment horizontal="center" vertical="center" wrapText="1"/>
      <protection locked="0"/>
    </xf>
    <xf numFmtId="0" fontId="76" fillId="0" borderId="0" xfId="0" applyFont="1" applyAlignment="1">
      <alignment horizontal="center" vertical="top"/>
    </xf>
    <xf numFmtId="0" fontId="77" fillId="0" borderId="0" xfId="0" applyFont="1"/>
    <xf numFmtId="0" fontId="3" fillId="0" borderId="34" xfId="0" applyFont="1" applyBorder="1" applyAlignment="1">
      <alignment horizontal="center" vertical="top"/>
    </xf>
    <xf numFmtId="0" fontId="4" fillId="0" borderId="36" xfId="0" applyFont="1" applyBorder="1" applyAlignment="1">
      <alignment horizontal="center" vertical="top"/>
    </xf>
    <xf numFmtId="0" fontId="2" fillId="0" borderId="37" xfId="0" applyFont="1" applyBorder="1" applyAlignment="1">
      <alignment horizontal="center" vertical="top" wrapText="1"/>
    </xf>
    <xf numFmtId="0" fontId="7" fillId="0" borderId="38" xfId="0" applyFont="1" applyBorder="1" applyAlignment="1">
      <alignment horizontal="center" vertical="top" wrapText="1"/>
    </xf>
    <xf numFmtId="0" fontId="2" fillId="0" borderId="38" xfId="0" applyFont="1" applyBorder="1" applyAlignment="1">
      <alignment horizontal="center" vertical="top" wrapText="1"/>
    </xf>
    <xf numFmtId="0" fontId="7" fillId="0" borderId="36" xfId="0" applyFont="1" applyBorder="1" applyAlignment="1">
      <alignment horizontal="center" vertical="top"/>
    </xf>
    <xf numFmtId="169" fontId="3" fillId="0" borderId="39" xfId="1" applyNumberFormat="1" applyFont="1" applyBorder="1" applyAlignment="1">
      <alignment vertical="top"/>
    </xf>
    <xf numFmtId="169" fontId="4" fillId="0" borderId="0" xfId="0" applyNumberFormat="1" applyFont="1"/>
    <xf numFmtId="0" fontId="7" fillId="0" borderId="16" xfId="0" applyFont="1" applyBorder="1" applyAlignment="1">
      <alignment horizontal="center" vertical="top"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5" xfId="0" applyFont="1" applyBorder="1" applyAlignment="1">
      <alignment horizontal="center" vertical="center" wrapText="1"/>
    </xf>
    <xf numFmtId="0" fontId="2" fillId="0" borderId="38" xfId="0" applyFont="1" applyBorder="1" applyAlignment="1">
      <alignment horizontal="center" vertical="center" wrapText="1"/>
    </xf>
    <xf numFmtId="0" fontId="82" fillId="0" borderId="41" xfId="0" applyFont="1" applyBorder="1" applyAlignment="1">
      <alignment horizontal="center" vertical="center" wrapText="1"/>
    </xf>
    <xf numFmtId="0" fontId="82" fillId="0" borderId="42" xfId="0" applyFont="1" applyBorder="1" applyAlignment="1">
      <alignment horizontal="center" vertical="center" wrapText="1"/>
    </xf>
    <xf numFmtId="0" fontId="83" fillId="0" borderId="41" xfId="0" applyFont="1" applyBorder="1" applyAlignment="1">
      <alignment horizontal="center" vertical="center" wrapText="1"/>
    </xf>
    <xf numFmtId="0" fontId="83" fillId="0" borderId="43" xfId="0" applyFont="1" applyBorder="1" applyAlignment="1">
      <alignment horizontal="center" vertical="center" wrapText="1"/>
    </xf>
    <xf numFmtId="3" fontId="83" fillId="0" borderId="43" xfId="0" applyNumberFormat="1" applyFont="1" applyBorder="1" applyAlignment="1">
      <alignment horizontal="center" vertical="center" wrapText="1"/>
    </xf>
    <xf numFmtId="0" fontId="82" fillId="0" borderId="44" xfId="0" applyFont="1" applyBorder="1" applyAlignment="1">
      <alignment horizontal="center" vertical="center" wrapText="1"/>
    </xf>
    <xf numFmtId="0" fontId="82" fillId="0" borderId="43" xfId="0" applyFont="1" applyBorder="1" applyAlignment="1">
      <alignment horizontal="center" vertical="center" wrapText="1"/>
    </xf>
    <xf numFmtId="0" fontId="75" fillId="24" borderId="0" xfId="0" applyFont="1" applyFill="1" applyProtection="1">
      <protection locked="0"/>
    </xf>
    <xf numFmtId="0" fontId="84" fillId="24" borderId="0" xfId="0" applyFont="1" applyFill="1" applyProtection="1">
      <protection locked="0"/>
    </xf>
    <xf numFmtId="0" fontId="84" fillId="24" borderId="1" xfId="0" applyFont="1" applyFill="1" applyBorder="1" applyAlignment="1" applyProtection="1">
      <alignment horizontal="center"/>
      <protection locked="0"/>
    </xf>
    <xf numFmtId="3" fontId="84" fillId="24" borderId="1" xfId="0" applyNumberFormat="1" applyFont="1" applyFill="1" applyBorder="1" applyAlignment="1" applyProtection="1">
      <alignment horizontal="center" vertical="center"/>
      <protection locked="0"/>
    </xf>
    <xf numFmtId="0" fontId="84" fillId="24" borderId="1" xfId="0" applyFont="1" applyFill="1" applyBorder="1" applyAlignment="1" applyProtection="1">
      <alignment horizontal="center" vertical="center"/>
      <protection locked="0"/>
    </xf>
    <xf numFmtId="0" fontId="75" fillId="24" borderId="1" xfId="0" applyFont="1" applyFill="1" applyBorder="1" applyAlignment="1" applyProtection="1">
      <alignment horizontal="center" vertical="center"/>
      <protection locked="0"/>
    </xf>
    <xf numFmtId="0" fontId="84" fillId="24" borderId="18" xfId="0" applyFont="1" applyFill="1" applyBorder="1" applyProtection="1">
      <protection locked="0"/>
    </xf>
    <xf numFmtId="0" fontId="84" fillId="24" borderId="19" xfId="0" applyFont="1" applyFill="1" applyBorder="1" applyProtection="1">
      <protection locked="0"/>
    </xf>
    <xf numFmtId="0" fontId="84" fillId="24" borderId="20" xfId="0" applyFont="1" applyFill="1" applyBorder="1" applyProtection="1">
      <protection locked="0"/>
    </xf>
    <xf numFmtId="0" fontId="75" fillId="24" borderId="1" xfId="0" applyFont="1" applyFill="1" applyBorder="1" applyProtection="1">
      <protection locked="0"/>
    </xf>
    <xf numFmtId="170" fontId="75" fillId="24" borderId="1" xfId="0" applyNumberFormat="1" applyFont="1" applyFill="1" applyBorder="1" applyAlignment="1" applyProtection="1">
      <alignment horizontal="center" vertical="center"/>
      <protection locked="0"/>
    </xf>
    <xf numFmtId="2" fontId="75" fillId="24" borderId="1" xfId="0" applyNumberFormat="1" applyFont="1" applyFill="1" applyBorder="1" applyAlignment="1" applyProtection="1">
      <alignment horizontal="center" vertical="center"/>
      <protection locked="0"/>
    </xf>
    <xf numFmtId="2" fontId="75" fillId="24" borderId="1" xfId="0" applyNumberFormat="1" applyFont="1" applyFill="1" applyBorder="1" applyAlignment="1" applyProtection="1">
      <alignment horizontal="center"/>
      <protection locked="0"/>
    </xf>
    <xf numFmtId="2" fontId="84" fillId="24" borderId="19" xfId="0" applyNumberFormat="1" applyFont="1" applyFill="1" applyBorder="1" applyProtection="1">
      <protection locked="0"/>
    </xf>
    <xf numFmtId="2" fontId="84" fillId="24" borderId="20" xfId="0" applyNumberFormat="1" applyFont="1" applyFill="1" applyBorder="1" applyProtection="1">
      <protection locked="0"/>
    </xf>
    <xf numFmtId="197" fontId="4" fillId="0" borderId="1" xfId="0" applyNumberFormat="1" applyFont="1" applyBorder="1" applyAlignment="1">
      <alignment vertical="center"/>
    </xf>
    <xf numFmtId="197" fontId="3" fillId="0" borderId="1" xfId="0" applyNumberFormat="1" applyFont="1" applyBorder="1" applyAlignment="1">
      <alignment vertical="center"/>
    </xf>
    <xf numFmtId="0" fontId="2" fillId="0" borderId="0" xfId="0" applyFont="1"/>
    <xf numFmtId="0" fontId="70" fillId="0" borderId="0" xfId="0" applyFont="1"/>
    <xf numFmtId="170" fontId="13" fillId="24" borderId="1" xfId="0" applyNumberFormat="1" applyFont="1" applyFill="1" applyBorder="1" applyAlignment="1" applyProtection="1">
      <alignment horizontal="center"/>
      <protection locked="0"/>
    </xf>
    <xf numFmtId="0" fontId="6" fillId="25" borderId="3" xfId="0" applyFont="1" applyFill="1" applyBorder="1" applyAlignment="1">
      <alignment horizontal="center" vertical="center" wrapText="1"/>
    </xf>
    <xf numFmtId="0" fontId="6" fillId="25" borderId="4" xfId="0" applyFont="1" applyFill="1" applyBorder="1" applyAlignment="1">
      <alignment horizontal="center" vertical="center" wrapText="1"/>
    </xf>
    <xf numFmtId="0" fontId="6" fillId="25" borderId="5" xfId="0" applyFont="1" applyFill="1" applyBorder="1" applyAlignment="1">
      <alignment horizontal="center" vertical="center" wrapText="1"/>
    </xf>
    <xf numFmtId="0" fontId="4" fillId="25" borderId="0" xfId="0" applyFont="1" applyFill="1" applyAlignment="1">
      <alignment vertical="top"/>
    </xf>
    <xf numFmtId="0" fontId="0" fillId="25" borderId="0" xfId="0" applyFill="1"/>
    <xf numFmtId="0" fontId="4" fillId="25" borderId="8" xfId="0" applyFont="1" applyFill="1" applyBorder="1" applyAlignment="1">
      <alignment horizontal="center" vertical="top"/>
    </xf>
    <xf numFmtId="0" fontId="4" fillId="25" borderId="1" xfId="0" applyFont="1" applyFill="1" applyBorder="1" applyAlignment="1">
      <alignment horizontal="center" vertical="top"/>
    </xf>
    <xf numFmtId="0" fontId="4" fillId="25" borderId="9" xfId="0" applyFont="1" applyFill="1" applyBorder="1" applyAlignment="1">
      <alignment horizontal="center" vertical="top"/>
    </xf>
    <xf numFmtId="0" fontId="4" fillId="25" borderId="0" xfId="0" applyFont="1" applyFill="1" applyAlignment="1">
      <alignment vertical="center"/>
    </xf>
    <xf numFmtId="0" fontId="4" fillId="25" borderId="2" xfId="0" applyFont="1" applyFill="1" applyBorder="1" applyAlignment="1">
      <alignment horizontal="center" vertical="center"/>
    </xf>
    <xf numFmtId="0" fontId="80" fillId="25" borderId="0" xfId="0" applyFont="1" applyFill="1" applyAlignment="1">
      <alignment vertical="top"/>
    </xf>
    <xf numFmtId="0" fontId="85" fillId="25" borderId="0" xfId="0" applyFont="1" applyFill="1"/>
    <xf numFmtId="0" fontId="2" fillId="25" borderId="16" xfId="0" applyFont="1" applyFill="1" applyBorder="1" applyAlignment="1">
      <alignment horizontal="center" vertical="center" wrapText="1"/>
    </xf>
    <xf numFmtId="170" fontId="4" fillId="25" borderId="0" xfId="0" applyNumberFormat="1" applyFont="1" applyFill="1" applyAlignment="1">
      <alignment vertical="center"/>
    </xf>
    <xf numFmtId="0" fontId="3" fillId="25" borderId="1" xfId="0" applyFont="1" applyFill="1" applyBorder="1" applyAlignment="1">
      <alignment vertical="center" wrapText="1"/>
    </xf>
    <xf numFmtId="0" fontId="3" fillId="25" borderId="1" xfId="0" applyFont="1" applyFill="1" applyBorder="1" applyAlignment="1">
      <alignment horizontal="center" vertical="center"/>
    </xf>
    <xf numFmtId="0" fontId="7" fillId="25" borderId="1" xfId="0" applyFont="1" applyFill="1" applyBorder="1" applyAlignment="1">
      <alignment horizontal="center" vertical="center"/>
    </xf>
    <xf numFmtId="169" fontId="4" fillId="25" borderId="0" xfId="1" applyNumberFormat="1" applyFont="1" applyFill="1" applyAlignment="1">
      <alignment vertical="top"/>
    </xf>
    <xf numFmtId="0" fontId="0" fillId="25" borderId="0" xfId="0" applyFill="1" applyAlignment="1">
      <alignment vertical="center"/>
    </xf>
    <xf numFmtId="0" fontId="4" fillId="25" borderId="6" xfId="0" applyFont="1" applyFill="1" applyBorder="1" applyAlignment="1">
      <alignment horizontal="center" vertical="center"/>
    </xf>
    <xf numFmtId="0" fontId="4" fillId="25" borderId="2" xfId="0" applyFont="1" applyFill="1" applyBorder="1" applyAlignment="1">
      <alignment vertical="center" wrapText="1"/>
    </xf>
    <xf numFmtId="0" fontId="90" fillId="0" borderId="0" xfId="0" applyFont="1" applyProtection="1">
      <protection locked="0"/>
    </xf>
    <xf numFmtId="3" fontId="14" fillId="0" borderId="0" xfId="109" applyNumberFormat="1" applyFont="1" applyAlignment="1">
      <alignment vertical="center"/>
    </xf>
    <xf numFmtId="0" fontId="88" fillId="0" borderId="1" xfId="0" applyFont="1" applyBorder="1" applyAlignment="1">
      <alignment horizontal="center" vertical="center"/>
    </xf>
    <xf numFmtId="0" fontId="0" fillId="0" borderId="0" xfId="0" applyAlignment="1">
      <alignment vertical="center"/>
    </xf>
    <xf numFmtId="0" fontId="89" fillId="25" borderId="47" xfId="0" applyFont="1" applyFill="1" applyBorder="1" applyAlignment="1">
      <alignment horizontal="center" vertical="center"/>
    </xf>
    <xf numFmtId="0" fontId="89" fillId="25" borderId="48" xfId="0" applyFont="1" applyFill="1" applyBorder="1" applyAlignment="1">
      <alignment vertical="center" wrapText="1"/>
    </xf>
    <xf numFmtId="0" fontId="4" fillId="25" borderId="48" xfId="0" applyFont="1" applyFill="1" applyBorder="1" applyAlignment="1">
      <alignment horizontal="center" vertical="center"/>
    </xf>
    <xf numFmtId="0" fontId="2" fillId="25" borderId="48" xfId="0" applyFont="1" applyFill="1" applyBorder="1" applyAlignment="1">
      <alignment horizontal="center" vertical="center"/>
    </xf>
    <xf numFmtId="0" fontId="70" fillId="25" borderId="47" xfId="0" applyFont="1" applyFill="1" applyBorder="1" applyAlignment="1">
      <alignment horizontal="center" vertical="center"/>
    </xf>
    <xf numFmtId="0" fontId="70" fillId="25" borderId="48" xfId="0" applyFont="1" applyFill="1" applyBorder="1" applyAlignment="1">
      <alignment vertical="center" wrapText="1"/>
    </xf>
    <xf numFmtId="0" fontId="70" fillId="25" borderId="48" xfId="0" applyFont="1" applyFill="1" applyBorder="1" applyAlignment="1">
      <alignment horizontal="center" vertical="center"/>
    </xf>
    <xf numFmtId="0" fontId="90" fillId="25" borderId="1" xfId="0" applyFont="1" applyFill="1" applyBorder="1" applyAlignment="1">
      <alignment horizontal="center" vertical="center"/>
    </xf>
    <xf numFmtId="0" fontId="90" fillId="25" borderId="1" xfId="0" applyFont="1" applyFill="1" applyBorder="1" applyAlignment="1">
      <alignment vertical="center" wrapText="1"/>
    </xf>
    <xf numFmtId="0" fontId="16" fillId="25" borderId="1" xfId="0" applyFont="1" applyFill="1" applyBorder="1" applyAlignment="1">
      <alignment horizontal="center" vertical="center"/>
    </xf>
    <xf numFmtId="0" fontId="4" fillId="25" borderId="45" xfId="0" applyFont="1" applyFill="1" applyBorder="1" applyAlignment="1">
      <alignment vertical="center" wrapText="1"/>
    </xf>
    <xf numFmtId="0" fontId="2" fillId="25" borderId="45" xfId="0" applyFont="1" applyFill="1" applyBorder="1" applyAlignment="1">
      <alignment horizontal="center" vertical="center"/>
    </xf>
    <xf numFmtId="169" fontId="4" fillId="25" borderId="0" xfId="1" applyNumberFormat="1" applyFont="1" applyFill="1" applyBorder="1" applyAlignment="1">
      <alignment vertical="center"/>
    </xf>
    <xf numFmtId="0" fontId="4" fillId="25" borderId="50" xfId="0" applyFont="1" applyFill="1" applyBorder="1" applyAlignment="1">
      <alignment vertical="top"/>
    </xf>
    <xf numFmtId="0" fontId="3" fillId="25" borderId="51" xfId="0" applyFont="1" applyFill="1" applyBorder="1" applyAlignment="1">
      <alignment vertical="top" wrapText="1"/>
    </xf>
    <xf numFmtId="0" fontId="3" fillId="25" borderId="40" xfId="0" applyFont="1" applyFill="1" applyBorder="1" applyAlignment="1">
      <alignment horizontal="center" vertical="top"/>
    </xf>
    <xf numFmtId="169" fontId="3" fillId="25" borderId="40" xfId="1" applyNumberFormat="1" applyFont="1" applyFill="1" applyBorder="1" applyAlignment="1">
      <alignment vertical="top"/>
    </xf>
    <xf numFmtId="169" fontId="3" fillId="25" borderId="52" xfId="1" applyNumberFormat="1" applyFont="1" applyFill="1" applyBorder="1" applyAlignment="1">
      <alignment vertical="top"/>
    </xf>
    <xf numFmtId="169" fontId="3" fillId="25" borderId="53" xfId="1" applyNumberFormat="1" applyFont="1" applyFill="1" applyBorder="1" applyAlignment="1">
      <alignment vertical="top"/>
    </xf>
    <xf numFmtId="0" fontId="3" fillId="25" borderId="8" xfId="0" applyFont="1" applyFill="1" applyBorder="1" applyAlignment="1">
      <alignment horizontal="center" vertical="center"/>
    </xf>
    <xf numFmtId="0" fontId="90" fillId="25" borderId="8" xfId="0" applyFont="1" applyFill="1" applyBorder="1" applyAlignment="1">
      <alignment horizontal="center" vertical="center"/>
    </xf>
    <xf numFmtId="0" fontId="4" fillId="25" borderId="10" xfId="0" applyFont="1" applyFill="1" applyBorder="1" applyAlignment="1">
      <alignment vertical="center"/>
    </xf>
    <xf numFmtId="0" fontId="3" fillId="25" borderId="39" xfId="0" applyFont="1" applyFill="1" applyBorder="1" applyAlignment="1">
      <alignment vertical="center" wrapText="1"/>
    </xf>
    <xf numFmtId="0" fontId="3" fillId="25" borderId="39" xfId="0" applyFont="1" applyFill="1" applyBorder="1" applyAlignment="1">
      <alignment horizontal="center" vertical="center"/>
    </xf>
    <xf numFmtId="0" fontId="7" fillId="25" borderId="39" xfId="0" applyFont="1" applyFill="1" applyBorder="1" applyAlignment="1">
      <alignment horizontal="center" vertical="center"/>
    </xf>
    <xf numFmtId="0" fontId="70" fillId="0" borderId="0" xfId="173" applyFont="1" applyAlignment="1">
      <alignment horizontal="center"/>
    </xf>
    <xf numFmtId="0" fontId="70" fillId="0" borderId="0" xfId="173" applyFont="1"/>
    <xf numFmtId="0" fontId="18" fillId="0" borderId="0" xfId="173" applyFont="1" applyAlignment="1">
      <alignment horizontal="center"/>
    </xf>
    <xf numFmtId="0" fontId="18" fillId="0" borderId="0" xfId="173" applyFont="1"/>
    <xf numFmtId="169" fontId="0" fillId="0" borderId="0" xfId="0" applyNumberFormat="1"/>
    <xf numFmtId="169" fontId="70" fillId="0" borderId="0" xfId="173" applyNumberFormat="1" applyFont="1"/>
    <xf numFmtId="176" fontId="13" fillId="25" borderId="48" xfId="0" applyNumberFormat="1" applyFont="1" applyFill="1" applyBorder="1" applyAlignment="1">
      <alignment horizontal="center" vertical="center" wrapText="1"/>
    </xf>
    <xf numFmtId="0" fontId="2" fillId="25" borderId="54" xfId="0" applyFont="1" applyFill="1" applyBorder="1" applyAlignment="1">
      <alignment horizontal="center" vertical="center"/>
    </xf>
    <xf numFmtId="9" fontId="7" fillId="25" borderId="1" xfId="0" applyNumberFormat="1" applyFont="1" applyFill="1" applyBorder="1" applyAlignment="1">
      <alignment horizontal="center" vertical="center"/>
    </xf>
    <xf numFmtId="169" fontId="18" fillId="0" borderId="0" xfId="173" applyNumberFormat="1" applyFont="1"/>
    <xf numFmtId="0" fontId="92" fillId="25" borderId="0" xfId="0" applyFont="1" applyFill="1" applyAlignment="1">
      <alignment horizontal="center" vertical="center"/>
    </xf>
    <xf numFmtId="169" fontId="3" fillId="25" borderId="1" xfId="1" applyNumberFormat="1" applyFont="1" applyFill="1" applyBorder="1" applyAlignment="1">
      <alignment vertical="center" shrinkToFit="1"/>
    </xf>
    <xf numFmtId="169" fontId="3" fillId="25" borderId="9" xfId="1" applyNumberFormat="1" applyFont="1" applyFill="1" applyBorder="1" applyAlignment="1">
      <alignment vertical="center" shrinkToFit="1"/>
    </xf>
    <xf numFmtId="169" fontId="4" fillId="25" borderId="2" xfId="1" applyNumberFormat="1" applyFont="1" applyFill="1" applyBorder="1" applyAlignment="1">
      <alignment vertical="center" shrinkToFit="1"/>
    </xf>
    <xf numFmtId="169" fontId="4" fillId="25" borderId="7" xfId="1" applyNumberFormat="1" applyFont="1" applyFill="1" applyBorder="1" applyAlignment="1">
      <alignment vertical="center" shrinkToFit="1"/>
    </xf>
    <xf numFmtId="169" fontId="4" fillId="25" borderId="48" xfId="1" applyNumberFormat="1" applyFont="1" applyFill="1" applyBorder="1" applyAlignment="1">
      <alignment vertical="center" shrinkToFit="1"/>
    </xf>
    <xf numFmtId="169" fontId="4" fillId="25" borderId="49" xfId="1" applyNumberFormat="1" applyFont="1" applyFill="1" applyBorder="1" applyAlignment="1">
      <alignment vertical="center" shrinkToFit="1"/>
    </xf>
    <xf numFmtId="169" fontId="90" fillId="25" borderId="1" xfId="1" applyNumberFormat="1" applyFont="1" applyFill="1" applyBorder="1" applyAlignment="1">
      <alignment vertical="center" shrinkToFit="1"/>
    </xf>
    <xf numFmtId="169" fontId="90" fillId="25" borderId="9" xfId="1" applyNumberFormat="1" applyFont="1" applyFill="1" applyBorder="1" applyAlignment="1">
      <alignment vertical="center" shrinkToFit="1"/>
    </xf>
    <xf numFmtId="169" fontId="70" fillId="25" borderId="49" xfId="1" applyNumberFormat="1" applyFont="1" applyFill="1" applyBorder="1" applyAlignment="1">
      <alignment vertical="center" shrinkToFit="1"/>
    </xf>
    <xf numFmtId="169" fontId="3" fillId="25" borderId="39" xfId="1" applyNumberFormat="1" applyFont="1" applyFill="1" applyBorder="1" applyAlignment="1">
      <alignment vertical="center" shrinkToFit="1"/>
    </xf>
    <xf numFmtId="169" fontId="3" fillId="25" borderId="14" xfId="1" applyNumberFormat="1" applyFont="1" applyFill="1" applyBorder="1" applyAlignment="1">
      <alignment vertical="center" shrinkToFit="1"/>
    </xf>
    <xf numFmtId="0" fontId="4" fillId="25" borderId="55" xfId="0" applyFont="1" applyFill="1" applyBorder="1" applyAlignment="1">
      <alignment horizontal="center" vertical="center"/>
    </xf>
    <xf numFmtId="0" fontId="4" fillId="25" borderId="54" xfId="0" applyFont="1" applyFill="1" applyBorder="1" applyAlignment="1">
      <alignment vertical="center" wrapText="1"/>
    </xf>
    <xf numFmtId="0" fontId="4" fillId="25" borderId="54" xfId="0" applyFont="1" applyFill="1" applyBorder="1" applyAlignment="1">
      <alignment horizontal="center" vertical="center"/>
    </xf>
    <xf numFmtId="169" fontId="4" fillId="25" borderId="54" xfId="1" applyNumberFormat="1" applyFont="1" applyFill="1" applyBorder="1" applyAlignment="1">
      <alignment vertical="center" shrinkToFit="1"/>
    </xf>
    <xf numFmtId="169" fontId="4" fillId="25" borderId="56" xfId="1" applyNumberFormat="1" applyFont="1" applyFill="1" applyBorder="1" applyAlignment="1">
      <alignment vertical="center" shrinkToFit="1"/>
    </xf>
    <xf numFmtId="0" fontId="2" fillId="25" borderId="2" xfId="0" applyFont="1" applyFill="1" applyBorder="1" applyAlignment="1">
      <alignment horizontal="center" vertical="center"/>
    </xf>
    <xf numFmtId="0" fontId="4" fillId="25" borderId="57" xfId="0" applyFont="1" applyFill="1" applyBorder="1" applyAlignment="1">
      <alignment horizontal="center" vertical="center"/>
    </xf>
    <xf numFmtId="0" fontId="4" fillId="25" borderId="58" xfId="0" applyFont="1" applyFill="1" applyBorder="1" applyAlignment="1">
      <alignment vertical="center" wrapText="1"/>
    </xf>
    <xf numFmtId="0" fontId="4" fillId="25" borderId="58" xfId="0" applyFont="1" applyFill="1" applyBorder="1" applyAlignment="1">
      <alignment horizontal="center" vertical="center"/>
    </xf>
    <xf numFmtId="0" fontId="2" fillId="25" borderId="58" xfId="0" applyFont="1" applyFill="1" applyBorder="1" applyAlignment="1">
      <alignment horizontal="center" vertical="center"/>
    </xf>
    <xf numFmtId="169" fontId="4" fillId="25" borderId="58" xfId="1" applyNumberFormat="1" applyFont="1" applyFill="1" applyBorder="1" applyAlignment="1">
      <alignment vertical="center" shrinkToFit="1"/>
    </xf>
    <xf numFmtId="169" fontId="4" fillId="25" borderId="59" xfId="1" applyNumberFormat="1" applyFont="1" applyFill="1" applyBorder="1" applyAlignment="1">
      <alignment vertical="center" shrinkToFit="1"/>
    </xf>
    <xf numFmtId="169" fontId="4" fillId="25" borderId="2" xfId="1" applyNumberFormat="1" applyFont="1" applyFill="1" applyBorder="1" applyAlignment="1">
      <alignment vertical="center"/>
    </xf>
    <xf numFmtId="169" fontId="4" fillId="25" borderId="46" xfId="1" applyNumberFormat="1" applyFont="1" applyFill="1" applyBorder="1" applyAlignment="1">
      <alignment vertical="center"/>
    </xf>
    <xf numFmtId="178" fontId="96" fillId="25" borderId="0" xfId="0" applyNumberFormat="1" applyFont="1" applyFill="1" applyAlignment="1">
      <alignment horizontal="center" vertical="center"/>
    </xf>
    <xf numFmtId="176" fontId="97" fillId="25" borderId="0" xfId="0" applyNumberFormat="1" applyFont="1" applyFill="1" applyAlignment="1">
      <alignment horizontal="center" vertical="center"/>
    </xf>
    <xf numFmtId="0" fontId="97" fillId="25" borderId="0" xfId="0" applyFont="1" applyFill="1" applyAlignment="1">
      <alignment vertical="center"/>
    </xf>
    <xf numFmtId="198" fontId="98" fillId="25" borderId="0" xfId="1" applyNumberFormat="1" applyFont="1" applyFill="1" applyAlignment="1">
      <alignment vertical="center"/>
    </xf>
    <xf numFmtId="169" fontId="98" fillId="25" borderId="0" xfId="173" applyNumberFormat="1" applyFont="1" applyFill="1" applyAlignment="1">
      <alignment vertical="center"/>
    </xf>
    <xf numFmtId="0" fontId="2" fillId="25" borderId="0" xfId="0" applyFont="1" applyFill="1"/>
    <xf numFmtId="169" fontId="4" fillId="25" borderId="45" xfId="1" applyNumberFormat="1" applyFont="1" applyFill="1" applyBorder="1" applyAlignment="1">
      <alignment vertical="center"/>
    </xf>
    <xf numFmtId="0" fontId="10" fillId="0" borderId="0" xfId="0" applyFont="1" applyAlignment="1">
      <alignment horizontal="center" vertical="center"/>
    </xf>
    <xf numFmtId="0" fontId="93" fillId="0" borderId="0" xfId="0" applyFont="1" applyAlignment="1">
      <alignment horizontal="center" vertical="center" wrapText="1"/>
    </xf>
    <xf numFmtId="0" fontId="92" fillId="25" borderId="0" xfId="0" applyFont="1" applyFill="1" applyAlignment="1">
      <alignment horizontal="center" vertical="center"/>
    </xf>
    <xf numFmtId="3" fontId="14" fillId="0" borderId="0" xfId="109" applyNumberFormat="1" applyFont="1" applyAlignment="1">
      <alignment horizontal="center" vertical="center"/>
    </xf>
    <xf numFmtId="0" fontId="99" fillId="0" borderId="0" xfId="0" applyFont="1" applyAlignment="1">
      <alignment vertical="center"/>
    </xf>
    <xf numFmtId="0" fontId="18" fillId="0" borderId="0" xfId="0" applyFont="1" applyAlignment="1">
      <alignment vertical="center"/>
    </xf>
    <xf numFmtId="3" fontId="18" fillId="0" borderId="0" xfId="0" applyNumberFormat="1" applyFont="1" applyAlignment="1">
      <alignment vertical="center"/>
    </xf>
    <xf numFmtId="178" fontId="100" fillId="25" borderId="0" xfId="0" applyNumberFormat="1" applyFont="1" applyFill="1" applyAlignment="1">
      <alignment horizontal="center" vertical="center"/>
    </xf>
    <xf numFmtId="178" fontId="101" fillId="25" borderId="0" xfId="0" applyNumberFormat="1" applyFont="1" applyFill="1" applyAlignment="1">
      <alignment horizontal="center" vertical="center"/>
    </xf>
    <xf numFmtId="176" fontId="101" fillId="25" borderId="0" xfId="0" applyNumberFormat="1" applyFont="1" applyFill="1" applyAlignment="1">
      <alignment horizontal="center" vertical="center"/>
    </xf>
    <xf numFmtId="0" fontId="102" fillId="25" borderId="0" xfId="0" applyFont="1" applyFill="1" applyAlignment="1">
      <alignment vertical="center"/>
    </xf>
    <xf numFmtId="198" fontId="103" fillId="25" borderId="0" xfId="1" applyNumberFormat="1" applyFont="1" applyFill="1" applyAlignment="1">
      <alignment vertical="center"/>
    </xf>
    <xf numFmtId="169" fontId="103" fillId="25" borderId="0" xfId="173" applyNumberFormat="1" applyFont="1" applyFill="1" applyAlignment="1">
      <alignment vertical="center"/>
    </xf>
    <xf numFmtId="0" fontId="11" fillId="0" borderId="0" xfId="0" applyFont="1" applyBorder="1" applyAlignment="1">
      <alignment horizontal="right" vertical="center"/>
    </xf>
    <xf numFmtId="0" fontId="6" fillId="25" borderId="0" xfId="0" applyFont="1" applyFill="1" applyBorder="1" applyAlignment="1">
      <alignment horizontal="center" vertical="center" wrapText="1"/>
    </xf>
    <xf numFmtId="0" fontId="4" fillId="25" borderId="0" xfId="0" applyFont="1" applyFill="1" applyBorder="1" applyAlignment="1">
      <alignment horizontal="center" vertical="top"/>
    </xf>
    <xf numFmtId="169" fontId="3" fillId="25" borderId="0" xfId="1" applyNumberFormat="1" applyFont="1" applyFill="1" applyBorder="1" applyAlignment="1">
      <alignment vertical="center" shrinkToFit="1"/>
    </xf>
    <xf numFmtId="169" fontId="4" fillId="25" borderId="0" xfId="1" applyNumberFormat="1" applyFont="1" applyFill="1" applyBorder="1" applyAlignment="1">
      <alignment vertical="center" shrinkToFit="1"/>
    </xf>
    <xf numFmtId="169" fontId="90" fillId="25" borderId="0" xfId="1" applyNumberFormat="1" applyFont="1" applyFill="1" applyBorder="1" applyAlignment="1">
      <alignment vertical="center" shrinkToFit="1"/>
    </xf>
    <xf numFmtId="169" fontId="70" fillId="25" borderId="0" xfId="1" applyNumberFormat="1" applyFont="1" applyFill="1" applyBorder="1" applyAlignment="1">
      <alignment vertical="center" shrinkToFit="1"/>
    </xf>
    <xf numFmtId="169" fontId="3" fillId="25" borderId="0" xfId="1" applyNumberFormat="1" applyFont="1" applyFill="1" applyBorder="1" applyAlignment="1">
      <alignment vertical="top"/>
    </xf>
    <xf numFmtId="0" fontId="81" fillId="25" borderId="0" xfId="0" applyFont="1" applyFill="1" applyBorder="1" applyAlignment="1">
      <alignment horizontal="center" vertical="center"/>
    </xf>
    <xf numFmtId="0" fontId="78" fillId="0" borderId="0" xfId="0" applyFont="1" applyAlignment="1">
      <alignment horizontal="center"/>
    </xf>
    <xf numFmtId="0" fontId="3" fillId="0" borderId="0" xfId="0" applyFont="1" applyAlignment="1">
      <alignment horizontal="center" vertical="top"/>
    </xf>
    <xf numFmtId="0" fontId="79" fillId="0" borderId="17" xfId="0" applyFont="1" applyBorder="1" applyAlignment="1">
      <alignment horizontal="center" vertical="center"/>
    </xf>
    <xf numFmtId="0" fontId="6" fillId="0" borderId="0" xfId="0" applyFont="1" applyAlignment="1">
      <alignment horizontal="center" vertical="center" wrapText="1"/>
    </xf>
    <xf numFmtId="0" fontId="9" fillId="0" borderId="0" xfId="0" applyFont="1" applyAlignment="1">
      <alignment horizontal="center" vertical="top"/>
    </xf>
    <xf numFmtId="0" fontId="10" fillId="0" borderId="0" xfId="0" applyFont="1" applyAlignment="1">
      <alignment horizontal="center" vertical="center"/>
    </xf>
    <xf numFmtId="0" fontId="6" fillId="0" borderId="0" xfId="0" applyFont="1" applyAlignment="1">
      <alignment horizontal="center" vertical="center"/>
    </xf>
    <xf numFmtId="0" fontId="76" fillId="0" borderId="0" xfId="0" applyFont="1" applyAlignment="1">
      <alignment horizontal="center" vertical="top"/>
    </xf>
    <xf numFmtId="0" fontId="8" fillId="0" borderId="40" xfId="0" applyFont="1" applyBorder="1" applyAlignment="1">
      <alignment horizontal="right"/>
    </xf>
    <xf numFmtId="0" fontId="0" fillId="0" borderId="0" xfId="0" applyAlignment="1" applyProtection="1">
      <alignment horizontal="center" vertical="top"/>
      <protection locked="0"/>
    </xf>
    <xf numFmtId="0" fontId="93" fillId="0" borderId="0" xfId="0" applyFont="1" applyAlignment="1">
      <alignment horizontal="center" vertical="center" wrapText="1"/>
    </xf>
    <xf numFmtId="0" fontId="11" fillId="0" borderId="40" xfId="0" applyFont="1" applyBorder="1" applyAlignment="1">
      <alignment horizontal="right" vertical="center"/>
    </xf>
    <xf numFmtId="0" fontId="81" fillId="25" borderId="17" xfId="0" applyFont="1" applyFill="1" applyBorder="1" applyAlignment="1">
      <alignment horizontal="center" vertical="center"/>
    </xf>
    <xf numFmtId="0" fontId="92" fillId="25" borderId="0" xfId="0" applyFont="1" applyFill="1" applyAlignment="1">
      <alignment horizontal="center" vertical="center"/>
    </xf>
    <xf numFmtId="0" fontId="90" fillId="0" borderId="0" xfId="0" applyFont="1" applyAlignment="1">
      <alignment horizontal="center" vertical="center"/>
    </xf>
    <xf numFmtId="0" fontId="90" fillId="0" borderId="0" xfId="109" applyFont="1" applyAlignment="1">
      <alignment horizontal="center" vertical="center"/>
    </xf>
    <xf numFmtId="3" fontId="14" fillId="0" borderId="0" xfId="109" applyNumberFormat="1" applyFont="1" applyAlignment="1">
      <alignment horizontal="center" vertical="center"/>
    </xf>
    <xf numFmtId="0" fontId="94" fillId="0" borderId="0" xfId="0" applyFont="1" applyAlignment="1" applyProtection="1">
      <alignment horizontal="center" vertical="top"/>
      <protection locked="0"/>
    </xf>
    <xf numFmtId="0" fontId="16" fillId="0" borderId="18" xfId="0" applyFont="1" applyBorder="1" applyAlignment="1" applyProtection="1">
      <alignment horizontal="left" vertical="center" wrapText="1"/>
      <protection locked="0"/>
    </xf>
    <xf numFmtId="0" fontId="16" fillId="0" borderId="19" xfId="0" applyFont="1" applyBorder="1" applyAlignment="1" applyProtection="1">
      <alignment horizontal="left" vertical="center" wrapText="1"/>
      <protection locked="0"/>
    </xf>
    <xf numFmtId="0" fontId="16" fillId="0" borderId="20" xfId="0" applyFont="1" applyBorder="1" applyAlignment="1" applyProtection="1">
      <alignment horizontal="left" vertical="center" wrapText="1"/>
      <protection locked="0"/>
    </xf>
    <xf numFmtId="0" fontId="16" fillId="0" borderId="0" xfId="0" applyFont="1" applyAlignment="1" applyProtection="1">
      <alignment horizontal="left"/>
      <protection locked="0"/>
    </xf>
    <xf numFmtId="0" fontId="16" fillId="0" borderId="0" xfId="0" applyFont="1" applyAlignment="1" applyProtection="1">
      <alignment horizontal="center"/>
      <protection locked="0"/>
    </xf>
    <xf numFmtId="0" fontId="16" fillId="0" borderId="1" xfId="0" applyFont="1" applyBorder="1" applyAlignment="1" applyProtection="1">
      <alignment horizontal="center" vertical="center"/>
      <protection locked="0"/>
    </xf>
    <xf numFmtId="0" fontId="16" fillId="0" borderId="18" xfId="0" applyFont="1" applyBorder="1" applyAlignment="1" applyProtection="1">
      <alignment horizontal="center" vertical="center" wrapText="1"/>
      <protection locked="0"/>
    </xf>
    <xf numFmtId="0" fontId="16" fillId="0" borderId="19" xfId="0" applyFont="1" applyBorder="1" applyAlignment="1" applyProtection="1">
      <alignment horizontal="center" vertical="center" wrapText="1"/>
      <protection locked="0"/>
    </xf>
    <xf numFmtId="0" fontId="12"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6" fillId="0" borderId="21" xfId="0" applyFont="1" applyBorder="1" applyAlignment="1" applyProtection="1">
      <alignment horizontal="left" vertical="center" wrapText="1"/>
      <protection locked="0"/>
    </xf>
    <xf numFmtId="0" fontId="16" fillId="0" borderId="0" xfId="0" applyFont="1" applyAlignment="1" applyProtection="1">
      <alignment horizontal="left" vertical="top"/>
      <protection locked="0"/>
    </xf>
    <xf numFmtId="0" fontId="16" fillId="0" borderId="0" xfId="0" applyFont="1" applyAlignment="1" applyProtection="1">
      <alignment horizontal="right"/>
      <protection locked="0"/>
    </xf>
    <xf numFmtId="0" fontId="16" fillId="0" borderId="1" xfId="0" applyFont="1" applyBorder="1" applyAlignment="1" applyProtection="1">
      <alignment horizontal="center" vertical="center" wrapText="1"/>
      <protection locked="0"/>
    </xf>
    <xf numFmtId="0" fontId="16" fillId="0" borderId="0" xfId="0" applyFont="1" applyAlignment="1" applyProtection="1">
      <alignment horizontal="left" vertical="top" wrapText="1"/>
      <protection locked="0"/>
    </xf>
    <xf numFmtId="0" fontId="84" fillId="24" borderId="0" xfId="0" applyFont="1" applyFill="1" applyAlignment="1" applyProtection="1">
      <alignment horizontal="left"/>
      <protection locked="0"/>
    </xf>
    <xf numFmtId="0" fontId="84" fillId="24" borderId="0" xfId="0" applyFont="1" applyFill="1" applyAlignment="1" applyProtection="1">
      <alignment horizontal="center"/>
      <protection locked="0"/>
    </xf>
    <xf numFmtId="0" fontId="84" fillId="24" borderId="1" xfId="0" applyFont="1" applyFill="1" applyBorder="1" applyAlignment="1" applyProtection="1">
      <alignment horizontal="center" vertical="center"/>
      <protection locked="0"/>
    </xf>
    <xf numFmtId="0" fontId="84" fillId="24" borderId="1" xfId="0" applyFont="1" applyFill="1" applyBorder="1" applyAlignment="1" applyProtection="1">
      <alignment horizontal="center" vertical="center" wrapText="1"/>
      <protection locked="0"/>
    </xf>
    <xf numFmtId="0" fontId="14" fillId="0" borderId="0" xfId="0" applyFont="1" applyAlignment="1">
      <alignment horizontal="right" wrapText="1"/>
    </xf>
    <xf numFmtId="0" fontId="14" fillId="0" borderId="0" xfId="0" applyFont="1" applyAlignment="1">
      <alignment horizontal="right"/>
    </xf>
    <xf numFmtId="0" fontId="12" fillId="0" borderId="0" xfId="0" applyFont="1" applyAlignment="1">
      <alignment horizontal="center"/>
    </xf>
  </cellXfs>
  <cellStyles count="176">
    <cellStyle name="          _x000d__x000a_shell=progman.exe_x000d__x000a_m" xfId="2"/>
    <cellStyle name="?? [0]" xfId="3"/>
    <cellStyle name="??????" xfId="4"/>
    <cellStyle name="????_List-dwg" xfId="5"/>
    <cellStyle name="???[0]_Book1" xfId="6"/>
    <cellStyle name="???_???" xfId="7"/>
    <cellStyle name="??_(????)??????" xfId="8"/>
    <cellStyle name="_Tong hop may cheu nganh 1" xfId="9"/>
    <cellStyle name="•W?_Format" xfId="10"/>
    <cellStyle name="•W€_Format" xfId="11"/>
    <cellStyle name="•W_Format" xfId="12"/>
    <cellStyle name="W_STDFOR" xfId="13"/>
    <cellStyle name="¹éºÐÀ²_±âÅ¸" xfId="14"/>
    <cellStyle name="2" xfId="15"/>
    <cellStyle name="20" xfId="16"/>
    <cellStyle name="20% - Accent1 2" xfId="17"/>
    <cellStyle name="20% - Accent2 2" xfId="18"/>
    <cellStyle name="20% - Accent3 2" xfId="19"/>
    <cellStyle name="20% - Accent4 2" xfId="20"/>
    <cellStyle name="20% - Accent5 2" xfId="21"/>
    <cellStyle name="20% - Accent6 2" xfId="22"/>
    <cellStyle name="3" xfId="23"/>
    <cellStyle name="40% - Accent1 2" xfId="24"/>
    <cellStyle name="40% - Accent2 2" xfId="25"/>
    <cellStyle name="40% - Accent3 2" xfId="26"/>
    <cellStyle name="40% - Accent4 2" xfId="27"/>
    <cellStyle name="40% - Accent5 2" xfId="28"/>
    <cellStyle name="40% - Accent6 2" xfId="29"/>
    <cellStyle name="6" xfId="30"/>
    <cellStyle name="6_GiaM 062005" xfId="31"/>
    <cellStyle name="60% - Accent1 2" xfId="32"/>
    <cellStyle name="60% - Accent2 2" xfId="33"/>
    <cellStyle name="60% - Accent3 2" xfId="34"/>
    <cellStyle name="60% - Accent4 2" xfId="35"/>
    <cellStyle name="60% - Accent5 2" xfId="36"/>
    <cellStyle name="60% - Accent6 2" xfId="37"/>
    <cellStyle name="Accent1 2" xfId="38"/>
    <cellStyle name="Accent2 2" xfId="39"/>
    <cellStyle name="Accent3 2" xfId="40"/>
    <cellStyle name="Accent4 2" xfId="41"/>
    <cellStyle name="Accent5 2" xfId="42"/>
    <cellStyle name="Accent6 2" xfId="43"/>
    <cellStyle name="ÅëÈ­ [0]_¿ì¹°Åë" xfId="44"/>
    <cellStyle name="AeE­ [0]_INQUIRY ¿µ¾÷AßAø " xfId="45"/>
    <cellStyle name="ÅëÈ­ [0]_Sheet1" xfId="46"/>
    <cellStyle name="ÅëÈ­_¿ì¹°Åë" xfId="47"/>
    <cellStyle name="AeE­_INQUIRY ¿µ¾÷AßAø " xfId="48"/>
    <cellStyle name="ÅëÈ­_Sheet1" xfId="49"/>
    <cellStyle name="ÄÞ¸¶ [0]_¿ì¹°Åë" xfId="50"/>
    <cellStyle name="AÞ¸¶ [0]_INQUIRY ¿?¾÷AßAø " xfId="51"/>
    <cellStyle name="ÄÞ¸¶ [0]_L601CPT" xfId="52"/>
    <cellStyle name="ÄÞ¸¶_¿ì¹°Åë" xfId="53"/>
    <cellStyle name="AÞ¸¶_INQUIRY ¿?¾÷AßAø " xfId="54"/>
    <cellStyle name="ÄÞ¸¶_L601CPT" xfId="55"/>
    <cellStyle name="Bad 2" xfId="56"/>
    <cellStyle name="C?AØ_¿?¾÷CoE² " xfId="57"/>
    <cellStyle name="Ç¥ÁØ_#2(M17)_1" xfId="58"/>
    <cellStyle name="C￥AØ_¿μ¾÷CoE² " xfId="59"/>
    <cellStyle name="Ç¥ÁØ_±³°¢¼ö·®" xfId="60"/>
    <cellStyle name="Calc Currency (0)" xfId="61"/>
    <cellStyle name="Calculation 2" xfId="62"/>
    <cellStyle name="category" xfId="63"/>
    <cellStyle name="Comma" xfId="1" builtinId="3"/>
    <cellStyle name="Comma 2" xfId="66"/>
    <cellStyle name="Comma 2 2" xfId="67"/>
    <cellStyle name="Comma 2 3" xfId="68"/>
    <cellStyle name="Comma 3" xfId="69"/>
    <cellStyle name="Comma 4" xfId="70"/>
    <cellStyle name="Comma 4 2" xfId="71"/>
    <cellStyle name="Comma 4 3" xfId="72"/>
    <cellStyle name="Comma 5" xfId="73"/>
    <cellStyle name="Comma 6" xfId="74"/>
    <cellStyle name="comma zerodec" xfId="75"/>
    <cellStyle name="Comma0" xfId="76"/>
    <cellStyle name="Currency0" xfId="77"/>
    <cellStyle name="Currency1" xfId="78"/>
    <cellStyle name="Check Cell 2" xfId="64"/>
    <cellStyle name="CHUONG" xfId="65"/>
    <cellStyle name="Date" xfId="79"/>
    <cellStyle name="Dezimal [0]_UXO VII" xfId="80"/>
    <cellStyle name="Dezimal_UXO VII" xfId="81"/>
    <cellStyle name="Dollar (zero dec)" xfId="82"/>
    <cellStyle name="e" xfId="83"/>
    <cellStyle name="Explanatory Text 2" xfId="84"/>
    <cellStyle name="f" xfId="85"/>
    <cellStyle name="Fixed" xfId="86"/>
    <cellStyle name="Good 2" xfId="87"/>
    <cellStyle name="Grey" xfId="88"/>
    <cellStyle name="HEADER" xfId="89"/>
    <cellStyle name="Header1" xfId="90"/>
    <cellStyle name="Header2" xfId="91"/>
    <cellStyle name="Heading 1 2" xfId="92"/>
    <cellStyle name="Heading 2 2" xfId="93"/>
    <cellStyle name="Heading 3 2" xfId="94"/>
    <cellStyle name="Heading1" xfId="95"/>
    <cellStyle name="Heading2" xfId="96"/>
    <cellStyle name="Input [yellow]" xfId="97"/>
    <cellStyle name="Input 2" xfId="98"/>
    <cellStyle name="Linked Cell 2" xfId="99"/>
    <cellStyle name="Millares [0]_Well Timing" xfId="100"/>
    <cellStyle name="Millares_Well Timing" xfId="101"/>
    <cellStyle name="Milliers [0]_AR1194" xfId="102"/>
    <cellStyle name="Model" xfId="103"/>
    <cellStyle name="n" xfId="104"/>
    <cellStyle name="Neutral 2" xfId="105"/>
    <cellStyle name="New Times Roman" xfId="106"/>
    <cellStyle name="no dec" xfId="107"/>
    <cellStyle name="Normal" xfId="0" builtinId="0"/>
    <cellStyle name="Normal - Style1" xfId="108"/>
    <cellStyle name="Normal 10" xfId="174"/>
    <cellStyle name="Normal 11" xfId="175"/>
    <cellStyle name="Normal 2" xfId="109"/>
    <cellStyle name="Normal 2 2" xfId="110"/>
    <cellStyle name="Normal 2 3" xfId="111"/>
    <cellStyle name="Normal 2 4" xfId="171"/>
    <cellStyle name="Normal 3" xfId="112"/>
    <cellStyle name="Normal 4" xfId="113"/>
    <cellStyle name="Normal 4 2" xfId="114"/>
    <cellStyle name="Normal 4 3" xfId="115"/>
    <cellStyle name="Normal 5" xfId="116"/>
    <cellStyle name="Normal 5 2" xfId="117"/>
    <cellStyle name="Normal 5 3" xfId="118"/>
    <cellStyle name="Normal 6" xfId="119"/>
    <cellStyle name="Normal 7" xfId="120"/>
    <cellStyle name="Normal 8" xfId="121"/>
    <cellStyle name="Normal 8 2" xfId="172"/>
    <cellStyle name="Normal 9" xfId="170"/>
    <cellStyle name="Normal_Tong hop kinh phi - Nha xuong" xfId="173"/>
    <cellStyle name="Note 2" xfId="122"/>
    <cellStyle name="Œ…‹æØ‚è [0.00]_laroux" xfId="123"/>
    <cellStyle name="Œ…‹æØ‚è_laroux" xfId="124"/>
    <cellStyle name="oft Excel]_x000d__x000a_Comment=The open=/f lines load custom functions into the Paste Function list._x000d__x000a_Maximized=2_x000d__x000a_Basics=1_x000d__x000a_A" xfId="125"/>
    <cellStyle name="oft Excel]_x000d__x000a_Comment=The open=/f lines load custom functions into the Paste Function list._x000d__x000a_Maximized=3_x000d__x000a_Basics=1_x000d__x000a_A" xfId="126"/>
    <cellStyle name="omma [0]_Mktg Prog" xfId="127"/>
    <cellStyle name="ormal_Sheet1_1" xfId="128"/>
    <cellStyle name="Output 2" xfId="129"/>
    <cellStyle name="Percent [2]" xfId="130"/>
    <cellStyle name="Percent [2] 2" xfId="131"/>
    <cellStyle name="Percent 2" xfId="132"/>
    <cellStyle name="Percent 3" xfId="133"/>
    <cellStyle name="Percent 4" xfId="134"/>
    <cellStyle name="Percent 5" xfId="135"/>
    <cellStyle name="Percent 6" xfId="136"/>
    <cellStyle name="PERCENTAGE" xfId="137"/>
    <cellStyle name="s]_x000d__x000a_spooler=yes_x000d__x000a_load=_x000d__x000a_Beep=yes_x000d__x000a_NullPort=None_x000d__x000a_BorderWidth=3_x000d__x000a_CursorBlinkRate=1200_x000d__x000a_DoubleClickSpeed=452_x000d__x000a_Programs=co" xfId="138"/>
    <cellStyle name="s1" xfId="139"/>
    <cellStyle name="Style 1" xfId="140"/>
    <cellStyle name="subhead" xfId="141"/>
    <cellStyle name="T" xfId="142"/>
    <cellStyle name="Title 2" xfId="145"/>
    <cellStyle name="Total 2" xfId="146"/>
    <cellStyle name="TS" xfId="147"/>
    <cellStyle name="th" xfId="143"/>
    <cellStyle name="þ_x001d_ðÇ%Uý—&amp;Hý9_x0008_Ÿ_x0009_s_x000a__x0007__x0001__x0001_" xfId="144"/>
    <cellStyle name="viet" xfId="148"/>
    <cellStyle name="viet2" xfId="149"/>
    <cellStyle name="Währung [0]_UXO VII" xfId="150"/>
    <cellStyle name="Währung_UXO VII" xfId="151"/>
    <cellStyle name="Warning Text 2" xfId="152"/>
    <cellStyle name="เครื่องหมายสกุลเงิน [0]_FTC_OFFER" xfId="153"/>
    <cellStyle name="เครื่องหมายสกุลเงิน_FTC_OFFER" xfId="154"/>
    <cellStyle name="ปกติ_FTC_OFFER" xfId="155"/>
    <cellStyle name=" [0.00]_ Att. 1- Cover" xfId="156"/>
    <cellStyle name="_ Att. 1- Cover" xfId="157"/>
    <cellStyle name="?_ Att. 1- Cover" xfId="158"/>
    <cellStyle name="똿뗦먛귟 [0.00]_PRODUCT DETAIL Q1" xfId="159"/>
    <cellStyle name="똿뗦먛귟_PRODUCT DETAIL Q1" xfId="160"/>
    <cellStyle name="믅됞 [0.00]_PRODUCT DETAIL Q1" xfId="161"/>
    <cellStyle name="믅됞_PRODUCT DETAIL Q1" xfId="162"/>
    <cellStyle name="백분율_95" xfId="163"/>
    <cellStyle name="콤마 [0]_ 비목별 월별기술 " xfId="164"/>
    <cellStyle name="콤마_ 비목별 월별기술 " xfId="165"/>
    <cellStyle name="통화_1202" xfId="166"/>
    <cellStyle name="표준_(정보부문)월별인원계획" xfId="167"/>
    <cellStyle name="一般_00Q3902REV.1" xfId="168"/>
    <cellStyle name="千分位_00Q3902REV.1" xfId="1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VH%20Th&#244;n%20&#272;&#7841;i%20Th&#7855;ng_TD2_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ông trình"/>
      <sheetName val="Giá tháng"/>
      <sheetName val="Đầu vào"/>
      <sheetName val="Nhân công"/>
      <sheetName val="Máy"/>
      <sheetName val="HaoPhiVatTu"/>
      <sheetName val="Tổng hợp VT"/>
      <sheetName val="THVT gộp"/>
      <sheetName val="Cước VC"/>
      <sheetName val="Cước bộ"/>
      <sheetName val="Đơn giá chi tiết"/>
      <sheetName val="Giá tổng hợp"/>
      <sheetName val="THKP hạng mục"/>
      <sheetName val="TH chi phí XD"/>
      <sheetName val="TH chi phí TB"/>
      <sheetName val="HM chung"/>
      <sheetName val="Bồi thườ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
          <cell r="C5">
            <v>865631036.75351572</v>
          </cell>
        </row>
        <row r="6">
          <cell r="C6">
            <v>255845214.81473437</v>
          </cell>
        </row>
        <row r="7">
          <cell r="C7">
            <v>380405648.64074969</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85" zoomScaleNormal="85" workbookViewId="0">
      <selection activeCell="J11" sqref="J11"/>
    </sheetView>
  </sheetViews>
  <sheetFormatPr defaultRowHeight="15"/>
  <cols>
    <col min="1" max="1" width="6.7109375" customWidth="1"/>
    <col min="2" max="2" width="31.28515625" customWidth="1"/>
    <col min="3" max="3" width="7.7109375" customWidth="1"/>
    <col min="4" max="4" width="1" hidden="1" customWidth="1"/>
    <col min="5" max="5" width="13.28515625" customWidth="1"/>
    <col min="6" max="6" width="14.7109375" customWidth="1"/>
    <col min="7" max="7" width="13.7109375" customWidth="1"/>
    <col min="8" max="8" width="14.28515625" customWidth="1"/>
    <col min="9" max="9" width="28.28515625" customWidth="1"/>
    <col min="10" max="10" width="19.7109375" bestFit="1" customWidth="1"/>
    <col min="11" max="11" width="11.28515625" bestFit="1" customWidth="1"/>
  </cols>
  <sheetData>
    <row r="1" spans="1:11" ht="22.5">
      <c r="A1" s="232" t="s">
        <v>317</v>
      </c>
      <c r="B1" s="232"/>
      <c r="C1" s="232"/>
      <c r="D1" s="232"/>
      <c r="E1" s="232"/>
      <c r="F1" s="232"/>
      <c r="G1" s="232"/>
      <c r="H1" s="232"/>
      <c r="I1" s="232"/>
      <c r="J1" s="1"/>
      <c r="K1" s="1"/>
    </row>
    <row r="2" spans="1:11" ht="19.5" customHeight="1">
      <c r="A2" s="233" t="s">
        <v>322</v>
      </c>
      <c r="B2" s="233"/>
      <c r="C2" s="233"/>
      <c r="D2" s="233"/>
      <c r="E2" s="233"/>
      <c r="F2" s="233"/>
      <c r="G2" s="233"/>
      <c r="H2" s="233"/>
      <c r="I2" s="233"/>
      <c r="J2" s="1"/>
      <c r="K2" s="1"/>
    </row>
    <row r="3" spans="1:11" ht="19.5" customHeight="1">
      <c r="A3" s="233" t="s">
        <v>323</v>
      </c>
      <c r="B3" s="233"/>
      <c r="C3" s="233"/>
      <c r="D3" s="233"/>
      <c r="E3" s="233"/>
      <c r="F3" s="233"/>
      <c r="G3" s="233"/>
      <c r="H3" s="233"/>
      <c r="I3" s="233"/>
      <c r="J3" s="1"/>
      <c r="K3" s="1"/>
    </row>
    <row r="4" spans="1:11" ht="16.5" thickBot="1">
      <c r="A4" s="235" t="s">
        <v>0</v>
      </c>
      <c r="B4" s="235"/>
      <c r="C4" s="235"/>
      <c r="D4" s="235"/>
      <c r="E4" s="235"/>
      <c r="F4" s="235"/>
      <c r="G4" s="235"/>
      <c r="H4" s="235"/>
      <c r="I4" s="235"/>
      <c r="J4" s="1"/>
      <c r="K4" s="1"/>
    </row>
    <row r="5" spans="1:11" ht="62.25" customHeight="1" thickTop="1">
      <c r="A5" s="81" t="s">
        <v>1</v>
      </c>
      <c r="B5" s="82" t="s">
        <v>2</v>
      </c>
      <c r="C5" s="82" t="s">
        <v>3</v>
      </c>
      <c r="D5" s="82" t="s">
        <v>4</v>
      </c>
      <c r="E5" s="82" t="s">
        <v>5</v>
      </c>
      <c r="F5" s="82" t="s">
        <v>6</v>
      </c>
      <c r="G5" s="82" t="s">
        <v>7</v>
      </c>
      <c r="H5" s="82" t="s">
        <v>8</v>
      </c>
      <c r="I5" s="83" t="s">
        <v>320</v>
      </c>
      <c r="J5" s="2"/>
      <c r="K5" s="1"/>
    </row>
    <row r="6" spans="1:11" ht="15.75">
      <c r="A6" s="32" t="s">
        <v>9</v>
      </c>
      <c r="B6" s="31" t="s">
        <v>10</v>
      </c>
      <c r="C6" s="31" t="s">
        <v>11</v>
      </c>
      <c r="D6" s="31" t="s">
        <v>12</v>
      </c>
      <c r="E6" s="31" t="s">
        <v>13</v>
      </c>
      <c r="F6" s="31" t="s">
        <v>14</v>
      </c>
      <c r="G6" s="31" t="s">
        <v>15</v>
      </c>
      <c r="H6" s="31" t="s">
        <v>16</v>
      </c>
      <c r="I6" s="73" t="s">
        <v>319</v>
      </c>
      <c r="J6" s="2"/>
      <c r="K6" s="1"/>
    </row>
    <row r="7" spans="1:11" ht="65.25" customHeight="1">
      <c r="A7" s="26" t="s">
        <v>17</v>
      </c>
      <c r="B7" s="27" t="s">
        <v>18</v>
      </c>
      <c r="C7" s="28" t="s">
        <v>50</v>
      </c>
      <c r="D7" s="29"/>
      <c r="E7" s="80" t="s">
        <v>311</v>
      </c>
      <c r="F7" s="30">
        <f>THDT!E6</f>
        <v>1501881900.2089999</v>
      </c>
      <c r="G7" s="30"/>
      <c r="H7" s="30"/>
      <c r="I7" s="74" t="str">
        <f>"Gxd-chi phí xây dựng trước thuế - được tính sơ bộ trong tổng mức đầu tư của dự án là "&amp;F7&amp;" đồng tại Báo cáo số đề xuất chủ trương đầu tư"</f>
        <v>Gxd-chi phí xây dựng trước thuế - được tính sơ bộ trong tổng mức đầu tư của dự án là 1501881900,209 đồng tại Báo cáo số đề xuất chủ trương đầu tư</v>
      </c>
      <c r="J7" s="33">
        <f>H7</f>
        <v>0</v>
      </c>
      <c r="K7" s="1"/>
    </row>
    <row r="8" spans="1:11" ht="31.5" hidden="1" customHeight="1">
      <c r="A8" s="17" t="s">
        <v>26</v>
      </c>
      <c r="B8" s="9" t="s">
        <v>22</v>
      </c>
      <c r="C8" s="10"/>
      <c r="D8" s="11"/>
      <c r="E8" s="11" t="s">
        <v>28</v>
      </c>
      <c r="F8" s="12">
        <f>F9</f>
        <v>0</v>
      </c>
      <c r="G8" s="12">
        <f t="shared" ref="G8:G9" si="0">10%*F8</f>
        <v>0</v>
      </c>
      <c r="H8" s="12">
        <f t="shared" ref="H8:H9" si="1">F8+G8</f>
        <v>0</v>
      </c>
      <c r="I8" s="75"/>
      <c r="J8" s="2"/>
      <c r="K8" s="1"/>
    </row>
    <row r="9" spans="1:11" ht="25.15" hidden="1" customHeight="1">
      <c r="A9" s="18" t="s">
        <v>28</v>
      </c>
      <c r="B9" s="13" t="s">
        <v>24</v>
      </c>
      <c r="C9" s="14" t="s">
        <v>51</v>
      </c>
      <c r="D9" s="15" t="s">
        <v>301</v>
      </c>
      <c r="E9" s="15" t="str">
        <f>J9&amp;"%*Gxd"</f>
        <v>0,03446%*Gxd</v>
      </c>
      <c r="F9" s="16">
        <f>(F7)*J9%*0</f>
        <v>0</v>
      </c>
      <c r="G9" s="16">
        <f t="shared" si="0"/>
        <v>0</v>
      </c>
      <c r="H9" s="16">
        <f t="shared" si="1"/>
        <v>0</v>
      </c>
      <c r="I9" s="76" t="s">
        <v>301</v>
      </c>
      <c r="J9" s="35">
        <f>THDT!I13</f>
        <v>3.4459999999999998E-2</v>
      </c>
      <c r="K9" s="34" t="s">
        <v>25</v>
      </c>
    </row>
    <row r="10" spans="1:11" ht="31.5">
      <c r="A10" s="17" t="s">
        <v>21</v>
      </c>
      <c r="B10" s="9" t="s">
        <v>313</v>
      </c>
      <c r="C10" s="10" t="s">
        <v>315</v>
      </c>
      <c r="D10" s="11"/>
      <c r="E10" s="11" t="s">
        <v>336</v>
      </c>
      <c r="F10" s="12" t="e">
        <f>SUM(F11:F17)</f>
        <v>#REF!</v>
      </c>
      <c r="G10" s="12" t="e">
        <f>SUM(G11:G17)</f>
        <v>#REF!</v>
      </c>
      <c r="H10" s="12" t="e">
        <f>SUM(H11:H17)</f>
        <v>#REF!</v>
      </c>
      <c r="I10" s="75"/>
      <c r="J10" s="35"/>
      <c r="K10" s="34"/>
    </row>
    <row r="11" spans="1:11" ht="68.25" customHeight="1">
      <c r="A11" s="18" t="s">
        <v>23</v>
      </c>
      <c r="B11" s="13" t="s">
        <v>29</v>
      </c>
      <c r="C11" s="14" t="s">
        <v>30</v>
      </c>
      <c r="D11" s="25" t="s">
        <v>310</v>
      </c>
      <c r="E11" s="15" t="e">
        <f>J11&amp;"%*Gxd"</f>
        <v>#REF!</v>
      </c>
      <c r="F11" s="16" t="e">
        <f>J11%*F7</f>
        <v>#REF!</v>
      </c>
      <c r="G11" s="16" t="e">
        <f>10%*F11</f>
        <v>#REF!</v>
      </c>
      <c r="H11" s="16" t="e">
        <f>ROUND(F11+G11,-3)</f>
        <v>#REF!</v>
      </c>
      <c r="I11" s="76" t="s">
        <v>331</v>
      </c>
      <c r="J11" s="35" t="e">
        <f>THDT!#REF!</f>
        <v>#REF!</v>
      </c>
      <c r="K11" s="34" t="s">
        <v>25</v>
      </c>
    </row>
    <row r="12" spans="1:11" ht="22.5" customHeight="1">
      <c r="A12" s="18" t="s">
        <v>168</v>
      </c>
      <c r="B12" s="13" t="s">
        <v>302</v>
      </c>
      <c r="C12" s="14" t="s">
        <v>32</v>
      </c>
      <c r="D12" s="25" t="s">
        <v>309</v>
      </c>
      <c r="E12" s="15" t="s">
        <v>306</v>
      </c>
      <c r="F12" s="16" t="e">
        <f>THDT!#REF!</f>
        <v>#REF!</v>
      </c>
      <c r="G12" s="16" t="e">
        <f t="shared" ref="G12:G17" si="2">10%*F12</f>
        <v>#REF!</v>
      </c>
      <c r="H12" s="16" t="e">
        <f t="shared" ref="H12:H17" si="3">ROUND(F12+G12,-3)</f>
        <v>#REF!</v>
      </c>
      <c r="I12" s="76" t="s">
        <v>309</v>
      </c>
      <c r="J12" s="66"/>
      <c r="K12" s="34" t="s">
        <v>25</v>
      </c>
    </row>
    <row r="13" spans="1:11" ht="40.5" customHeight="1">
      <c r="A13" s="18" t="s">
        <v>162</v>
      </c>
      <c r="B13" s="13" t="s">
        <v>304</v>
      </c>
      <c r="C13" s="14" t="s">
        <v>34</v>
      </c>
      <c r="D13" s="25" t="s">
        <v>309</v>
      </c>
      <c r="E13" s="15" t="e">
        <f>J13&amp;"%*Gtv2"</f>
        <v>#REF!</v>
      </c>
      <c r="F13" s="16" t="e">
        <f>J13%*(F12)</f>
        <v>#REF!</v>
      </c>
      <c r="G13" s="16" t="e">
        <f t="shared" si="2"/>
        <v>#REF!</v>
      </c>
      <c r="H13" s="16" t="e">
        <f t="shared" si="3"/>
        <v>#REF!</v>
      </c>
      <c r="I13" s="76" t="s">
        <v>321</v>
      </c>
      <c r="J13" s="66" t="e">
        <f>THDT!#REF!</f>
        <v>#REF!</v>
      </c>
      <c r="K13" s="34" t="s">
        <v>25</v>
      </c>
    </row>
    <row r="14" spans="1:11" ht="64.5" customHeight="1">
      <c r="A14" s="18" t="s">
        <v>264</v>
      </c>
      <c r="B14" s="13" t="s">
        <v>305</v>
      </c>
      <c r="C14" s="14" t="s">
        <v>38</v>
      </c>
      <c r="D14" s="15" t="s">
        <v>301</v>
      </c>
      <c r="E14" s="15" t="e">
        <f>J14&amp;"%*Gtv2"</f>
        <v>#REF!</v>
      </c>
      <c r="F14" s="16" t="e">
        <f>J14%*(F12)</f>
        <v>#REF!</v>
      </c>
      <c r="G14" s="16" t="e">
        <f t="shared" si="2"/>
        <v>#REF!</v>
      </c>
      <c r="H14" s="16" t="e">
        <f t="shared" si="3"/>
        <v>#REF!</v>
      </c>
      <c r="I14" s="84" t="s">
        <v>332</v>
      </c>
      <c r="J14" s="66" t="e">
        <f>THDT!#REF!</f>
        <v>#REF!</v>
      </c>
      <c r="K14" s="34" t="s">
        <v>25</v>
      </c>
    </row>
    <row r="15" spans="1:11" ht="77.25" customHeight="1">
      <c r="A15" s="18" t="s">
        <v>265</v>
      </c>
      <c r="B15" s="13" t="s">
        <v>303</v>
      </c>
      <c r="C15" s="14" t="s">
        <v>40</v>
      </c>
      <c r="D15" s="15" t="s">
        <v>301</v>
      </c>
      <c r="E15" s="15" t="e">
        <f>IF($F$7*J15%&gt;5000000,J15&amp;"%*Gxd","Định mức tối thiểu")</f>
        <v>#REF!</v>
      </c>
      <c r="F15" s="16" t="e">
        <f>IF(F7*J15%&gt;5000000,F7*J15%,5000000)</f>
        <v>#REF!</v>
      </c>
      <c r="G15" s="16" t="e">
        <f t="shared" si="2"/>
        <v>#REF!</v>
      </c>
      <c r="H15" s="16" t="e">
        <f t="shared" si="3"/>
        <v>#REF!</v>
      </c>
      <c r="I15" s="76" t="s">
        <v>333</v>
      </c>
      <c r="J15" s="66" t="e">
        <f>THDT!#REF!</f>
        <v>#REF!</v>
      </c>
      <c r="K15" s="34" t="s">
        <v>25</v>
      </c>
    </row>
    <row r="16" spans="1:11" ht="79.5" customHeight="1">
      <c r="A16" s="18" t="s">
        <v>308</v>
      </c>
      <c r="B16" s="13" t="s">
        <v>35</v>
      </c>
      <c r="C16" s="14" t="s">
        <v>41</v>
      </c>
      <c r="D16" s="15" t="s">
        <v>301</v>
      </c>
      <c r="E16" s="15" t="e">
        <f>IF($F$7*J16%&gt;2000000,J16&amp;"%*Gxd","Định mức tối thiểu")</f>
        <v>#REF!</v>
      </c>
      <c r="F16" s="16" t="e">
        <f>IF(F7*J16%&gt;2000000,F7*J16%,2000000)</f>
        <v>#REF!</v>
      </c>
      <c r="G16" s="16" t="e">
        <f t="shared" si="2"/>
        <v>#REF!</v>
      </c>
      <c r="H16" s="16" t="e">
        <f t="shared" si="3"/>
        <v>#REF!</v>
      </c>
      <c r="I16" s="76" t="s">
        <v>334</v>
      </c>
      <c r="J16" s="35" t="e">
        <f>THDT!#REF!</f>
        <v>#REF!</v>
      </c>
      <c r="K16" s="34" t="s">
        <v>25</v>
      </c>
    </row>
    <row r="17" spans="1:11" ht="74.25" customHeight="1">
      <c r="A17" s="18" t="s">
        <v>314</v>
      </c>
      <c r="B17" s="13" t="s">
        <v>37</v>
      </c>
      <c r="C17" s="14" t="s">
        <v>307</v>
      </c>
      <c r="D17" s="15" t="s">
        <v>301</v>
      </c>
      <c r="E17" s="15" t="e">
        <f>IF($F$7*J17%&gt;2000000,J17&amp;"%*Gxd","Định mức tối thiểu")</f>
        <v>#REF!</v>
      </c>
      <c r="F17" s="16" t="e">
        <f>IF(F7*J17%&gt;2000000,F7*J17%,2000000)</f>
        <v>#REF!</v>
      </c>
      <c r="G17" s="16" t="e">
        <f t="shared" si="2"/>
        <v>#REF!</v>
      </c>
      <c r="H17" s="16" t="e">
        <f t="shared" si="3"/>
        <v>#REF!</v>
      </c>
      <c r="I17" s="76" t="s">
        <v>335</v>
      </c>
      <c r="J17" s="35" t="e">
        <f>THDT!#REF!</f>
        <v>#REF!</v>
      </c>
      <c r="K17" s="34" t="s">
        <v>25</v>
      </c>
    </row>
    <row r="18" spans="1:11" ht="32.25" thickBot="1">
      <c r="A18" s="19"/>
      <c r="B18" s="5" t="s">
        <v>312</v>
      </c>
      <c r="C18" s="6" t="s">
        <v>48</v>
      </c>
      <c r="D18" s="7"/>
      <c r="E18" s="7" t="s">
        <v>316</v>
      </c>
      <c r="F18" s="8"/>
      <c r="G18" s="8"/>
      <c r="H18" s="8" t="e">
        <f>H8+H10</f>
        <v>#REF!</v>
      </c>
      <c r="I18" s="77"/>
      <c r="J18" s="2"/>
      <c r="K18" s="1"/>
    </row>
    <row r="19" spans="1:11" ht="16.5" hidden="1" thickBot="1">
      <c r="A19" s="20"/>
      <c r="B19" s="21" t="s">
        <v>49</v>
      </c>
      <c r="C19" s="22"/>
      <c r="D19" s="22"/>
      <c r="E19" s="22"/>
      <c r="F19" s="23"/>
      <c r="G19" s="24"/>
      <c r="H19" s="78" t="e">
        <f>ROUND(H18,-3)</f>
        <v>#REF!</v>
      </c>
      <c r="I19" s="72"/>
      <c r="J19" s="3"/>
      <c r="K19" s="1"/>
    </row>
    <row r="20" spans="1:11" ht="24" customHeight="1" thickTop="1">
      <c r="A20" s="229" t="s">
        <v>337</v>
      </c>
      <c r="B20" s="229"/>
      <c r="C20" s="229"/>
      <c r="D20" s="229"/>
      <c r="E20" s="229"/>
      <c r="F20" s="229"/>
      <c r="G20" s="229"/>
      <c r="H20" s="229"/>
      <c r="I20" s="229"/>
      <c r="J20" s="3"/>
      <c r="K20" s="1"/>
    </row>
    <row r="21" spans="1:11" ht="11.25" customHeight="1">
      <c r="A21" s="2"/>
      <c r="B21" s="2"/>
      <c r="C21" s="2"/>
      <c r="D21" s="2"/>
      <c r="E21" s="2"/>
      <c r="F21" s="2"/>
      <c r="G21" s="2"/>
      <c r="H21" s="2"/>
      <c r="I21" s="2"/>
      <c r="J21" s="33" t="e">
        <f>H19-J20</f>
        <v>#REF!</v>
      </c>
      <c r="K21" s="1"/>
    </row>
    <row r="22" spans="1:11" ht="21" customHeight="1">
      <c r="A22" s="2"/>
      <c r="B22" s="2"/>
      <c r="C22" s="2"/>
      <c r="D22" s="2"/>
      <c r="G22" s="2"/>
      <c r="H22" s="231" t="s">
        <v>330</v>
      </c>
      <c r="I22" s="231"/>
      <c r="J22" s="2"/>
      <c r="K22" s="1"/>
    </row>
    <row r="23" spans="1:11" ht="24.75" customHeight="1">
      <c r="A23" s="4"/>
      <c r="D23" s="4"/>
      <c r="G23" s="230" t="s">
        <v>328</v>
      </c>
      <c r="H23" s="230"/>
      <c r="I23" s="230"/>
      <c r="J23" s="2"/>
      <c r="K23" s="1"/>
    </row>
    <row r="24" spans="1:11" ht="16.5">
      <c r="A24" s="2"/>
      <c r="B24" s="228" t="s">
        <v>327</v>
      </c>
      <c r="C24" s="228"/>
      <c r="D24" s="4"/>
      <c r="E24" s="4"/>
      <c r="F24" s="2"/>
      <c r="G24" s="234" t="s">
        <v>324</v>
      </c>
      <c r="H24" s="234"/>
      <c r="I24" s="234"/>
      <c r="J24" s="2"/>
      <c r="K24" s="1"/>
    </row>
    <row r="25" spans="1:11" ht="16.5">
      <c r="G25" s="70"/>
      <c r="H25" s="70"/>
      <c r="I25" s="70"/>
    </row>
    <row r="26" spans="1:11" ht="18.75">
      <c r="G26" s="71"/>
      <c r="H26" s="71"/>
      <c r="I26" s="71"/>
    </row>
    <row r="27" spans="1:11" ht="18.75">
      <c r="G27" s="71"/>
      <c r="H27" s="71"/>
      <c r="I27" s="71"/>
    </row>
    <row r="28" spans="1:11" ht="18.75">
      <c r="G28" s="71"/>
      <c r="H28" s="71"/>
      <c r="I28" s="71"/>
    </row>
    <row r="29" spans="1:11" ht="18.75">
      <c r="B29" s="227" t="s">
        <v>326</v>
      </c>
      <c r="C29" s="227"/>
      <c r="G29" s="227" t="s">
        <v>325</v>
      </c>
      <c r="H29" s="227"/>
      <c r="I29" s="227"/>
    </row>
  </sheetData>
  <mergeCells count="11">
    <mergeCell ref="A1:I1"/>
    <mergeCell ref="A2:I2"/>
    <mergeCell ref="A3:I3"/>
    <mergeCell ref="G24:I24"/>
    <mergeCell ref="A4:I4"/>
    <mergeCell ref="G29:I29"/>
    <mergeCell ref="B29:C29"/>
    <mergeCell ref="B24:C24"/>
    <mergeCell ref="A20:I20"/>
    <mergeCell ref="G23:I23"/>
    <mergeCell ref="H22:I22"/>
  </mergeCells>
  <printOptions horizontalCentered="1"/>
  <pageMargins left="0.34" right="0" top="0.65" bottom="0.5" header="0.3" footer="0.3"/>
  <pageSetup paperSize="9" orientation="landscape" verticalDpi="0" r:id="rId1"/>
  <headerFooter>
    <oddFooter>&amp;C&amp;"Times New Roman,Regular"&amp;12&amp;P/&amp;N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49"/>
  <sheetViews>
    <sheetView tabSelected="1" view="pageBreakPreview" zoomScale="60" zoomScaleNormal="83" workbookViewId="0">
      <selection activeCell="A28" sqref="A28"/>
    </sheetView>
  </sheetViews>
  <sheetFormatPr defaultRowHeight="15"/>
  <cols>
    <col min="1" max="1" width="6.28515625" customWidth="1"/>
    <col min="2" max="2" width="52.85546875" customWidth="1"/>
    <col min="3" max="3" width="7.7109375" customWidth="1"/>
    <col min="4" max="4" width="30.7109375" customWidth="1"/>
    <col min="5" max="5" width="17.140625" customWidth="1"/>
    <col min="6" max="6" width="15.28515625" style="116" customWidth="1"/>
    <col min="7" max="8" width="17.85546875" customWidth="1"/>
    <col min="9" max="9" width="17.28515625" customWidth="1"/>
    <col min="10" max="10" width="18.42578125" customWidth="1"/>
    <col min="11" max="11" width="16.28515625" customWidth="1"/>
    <col min="12" max="12" width="17.140625" customWidth="1"/>
    <col min="13" max="13" width="15.28515625" customWidth="1"/>
    <col min="14" max="14" width="14.140625" bestFit="1" customWidth="1"/>
    <col min="15" max="15" width="17.85546875" bestFit="1" customWidth="1"/>
  </cols>
  <sheetData>
    <row r="1" spans="1:18" ht="23.25" customHeight="1">
      <c r="A1" s="232" t="s">
        <v>368</v>
      </c>
      <c r="B1" s="232"/>
      <c r="C1" s="232"/>
      <c r="D1" s="232"/>
      <c r="E1" s="232"/>
      <c r="F1" s="232"/>
      <c r="G1" s="232"/>
      <c r="H1" s="205"/>
      <c r="I1" s="1"/>
      <c r="J1" s="79"/>
    </row>
    <row r="2" spans="1:18" ht="22.5" customHeight="1">
      <c r="A2" s="237" t="s">
        <v>399</v>
      </c>
      <c r="B2" s="237"/>
      <c r="C2" s="237"/>
      <c r="D2" s="237"/>
      <c r="E2" s="237"/>
      <c r="F2" s="237"/>
      <c r="G2" s="237"/>
      <c r="H2" s="206"/>
      <c r="I2" s="109"/>
      <c r="J2" s="79"/>
    </row>
    <row r="3" spans="1:18" ht="15.75" customHeight="1" thickBot="1">
      <c r="A3" s="238" t="s">
        <v>0</v>
      </c>
      <c r="B3" s="238"/>
      <c r="C3" s="238"/>
      <c r="D3" s="238"/>
      <c r="E3" s="238"/>
      <c r="F3" s="238"/>
      <c r="G3" s="238"/>
      <c r="H3" s="218"/>
      <c r="I3" s="1"/>
    </row>
    <row r="4" spans="1:18" s="116" customFormat="1" ht="36.75" customHeight="1" thickTop="1">
      <c r="A4" s="112" t="s">
        <v>1</v>
      </c>
      <c r="B4" s="113" t="s">
        <v>2</v>
      </c>
      <c r="C4" s="113" t="s">
        <v>3</v>
      </c>
      <c r="D4" s="113" t="s">
        <v>5</v>
      </c>
      <c r="E4" s="113" t="s">
        <v>6</v>
      </c>
      <c r="F4" s="113" t="s">
        <v>7</v>
      </c>
      <c r="G4" s="114" t="s">
        <v>329</v>
      </c>
      <c r="H4" s="219"/>
      <c r="I4" s="115"/>
      <c r="J4"/>
      <c r="K4"/>
      <c r="L4"/>
      <c r="M4"/>
      <c r="N4"/>
      <c r="O4"/>
      <c r="P4"/>
      <c r="Q4"/>
    </row>
    <row r="5" spans="1:18" s="116" customFormat="1" ht="15.75">
      <c r="A5" s="117" t="s">
        <v>9</v>
      </c>
      <c r="B5" s="118" t="s">
        <v>10</v>
      </c>
      <c r="C5" s="118" t="s">
        <v>11</v>
      </c>
      <c r="D5" s="118" t="s">
        <v>13</v>
      </c>
      <c r="E5" s="118" t="s">
        <v>14</v>
      </c>
      <c r="F5" s="118" t="s">
        <v>15</v>
      </c>
      <c r="G5" s="119" t="s">
        <v>16</v>
      </c>
      <c r="H5" s="220"/>
      <c r="I5" s="115"/>
      <c r="J5"/>
      <c r="K5"/>
      <c r="L5"/>
      <c r="M5"/>
      <c r="N5"/>
      <c r="O5"/>
      <c r="P5"/>
      <c r="Q5"/>
    </row>
    <row r="6" spans="1:18" s="116" customFormat="1" ht="21" customHeight="1">
      <c r="A6" s="156" t="s">
        <v>17</v>
      </c>
      <c r="B6" s="126" t="s">
        <v>18</v>
      </c>
      <c r="C6" s="127" t="s">
        <v>50</v>
      </c>
      <c r="D6" s="128" t="s">
        <v>365</v>
      </c>
      <c r="E6" s="173">
        <f>SUM(E7:E9)</f>
        <v>1501881900.2089999</v>
      </c>
      <c r="F6" s="173">
        <f>SUM(F7:F9)</f>
        <v>120150552.01671997</v>
      </c>
      <c r="G6" s="174">
        <f>ROUND(E6+F6,-3)</f>
        <v>1622032000</v>
      </c>
      <c r="H6" s="221"/>
      <c r="I6" s="120">
        <v>1269799000</v>
      </c>
      <c r="J6" s="166">
        <f>G6-I6</f>
        <v>352233000</v>
      </c>
      <c r="K6"/>
      <c r="L6"/>
      <c r="M6"/>
      <c r="N6"/>
      <c r="O6"/>
      <c r="P6"/>
      <c r="Q6"/>
    </row>
    <row r="7" spans="1:18" s="116" customFormat="1" ht="18.95" customHeight="1">
      <c r="A7" s="184" t="s">
        <v>19</v>
      </c>
      <c r="B7" s="185" t="s">
        <v>391</v>
      </c>
      <c r="C7" s="186" t="s">
        <v>354</v>
      </c>
      <c r="D7" s="169" t="s">
        <v>338</v>
      </c>
      <c r="E7" s="187">
        <v>865631036.75351572</v>
      </c>
      <c r="F7" s="187">
        <f>E7*8%</f>
        <v>69250482.940281257</v>
      </c>
      <c r="G7" s="188">
        <f>ROUND(E7+F7,-3)</f>
        <v>934882000</v>
      </c>
      <c r="H7" s="222"/>
      <c r="I7" s="125">
        <f>+'[1]TH chi phí XD'!$C$5</f>
        <v>865631036.75351572</v>
      </c>
      <c r="J7" s="136"/>
      <c r="K7" s="109"/>
      <c r="L7"/>
      <c r="M7"/>
      <c r="N7"/>
      <c r="O7"/>
      <c r="P7"/>
      <c r="Q7"/>
    </row>
    <row r="8" spans="1:18" s="116" customFormat="1" ht="18.95" customHeight="1">
      <c r="A8" s="131" t="s">
        <v>20</v>
      </c>
      <c r="B8" s="132" t="s">
        <v>392</v>
      </c>
      <c r="C8" s="121" t="s">
        <v>395</v>
      </c>
      <c r="D8" s="189" t="s">
        <v>338</v>
      </c>
      <c r="E8" s="175">
        <v>255845214.81473437</v>
      </c>
      <c r="F8" s="175">
        <f>E8*8%</f>
        <v>20467617.185178749</v>
      </c>
      <c r="G8" s="176">
        <f>ROUND(E8+F8,-3)</f>
        <v>276313000</v>
      </c>
      <c r="H8" s="222"/>
      <c r="I8" s="125">
        <f>+'[1]TH chi phí XD'!$C$6</f>
        <v>255845214.81473437</v>
      </c>
      <c r="J8" s="136"/>
      <c r="K8" s="109"/>
      <c r="L8"/>
      <c r="M8"/>
      <c r="N8"/>
      <c r="O8"/>
      <c r="P8"/>
      <c r="Q8"/>
    </row>
    <row r="9" spans="1:18" s="116" customFormat="1" ht="18.95" customHeight="1">
      <c r="A9" s="190" t="s">
        <v>56</v>
      </c>
      <c r="B9" s="191" t="s">
        <v>393</v>
      </c>
      <c r="C9" s="192" t="s">
        <v>394</v>
      </c>
      <c r="D9" s="193" t="s">
        <v>338</v>
      </c>
      <c r="E9" s="194">
        <v>380405648.64074969</v>
      </c>
      <c r="F9" s="194">
        <f>E9*8%</f>
        <v>30432451.891259976</v>
      </c>
      <c r="G9" s="195">
        <f>ROUND(E9+F9,-3)</f>
        <v>410838000</v>
      </c>
      <c r="H9" s="222"/>
      <c r="I9" s="125">
        <f>+'[1]TH chi phí XD'!$C$7</f>
        <v>380405648.64074969</v>
      </c>
      <c r="J9" s="136"/>
      <c r="K9" s="109"/>
      <c r="L9"/>
      <c r="M9"/>
      <c r="N9"/>
      <c r="O9"/>
      <c r="P9"/>
      <c r="Q9"/>
    </row>
    <row r="10" spans="1:18" s="116" customFormat="1" ht="18.95" customHeight="1">
      <c r="A10" s="156" t="s">
        <v>21</v>
      </c>
      <c r="B10" s="126" t="s">
        <v>370</v>
      </c>
      <c r="C10" s="127" t="s">
        <v>371</v>
      </c>
      <c r="D10" s="128" t="s">
        <v>23</v>
      </c>
      <c r="E10" s="173">
        <f>E11</f>
        <v>54100000</v>
      </c>
      <c r="F10" s="173">
        <f>F11</f>
        <v>4328000</v>
      </c>
      <c r="G10" s="174">
        <f>ROUND(E10+F10,-3)</f>
        <v>58428000</v>
      </c>
      <c r="H10" s="221"/>
      <c r="I10" s="120"/>
      <c r="J10"/>
      <c r="K10"/>
      <c r="L10"/>
      <c r="M10"/>
      <c r="N10"/>
      <c r="O10"/>
      <c r="P10"/>
      <c r="Q10"/>
    </row>
    <row r="11" spans="1:18" s="116" customFormat="1" ht="18.95" customHeight="1">
      <c r="A11" s="137" t="s">
        <v>23</v>
      </c>
      <c r="B11" s="138" t="s">
        <v>372</v>
      </c>
      <c r="C11" s="139" t="s">
        <v>373</v>
      </c>
      <c r="D11" s="140" t="s">
        <v>374</v>
      </c>
      <c r="E11" s="177">
        <v>54100000</v>
      </c>
      <c r="F11" s="177">
        <f>E11*8%</f>
        <v>4328000</v>
      </c>
      <c r="G11" s="178">
        <f>ROUND(E11+F11,)</f>
        <v>58428000</v>
      </c>
      <c r="H11" s="222"/>
      <c r="I11" s="115"/>
      <c r="J11"/>
      <c r="K11"/>
      <c r="L11"/>
      <c r="M11"/>
      <c r="N11"/>
      <c r="O11"/>
      <c r="P11"/>
      <c r="Q11"/>
    </row>
    <row r="12" spans="1:18" s="123" customFormat="1" ht="18.95" customHeight="1">
      <c r="A12" s="157" t="s">
        <v>26</v>
      </c>
      <c r="B12" s="145" t="s">
        <v>22</v>
      </c>
      <c r="C12" s="144"/>
      <c r="D12" s="146" t="s">
        <v>28</v>
      </c>
      <c r="E12" s="179">
        <f>E13</f>
        <v>53619136.281202145</v>
      </c>
      <c r="F12" s="179">
        <f>F13</f>
        <v>4289530.9024961721</v>
      </c>
      <c r="G12" s="180">
        <f>ROUND(E12+F12,-3)</f>
        <v>57909000</v>
      </c>
      <c r="H12" s="223"/>
      <c r="I12" s="122"/>
      <c r="J12"/>
      <c r="K12"/>
      <c r="L12"/>
      <c r="M12"/>
      <c r="N12"/>
      <c r="O12"/>
      <c r="P12"/>
      <c r="Q12"/>
    </row>
    <row r="13" spans="1:18" s="123" customFormat="1" ht="18.95" customHeight="1">
      <c r="A13" s="141" t="s">
        <v>28</v>
      </c>
      <c r="B13" s="142" t="s">
        <v>24</v>
      </c>
      <c r="C13" s="143" t="s">
        <v>51</v>
      </c>
      <c r="D13" s="168" t="s">
        <v>375</v>
      </c>
      <c r="E13" s="177">
        <f>H13%*(E6+E10)</f>
        <v>53619136.281202145</v>
      </c>
      <c r="F13" s="177">
        <f>8%*E13</f>
        <v>4289530.9024961721</v>
      </c>
      <c r="G13" s="181">
        <f>E13+F13</f>
        <v>57908667.183698319</v>
      </c>
      <c r="H13" s="224">
        <v>3.4460000000000002</v>
      </c>
      <c r="I13" s="198">
        <f>ROUND((K13-((K13-J13)/(L13-M13))*(N13-M13)),6)</f>
        <v>3.4459999999999998E-2</v>
      </c>
      <c r="J13" s="199">
        <v>3.4459999999999998E-2</v>
      </c>
      <c r="K13" s="199">
        <v>3.4459999999999998E-2</v>
      </c>
      <c r="L13" s="200">
        <v>0</v>
      </c>
      <c r="M13" s="200">
        <v>10</v>
      </c>
      <c r="N13" s="201">
        <f>O13/10^9</f>
        <v>1.6804600000000001</v>
      </c>
      <c r="O13" s="202">
        <f>+G6+G10</f>
        <v>1680460000</v>
      </c>
      <c r="P13"/>
      <c r="Q13"/>
    </row>
    <row r="14" spans="1:18" s="116" customFormat="1" ht="18.95" customHeight="1">
      <c r="A14" s="156" t="s">
        <v>42</v>
      </c>
      <c r="B14" s="126" t="s">
        <v>27</v>
      </c>
      <c r="C14" s="127" t="s">
        <v>52</v>
      </c>
      <c r="D14" s="128" t="s">
        <v>400</v>
      </c>
      <c r="E14" s="173">
        <f>SUM(E15:E19)</f>
        <v>149032974.83163244</v>
      </c>
      <c r="F14" s="173">
        <f>SUM(F15:F19)</f>
        <v>11922637.986530596</v>
      </c>
      <c r="G14" s="174">
        <f>ROUND(SUM(G15:G19),-3)</f>
        <v>160956000</v>
      </c>
      <c r="H14" s="221"/>
      <c r="I14" s="209"/>
      <c r="J14" s="209"/>
      <c r="K14" s="209"/>
      <c r="L14" s="209"/>
      <c r="M14" s="209"/>
      <c r="N14" s="209"/>
      <c r="O14" s="209"/>
      <c r="P14"/>
      <c r="Q14"/>
    </row>
    <row r="15" spans="1:18" s="116" customFormat="1" ht="18.95" customHeight="1">
      <c r="A15" s="131" t="s">
        <v>376</v>
      </c>
      <c r="B15" s="132" t="s">
        <v>303</v>
      </c>
      <c r="C15" s="121" t="s">
        <v>30</v>
      </c>
      <c r="D15" s="148" t="str">
        <f>H15&amp;"%*(Gxd+Gtb)"</f>
        <v>5,8876%*(Gxd+Gtb)</v>
      </c>
      <c r="E15" s="196">
        <f>(E6+E10)*H15%</f>
        <v>91609990.35670507</v>
      </c>
      <c r="F15" s="196">
        <f>8%*E15</f>
        <v>7328799.2285364056</v>
      </c>
      <c r="G15" s="197">
        <f t="shared" ref="G15:G19" si="0">ROUND(E15+F15,-3)</f>
        <v>98939000</v>
      </c>
      <c r="H15" s="149">
        <v>5.8875999999999999</v>
      </c>
      <c r="I15" s="198">
        <f>ROUND((K15-((K15-J15)/(L15-M15))*(N15-M15)),6)</f>
        <v>5.8875999999999998E-2</v>
      </c>
      <c r="J15" s="199">
        <v>6.5000000000000002E-2</v>
      </c>
      <c r="K15" s="199">
        <v>4.7E-2</v>
      </c>
      <c r="L15" s="200">
        <v>1</v>
      </c>
      <c r="M15" s="200">
        <v>3</v>
      </c>
      <c r="N15" s="201">
        <f>O15/10^9</f>
        <v>1.6804600000000001</v>
      </c>
      <c r="O15" s="202">
        <f>+O13</f>
        <v>1680460000</v>
      </c>
      <c r="P15" s="201">
        <f>Q15/10^9</f>
        <v>0</v>
      </c>
      <c r="Q15" s="202">
        <f>+Q14</f>
        <v>0</v>
      </c>
      <c r="R15" s="203"/>
    </row>
    <row r="16" spans="1:18" s="116" customFormat="1" ht="18.95" customHeight="1">
      <c r="A16" s="131" t="s">
        <v>44</v>
      </c>
      <c r="B16" s="132" t="s">
        <v>396</v>
      </c>
      <c r="C16" s="121" t="s">
        <v>32</v>
      </c>
      <c r="D16" s="148" t="str">
        <f>H16&amp;"%*Gxd"</f>
        <v>0,258%*Gxd</v>
      </c>
      <c r="E16" s="196">
        <f>E6*H16%</f>
        <v>3874855.3025392201</v>
      </c>
      <c r="F16" s="196">
        <f>8%*E16</f>
        <v>309988.42420313763</v>
      </c>
      <c r="G16" s="197">
        <f t="shared" si="0"/>
        <v>4185000</v>
      </c>
      <c r="H16" s="149">
        <v>0.25800000000000001</v>
      </c>
      <c r="I16" s="198">
        <f>ROUND((K16-((K16-J16)/(L16-M16))*(N16-M16)),6)</f>
        <v>2.5799999999999998E-3</v>
      </c>
      <c r="J16" s="199">
        <v>2.5799999999999998E-3</v>
      </c>
      <c r="K16" s="199">
        <v>2.5799999999999998E-3</v>
      </c>
      <c r="L16" s="200">
        <v>0</v>
      </c>
      <c r="M16" s="200">
        <v>10</v>
      </c>
      <c r="N16" s="201">
        <f>O16/10^9</f>
        <v>1.6804600000000001</v>
      </c>
      <c r="O16" s="202">
        <f>+O15</f>
        <v>1680460000</v>
      </c>
      <c r="P16" s="201">
        <f>Q16/10^9</f>
        <v>0</v>
      </c>
      <c r="Q16" s="202">
        <f>+Q15</f>
        <v>0</v>
      </c>
      <c r="R16" s="203"/>
    </row>
    <row r="17" spans="1:18" s="116" customFormat="1" ht="18.95" customHeight="1">
      <c r="A17" s="131" t="s">
        <v>45</v>
      </c>
      <c r="B17" s="132" t="s">
        <v>397</v>
      </c>
      <c r="C17" s="121" t="s">
        <v>34</v>
      </c>
      <c r="D17" s="148" t="str">
        <f>H17&amp;"%*Gxd"</f>
        <v>0,25%*Gxd</v>
      </c>
      <c r="E17" s="196">
        <f>E6*H17%</f>
        <v>3754704.7505224999</v>
      </c>
      <c r="F17" s="196">
        <f>8%*E17</f>
        <v>300376.38004179997</v>
      </c>
      <c r="G17" s="197">
        <f t="shared" si="0"/>
        <v>4055000</v>
      </c>
      <c r="H17" s="149">
        <v>0.25</v>
      </c>
      <c r="I17" s="198">
        <f>ROUND((K17-((K17-J17)/(L17-M17))*(N17-M17)),6)</f>
        <v>2.5000000000000001E-3</v>
      </c>
      <c r="J17" s="199">
        <v>2.5000000000000001E-3</v>
      </c>
      <c r="K17" s="199">
        <v>2.5000000000000001E-3</v>
      </c>
      <c r="L17" s="200">
        <v>0</v>
      </c>
      <c r="M17" s="200">
        <v>10</v>
      </c>
      <c r="N17" s="201">
        <f>O17/10^9</f>
        <v>1.6804600000000001</v>
      </c>
      <c r="O17" s="202">
        <f>+O15</f>
        <v>1680460000</v>
      </c>
      <c r="P17" s="201">
        <f>Q17/10^9</f>
        <v>0</v>
      </c>
      <c r="Q17" s="202">
        <f>+Q16</f>
        <v>0</v>
      </c>
      <c r="R17" s="203"/>
    </row>
    <row r="18" spans="1:18" s="116" customFormat="1" ht="18.95" customHeight="1">
      <c r="A18" s="131" t="s">
        <v>387</v>
      </c>
      <c r="B18" s="147" t="s">
        <v>298</v>
      </c>
      <c r="C18" s="121" t="s">
        <v>38</v>
      </c>
      <c r="D18" s="148" t="str">
        <f>H18&amp;"%*Gxd"</f>
        <v>3,285%*Gxd</v>
      </c>
      <c r="E18" s="204">
        <f>H18%*$E$6</f>
        <v>49336820.42186565</v>
      </c>
      <c r="F18" s="204">
        <f>8%*E18</f>
        <v>3946945.6337492522</v>
      </c>
      <c r="G18" s="197">
        <f t="shared" si="0"/>
        <v>53284000</v>
      </c>
      <c r="H18" s="149">
        <v>3.2850000000000001</v>
      </c>
      <c r="I18" s="198">
        <f>ROUND((K18-((K18-J18)/(L18-M18))*(N18-M18)),6)</f>
        <v>3.2849999999999997E-2</v>
      </c>
      <c r="J18" s="199">
        <v>3.2849999999999997E-2</v>
      </c>
      <c r="K18" s="199">
        <v>3.2849999999999997E-2</v>
      </c>
      <c r="L18" s="200">
        <v>0</v>
      </c>
      <c r="M18" s="200">
        <v>10</v>
      </c>
      <c r="N18" s="201">
        <f>O18/10^9</f>
        <v>1.6804600000000001</v>
      </c>
      <c r="O18" s="202">
        <f>+O17</f>
        <v>1680460000</v>
      </c>
      <c r="P18" s="201">
        <f>Q18/10^9</f>
        <v>0</v>
      </c>
      <c r="Q18" s="202">
        <f>+Q16</f>
        <v>0</v>
      </c>
    </row>
    <row r="19" spans="1:18" s="116" customFormat="1" ht="18.95" customHeight="1">
      <c r="A19" s="131" t="s">
        <v>398</v>
      </c>
      <c r="B19" s="147" t="s">
        <v>388</v>
      </c>
      <c r="C19" s="121" t="s">
        <v>40</v>
      </c>
      <c r="D19" s="148" t="str">
        <f>H19&amp;"%*Gtb"</f>
        <v>0,844%*Gtb</v>
      </c>
      <c r="E19" s="204">
        <f>H19%*$E$10</f>
        <v>456604</v>
      </c>
      <c r="F19" s="204">
        <f>8%*E19</f>
        <v>36528.32</v>
      </c>
      <c r="G19" s="197">
        <f t="shared" si="0"/>
        <v>493000</v>
      </c>
      <c r="H19" s="149">
        <v>0.84399999999999997</v>
      </c>
      <c r="I19" s="210"/>
      <c r="J19" s="210"/>
      <c r="K19" s="210"/>
      <c r="L19" s="210"/>
      <c r="M19" s="210"/>
      <c r="N19" s="210"/>
      <c r="O19" s="210"/>
      <c r="P19" s="201">
        <f>Q19/10^9</f>
        <v>0</v>
      </c>
      <c r="Q19" s="202">
        <f>+Q18</f>
        <v>0</v>
      </c>
    </row>
    <row r="20" spans="1:18" s="116" customFormat="1" ht="18.95" customHeight="1">
      <c r="A20" s="156" t="s">
        <v>377</v>
      </c>
      <c r="B20" s="126" t="s">
        <v>43</v>
      </c>
      <c r="C20" s="127" t="s">
        <v>53</v>
      </c>
      <c r="D20" s="128" t="s">
        <v>389</v>
      </c>
      <c r="E20" s="173">
        <f>SUM(E21:E23)</f>
        <v>24495955.699999996</v>
      </c>
      <c r="F20" s="173">
        <f>SUM(F22:F22)</f>
        <v>0</v>
      </c>
      <c r="G20" s="174">
        <f>ROUND(SUM(G21:G23),-3)</f>
        <v>25976000</v>
      </c>
      <c r="H20" s="221"/>
      <c r="I20" s="209"/>
      <c r="J20" s="209"/>
      <c r="K20" s="209"/>
      <c r="L20" s="209"/>
      <c r="M20" s="209"/>
      <c r="N20" s="209"/>
      <c r="O20" s="209"/>
      <c r="P20"/>
      <c r="Q20"/>
    </row>
    <row r="21" spans="1:18" s="116" customFormat="1" ht="18.95" customHeight="1">
      <c r="A21" s="131" t="s">
        <v>385</v>
      </c>
      <c r="B21" s="132" t="s">
        <v>383</v>
      </c>
      <c r="C21" s="121" t="s">
        <v>379</v>
      </c>
      <c r="D21" s="124" t="s">
        <v>384</v>
      </c>
      <c r="E21" s="175">
        <v>500000</v>
      </c>
      <c r="F21" s="175"/>
      <c r="G21" s="176">
        <f>ROUND(E21+F21,-3)</f>
        <v>500000</v>
      </c>
      <c r="H21" s="222"/>
      <c r="I21" s="211"/>
      <c r="J21" s="210"/>
      <c r="K21" s="210"/>
      <c r="L21" s="210"/>
      <c r="M21" s="210"/>
      <c r="N21" s="210"/>
      <c r="O21" s="210"/>
      <c r="P21"/>
      <c r="Q21"/>
    </row>
    <row r="22" spans="1:18" s="116" customFormat="1" ht="18.95" customHeight="1">
      <c r="A22" s="131" t="s">
        <v>200</v>
      </c>
      <c r="B22" s="132" t="s">
        <v>46</v>
      </c>
      <c r="C22" s="121" t="s">
        <v>380</v>
      </c>
      <c r="D22" s="124" t="str">
        <f>H22&amp;"%*TMĐT *50%"</f>
        <v>0,57%*TMĐT *50%</v>
      </c>
      <c r="E22" s="175">
        <f>H22%*$I$25*0.5</f>
        <v>5493050.0999999996</v>
      </c>
      <c r="F22" s="175"/>
      <c r="G22" s="176">
        <f>ROUND(E22+F22,-3)</f>
        <v>5493000</v>
      </c>
      <c r="H22" s="222">
        <v>0.56999999999999995</v>
      </c>
      <c r="I22" s="212">
        <f>ROUND((K22-((K22-J22)/(L22-M22))*(N22-M22)),6)</f>
        <v>1.8140000000000001E-3</v>
      </c>
      <c r="J22" s="213">
        <v>1.6000000000000001E-3</v>
      </c>
      <c r="K22" s="214">
        <v>1.1000000000000001E-3</v>
      </c>
      <c r="L22" s="215">
        <v>15</v>
      </c>
      <c r="M22" s="215">
        <v>50</v>
      </c>
      <c r="N22" s="216">
        <f>O22/10^9</f>
        <v>1.1922637986530597E-2</v>
      </c>
      <c r="O22" s="217">
        <f>+F14</f>
        <v>11922637.986530596</v>
      </c>
      <c r="P22"/>
      <c r="Q22"/>
    </row>
    <row r="23" spans="1:18" s="116" customFormat="1" ht="18.95" customHeight="1">
      <c r="A23" s="131" t="s">
        <v>194</v>
      </c>
      <c r="B23" s="132" t="s">
        <v>382</v>
      </c>
      <c r="C23" s="121" t="s">
        <v>381</v>
      </c>
      <c r="D23" s="124" t="str">
        <f>H23&amp;"%*TMĐT "</f>
        <v xml:space="preserve">0,96%*TMĐT </v>
      </c>
      <c r="E23" s="175">
        <f>H23%*$I$25</f>
        <v>18502905.599999998</v>
      </c>
      <c r="F23" s="175">
        <f>8%*E23</f>
        <v>1480232.4479999999</v>
      </c>
      <c r="G23" s="176">
        <f>ROUND(E23+F23,-3)</f>
        <v>19983000</v>
      </c>
      <c r="H23" s="222">
        <v>0.96</v>
      </c>
      <c r="I23" s="212">
        <f>ROUND((K23-((K23-J23)/(L23-M23))*(N23-M23)),6)</f>
        <v>6.9350000000000002E-3</v>
      </c>
      <c r="J23" s="213">
        <v>6.45E-3</v>
      </c>
      <c r="K23" s="214">
        <v>4.4999999999999997E-3</v>
      </c>
      <c r="L23" s="215">
        <v>10</v>
      </c>
      <c r="M23" s="215">
        <v>50</v>
      </c>
      <c r="N23" s="216">
        <f>O23/10^9</f>
        <v>5.7909000000000002E-2</v>
      </c>
      <c r="O23" s="217">
        <f>$K$30</f>
        <v>57909000</v>
      </c>
      <c r="P23"/>
      <c r="Q23"/>
    </row>
    <row r="24" spans="1:18" s="116" customFormat="1" ht="18.95" customHeight="1">
      <c r="A24" s="156" t="s">
        <v>386</v>
      </c>
      <c r="B24" s="126" t="s">
        <v>378</v>
      </c>
      <c r="C24" s="127" t="s">
        <v>53</v>
      </c>
      <c r="D24" s="170">
        <v>0.05</v>
      </c>
      <c r="E24" s="173">
        <f>SUM(E25:E26)</f>
        <v>0</v>
      </c>
      <c r="F24" s="173">
        <f>SUM(F25:F25)</f>
        <v>0</v>
      </c>
      <c r="G24" s="174">
        <f>ROUND(D24*(G6+G12+G14+G20),-3)</f>
        <v>93344000</v>
      </c>
      <c r="H24" s="221"/>
      <c r="I24" s="212">
        <f>ROUND((K24-((K24-J24)/(L24-M24))*(N24-M24)),6)</f>
        <v>4.0790000000000002E-3</v>
      </c>
      <c r="J24" s="213">
        <v>3.8999999999999998E-3</v>
      </c>
      <c r="K24" s="214">
        <v>2.8500000000000001E-3</v>
      </c>
      <c r="L24" s="215">
        <v>10</v>
      </c>
      <c r="M24" s="215">
        <v>50</v>
      </c>
      <c r="N24" s="216">
        <f>O24/10^9</f>
        <v>3.198</v>
      </c>
      <c r="O24" s="217">
        <f>I28</f>
        <v>3198000000</v>
      </c>
      <c r="P24"/>
      <c r="Q24"/>
    </row>
    <row r="25" spans="1:18" s="116" customFormat="1" ht="18.95" customHeight="1" thickBot="1">
      <c r="A25" s="158"/>
      <c r="B25" s="159" t="s">
        <v>47</v>
      </c>
      <c r="C25" s="160" t="s">
        <v>48</v>
      </c>
      <c r="D25" s="161"/>
      <c r="E25" s="182"/>
      <c r="F25" s="182"/>
      <c r="G25" s="183">
        <f>ROUND(G6+G10+G12+G14+G20+G24,-3)</f>
        <v>2018645000</v>
      </c>
      <c r="H25" s="221"/>
      <c r="I25" s="149">
        <v>1927386000</v>
      </c>
      <c r="J25" s="149">
        <f>G25-G24</f>
        <v>1925301000</v>
      </c>
      <c r="K25" s="149">
        <v>2480472000</v>
      </c>
      <c r="L25"/>
      <c r="M25"/>
      <c r="N25"/>
      <c r="O25"/>
      <c r="P25"/>
      <c r="Q25"/>
    </row>
    <row r="26" spans="1:18" s="116" customFormat="1" ht="31.5" hidden="1" customHeight="1" thickBot="1">
      <c r="A26" s="150"/>
      <c r="B26" s="151" t="s">
        <v>49</v>
      </c>
      <c r="C26" s="152"/>
      <c r="D26" s="152"/>
      <c r="E26" s="153"/>
      <c r="F26" s="154"/>
      <c r="G26" s="155">
        <f>ROUND(G25,-3)</f>
        <v>2018645000</v>
      </c>
      <c r="H26" s="225"/>
      <c r="J26"/>
      <c r="K26"/>
      <c r="L26"/>
      <c r="M26"/>
      <c r="N26"/>
      <c r="O26"/>
      <c r="P26"/>
      <c r="Q26"/>
    </row>
    <row r="27" spans="1:18" s="116" customFormat="1" ht="23.25" customHeight="1" thickTop="1">
      <c r="A27" s="239" t="str">
        <f>'Chu so'!B1</f>
        <v>(Bằng chữ : Hai tỷ, không trăm mười tám triệu, sáu trăm bốn mươi lăm nghìn đồng./.)</v>
      </c>
      <c r="B27" s="239"/>
      <c r="C27" s="239"/>
      <c r="D27" s="239"/>
      <c r="E27" s="239"/>
      <c r="F27" s="239"/>
      <c r="G27" s="239"/>
      <c r="H27" s="226"/>
      <c r="I27" s="129"/>
      <c r="J27"/>
      <c r="K27"/>
      <c r="L27"/>
      <c r="M27"/>
      <c r="N27"/>
      <c r="O27"/>
      <c r="P27"/>
      <c r="Q27"/>
    </row>
    <row r="28" spans="1:18" s="130" customFormat="1" ht="15.75" customHeight="1">
      <c r="A28" s="115"/>
      <c r="B28" s="115"/>
      <c r="C28" s="115"/>
      <c r="E28" s="240" t="s">
        <v>390</v>
      </c>
      <c r="F28" s="240"/>
      <c r="G28" s="240"/>
      <c r="H28" s="207"/>
      <c r="I28" s="149">
        <v>3198000000</v>
      </c>
      <c r="J28"/>
      <c r="K28" s="166">
        <f>G6</f>
        <v>1622032000</v>
      </c>
      <c r="L28"/>
      <c r="M28"/>
      <c r="N28"/>
      <c r="O28"/>
      <c r="P28"/>
      <c r="Q28"/>
    </row>
    <row r="29" spans="1:18" s="130" customFormat="1" ht="8.25" customHeight="1">
      <c r="A29" s="115"/>
      <c r="B29" s="115"/>
      <c r="C29" s="115"/>
      <c r="E29" s="172"/>
      <c r="F29" s="172"/>
      <c r="G29" s="172"/>
      <c r="H29" s="207"/>
      <c r="I29" s="149"/>
      <c r="J29"/>
      <c r="K29" s="166">
        <f>G10</f>
        <v>58428000</v>
      </c>
      <c r="L29"/>
      <c r="M29"/>
      <c r="N29"/>
      <c r="O29"/>
      <c r="P29"/>
      <c r="Q29"/>
    </row>
    <row r="30" spans="1:18" s="110" customFormat="1" ht="15" customHeight="1">
      <c r="A30" s="241" t="s">
        <v>366</v>
      </c>
      <c r="B30" s="241"/>
      <c r="C30" s="242"/>
      <c r="D30" s="242"/>
      <c r="E30" s="243" t="s">
        <v>367</v>
      </c>
      <c r="F30" s="243"/>
      <c r="G30" s="243"/>
      <c r="H30" s="208"/>
      <c r="I30" s="134"/>
      <c r="J30"/>
      <c r="K30" s="166">
        <f>G12</f>
        <v>57909000</v>
      </c>
      <c r="L30"/>
      <c r="M30"/>
      <c r="N30"/>
      <c r="O30"/>
      <c r="P30"/>
      <c r="Q30"/>
    </row>
    <row r="31" spans="1:18" s="163" customFormat="1" ht="27.75" customHeight="1">
      <c r="A31" s="162"/>
      <c r="C31" s="162"/>
      <c r="I31" s="167">
        <f>I28-G25</f>
        <v>1179355000</v>
      </c>
      <c r="K31" s="167">
        <f>G14</f>
        <v>160956000</v>
      </c>
    </row>
    <row r="32" spans="1:18" s="163" customFormat="1" ht="15" customHeight="1">
      <c r="A32" s="162"/>
      <c r="C32" s="162"/>
      <c r="G32" s="167"/>
      <c r="H32" s="167"/>
      <c r="K32" s="167">
        <f>G20</f>
        <v>25976000</v>
      </c>
    </row>
    <row r="33" spans="1:13" s="163" customFormat="1" ht="21" hidden="1" customHeight="1">
      <c r="A33" s="162"/>
      <c r="C33" s="162"/>
      <c r="K33" s="167" t="e">
        <f>#REF!</f>
        <v>#REF!</v>
      </c>
    </row>
    <row r="34" spans="1:13" s="163" customFormat="1" ht="4.5" hidden="1" customHeight="1">
      <c r="A34" s="162"/>
      <c r="C34" s="162"/>
    </row>
    <row r="35" spans="1:13" s="165" customFormat="1" ht="14.25" hidden="1" customHeight="1">
      <c r="A35" s="164"/>
      <c r="C35" s="244" t="s">
        <v>369</v>
      </c>
      <c r="D35" s="244"/>
    </row>
    <row r="36" spans="1:13" s="165" customFormat="1" ht="24" customHeight="1">
      <c r="A36" s="164"/>
      <c r="C36" s="236"/>
      <c r="D36" s="236"/>
      <c r="G36" s="167"/>
      <c r="H36" s="167"/>
      <c r="K36" s="171">
        <f>G24</f>
        <v>93344000</v>
      </c>
    </row>
    <row r="37" spans="1:13" s="165" customFormat="1" ht="14.25" customHeight="1">
      <c r="A37" s="164"/>
      <c r="C37" s="236"/>
      <c r="D37" s="236"/>
    </row>
    <row r="38" spans="1:13" s="1" customFormat="1" ht="18.75">
      <c r="J38" s="135" t="s">
        <v>355</v>
      </c>
      <c r="K38" s="107">
        <v>13326000</v>
      </c>
      <c r="L38" s="108">
        <f>G20</f>
        <v>25976000</v>
      </c>
      <c r="M38" s="107">
        <f>L38-K38</f>
        <v>12650000</v>
      </c>
    </row>
    <row r="39" spans="1:13" s="1" customFormat="1" ht="18.75">
      <c r="J39" s="135" t="s">
        <v>356</v>
      </c>
      <c r="K39" s="107">
        <v>50763780</v>
      </c>
      <c r="L39" s="108" t="e">
        <f>#REF!</f>
        <v>#REF!</v>
      </c>
      <c r="M39" s="107" t="e">
        <f>L39-K39</f>
        <v>#REF!</v>
      </c>
    </row>
    <row r="40" spans="1:13" s="1" customFormat="1" ht="18.75">
      <c r="J40" s="135" t="s">
        <v>357</v>
      </c>
      <c r="K40" s="108">
        <f>ROUND(K35+K36+K37+K38+K39,-3)</f>
        <v>157434000</v>
      </c>
      <c r="L40" s="108" t="e">
        <f>ROUND(L35+L36+L37+L38+L39,-3)</f>
        <v>#REF!</v>
      </c>
      <c r="M40" s="108" t="e">
        <f>ROUND(M35+M36+M37+M38+M39,-3)</f>
        <v>#REF!</v>
      </c>
    </row>
    <row r="41" spans="1:13" s="1" customFormat="1" ht="15.75"/>
    <row r="42" spans="1:13">
      <c r="F42"/>
    </row>
    <row r="43" spans="1:13">
      <c r="F43"/>
    </row>
    <row r="44" spans="1:13">
      <c r="F44"/>
    </row>
    <row r="45" spans="1:13">
      <c r="F45"/>
    </row>
    <row r="46" spans="1:13">
      <c r="F46"/>
    </row>
    <row r="47" spans="1:13">
      <c r="F47"/>
    </row>
    <row r="48" spans="1:13">
      <c r="F48"/>
    </row>
    <row r="49" spans="6:6">
      <c r="F49"/>
    </row>
  </sheetData>
  <mergeCells count="11">
    <mergeCell ref="C36:D36"/>
    <mergeCell ref="C37:D37"/>
    <mergeCell ref="A1:G1"/>
    <mergeCell ref="A2:G2"/>
    <mergeCell ref="A3:G3"/>
    <mergeCell ref="A27:G27"/>
    <mergeCell ref="E28:G28"/>
    <mergeCell ref="A30:B30"/>
    <mergeCell ref="C30:D30"/>
    <mergeCell ref="E30:G30"/>
    <mergeCell ref="C35:D35"/>
  </mergeCells>
  <phoneticPr fontId="86" type="noConversion"/>
  <printOptions horizontalCentered="1"/>
  <pageMargins left="0.58622047200000005" right="0" top="0.3" bottom="0" header="0.26" footer="0.18"/>
  <pageSetup paperSize="9" scale="90" orientation="landscape" r:id="rId1"/>
  <headerFooter differentFirst="1">
    <oddFooter>&amp;C&amp;"Times New Roman,Regular"&amp;12&amp;P/&amp;N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5"/>
  <sheetViews>
    <sheetView zoomScale="85" zoomScaleNormal="85" workbookViewId="0">
      <selection sqref="A1:XFD1048576"/>
    </sheetView>
  </sheetViews>
  <sheetFormatPr defaultRowHeight="15"/>
  <cols>
    <col min="1" max="1" width="8" style="36" customWidth="1"/>
    <col min="2" max="2" width="29" style="36" customWidth="1"/>
    <col min="3" max="6" width="9.28515625" style="36"/>
    <col min="7" max="7" width="10.28515625" style="36" bestFit="1" customWidth="1"/>
    <col min="8" max="8" width="9.28515625" style="36"/>
    <col min="9" max="9" width="11" style="36" customWidth="1"/>
    <col min="10" max="10" width="12.28515625" style="36" customWidth="1"/>
    <col min="11" max="11" width="9.7109375" style="36" customWidth="1"/>
    <col min="12" max="12" width="10.7109375" style="36" customWidth="1"/>
    <col min="13" max="13" width="9.28515625" style="36"/>
    <col min="14" max="14" width="9.7109375" style="36" customWidth="1"/>
    <col min="15" max="15" width="11.28515625" style="36" customWidth="1"/>
    <col min="16" max="16" width="10.28515625" style="36" customWidth="1"/>
    <col min="17" max="17" width="10" style="36" customWidth="1"/>
    <col min="18" max="256" width="9.28515625" style="36"/>
    <col min="257" max="257" width="8" style="36" customWidth="1"/>
    <col min="258" max="258" width="29" style="36" customWidth="1"/>
    <col min="259" max="262" width="9.28515625" style="36"/>
    <col min="263" max="263" width="10.28515625" style="36" bestFit="1" customWidth="1"/>
    <col min="264" max="264" width="9.28515625" style="36"/>
    <col min="265" max="265" width="11" style="36" customWidth="1"/>
    <col min="266" max="266" width="12.28515625" style="36" customWidth="1"/>
    <col min="267" max="267" width="9.7109375" style="36" customWidth="1"/>
    <col min="268" max="268" width="10.7109375" style="36" customWidth="1"/>
    <col min="269" max="269" width="9.28515625" style="36"/>
    <col min="270" max="270" width="9.7109375" style="36" customWidth="1"/>
    <col min="271" max="271" width="11.28515625" style="36" customWidth="1"/>
    <col min="272" max="272" width="10.28515625" style="36" customWidth="1"/>
    <col min="273" max="273" width="10" style="36" customWidth="1"/>
    <col min="274" max="512" width="9.28515625" style="36"/>
    <col min="513" max="513" width="8" style="36" customWidth="1"/>
    <col min="514" max="514" width="29" style="36" customWidth="1"/>
    <col min="515" max="518" width="9.28515625" style="36"/>
    <col min="519" max="519" width="10.28515625" style="36" bestFit="1" customWidth="1"/>
    <col min="520" max="520" width="9.28515625" style="36"/>
    <col min="521" max="521" width="11" style="36" customWidth="1"/>
    <col min="522" max="522" width="12.28515625" style="36" customWidth="1"/>
    <col min="523" max="523" width="9.7109375" style="36" customWidth="1"/>
    <col min="524" max="524" width="10.7109375" style="36" customWidth="1"/>
    <col min="525" max="525" width="9.28515625" style="36"/>
    <col min="526" max="526" width="9.7109375" style="36" customWidth="1"/>
    <col min="527" max="527" width="11.28515625" style="36" customWidth="1"/>
    <col min="528" max="528" width="10.28515625" style="36" customWidth="1"/>
    <col min="529" max="529" width="10" style="36" customWidth="1"/>
    <col min="530" max="768" width="9.28515625" style="36"/>
    <col min="769" max="769" width="8" style="36" customWidth="1"/>
    <col min="770" max="770" width="29" style="36" customWidth="1"/>
    <col min="771" max="774" width="9.28515625" style="36"/>
    <col min="775" max="775" width="10.28515625" style="36" bestFit="1" customWidth="1"/>
    <col min="776" max="776" width="9.28515625" style="36"/>
    <col min="777" max="777" width="11" style="36" customWidth="1"/>
    <col min="778" max="778" width="12.28515625" style="36" customWidth="1"/>
    <col min="779" max="779" width="9.7109375" style="36" customWidth="1"/>
    <col min="780" max="780" width="10.7109375" style="36" customWidth="1"/>
    <col min="781" max="781" width="9.28515625" style="36"/>
    <col min="782" max="782" width="9.7109375" style="36" customWidth="1"/>
    <col min="783" max="783" width="11.28515625" style="36" customWidth="1"/>
    <col min="784" max="784" width="10.28515625" style="36" customWidth="1"/>
    <col min="785" max="785" width="10" style="36" customWidth="1"/>
    <col min="786" max="1024" width="9.28515625" style="36"/>
    <col min="1025" max="1025" width="8" style="36" customWidth="1"/>
    <col min="1026" max="1026" width="29" style="36" customWidth="1"/>
    <col min="1027" max="1030" width="9.28515625" style="36"/>
    <col min="1031" max="1031" width="10.28515625" style="36" bestFit="1" customWidth="1"/>
    <col min="1032" max="1032" width="9.28515625" style="36"/>
    <col min="1033" max="1033" width="11" style="36" customWidth="1"/>
    <col min="1034" max="1034" width="12.28515625" style="36" customWidth="1"/>
    <col min="1035" max="1035" width="9.7109375" style="36" customWidth="1"/>
    <col min="1036" max="1036" width="10.7109375" style="36" customWidth="1"/>
    <col min="1037" max="1037" width="9.28515625" style="36"/>
    <col min="1038" max="1038" width="9.7109375" style="36" customWidth="1"/>
    <col min="1039" max="1039" width="11.28515625" style="36" customWidth="1"/>
    <col min="1040" max="1040" width="10.28515625" style="36" customWidth="1"/>
    <col min="1041" max="1041" width="10" style="36" customWidth="1"/>
    <col min="1042" max="1280" width="9.28515625" style="36"/>
    <col min="1281" max="1281" width="8" style="36" customWidth="1"/>
    <col min="1282" max="1282" width="29" style="36" customWidth="1"/>
    <col min="1283" max="1286" width="9.28515625" style="36"/>
    <col min="1287" max="1287" width="10.28515625" style="36" bestFit="1" customWidth="1"/>
    <col min="1288" max="1288" width="9.28515625" style="36"/>
    <col min="1289" max="1289" width="11" style="36" customWidth="1"/>
    <col min="1290" max="1290" width="12.28515625" style="36" customWidth="1"/>
    <col min="1291" max="1291" width="9.7109375" style="36" customWidth="1"/>
    <col min="1292" max="1292" width="10.7109375" style="36" customWidth="1"/>
    <col min="1293" max="1293" width="9.28515625" style="36"/>
    <col min="1294" max="1294" width="9.7109375" style="36" customWidth="1"/>
    <col min="1295" max="1295" width="11.28515625" style="36" customWidth="1"/>
    <col min="1296" max="1296" width="10.28515625" style="36" customWidth="1"/>
    <col min="1297" max="1297" width="10" style="36" customWidth="1"/>
    <col min="1298" max="1536" width="9.28515625" style="36"/>
    <col min="1537" max="1537" width="8" style="36" customWidth="1"/>
    <col min="1538" max="1538" width="29" style="36" customWidth="1"/>
    <col min="1539" max="1542" width="9.28515625" style="36"/>
    <col min="1543" max="1543" width="10.28515625" style="36" bestFit="1" customWidth="1"/>
    <col min="1544" max="1544" width="9.28515625" style="36"/>
    <col min="1545" max="1545" width="11" style="36" customWidth="1"/>
    <col min="1546" max="1546" width="12.28515625" style="36" customWidth="1"/>
    <col min="1547" max="1547" width="9.7109375" style="36" customWidth="1"/>
    <col min="1548" max="1548" width="10.7109375" style="36" customWidth="1"/>
    <col min="1549" max="1549" width="9.28515625" style="36"/>
    <col min="1550" max="1550" width="9.7109375" style="36" customWidth="1"/>
    <col min="1551" max="1551" width="11.28515625" style="36" customWidth="1"/>
    <col min="1552" max="1552" width="10.28515625" style="36" customWidth="1"/>
    <col min="1553" max="1553" width="10" style="36" customWidth="1"/>
    <col min="1554" max="1792" width="9.28515625" style="36"/>
    <col min="1793" max="1793" width="8" style="36" customWidth="1"/>
    <col min="1794" max="1794" width="29" style="36" customWidth="1"/>
    <col min="1795" max="1798" width="9.28515625" style="36"/>
    <col min="1799" max="1799" width="10.28515625" style="36" bestFit="1" customWidth="1"/>
    <col min="1800" max="1800" width="9.28515625" style="36"/>
    <col min="1801" max="1801" width="11" style="36" customWidth="1"/>
    <col min="1802" max="1802" width="12.28515625" style="36" customWidth="1"/>
    <col min="1803" max="1803" width="9.7109375" style="36" customWidth="1"/>
    <col min="1804" max="1804" width="10.7109375" style="36" customWidth="1"/>
    <col min="1805" max="1805" width="9.28515625" style="36"/>
    <col min="1806" max="1806" width="9.7109375" style="36" customWidth="1"/>
    <col min="1807" max="1807" width="11.28515625" style="36" customWidth="1"/>
    <col min="1808" max="1808" width="10.28515625" style="36" customWidth="1"/>
    <col min="1809" max="1809" width="10" style="36" customWidth="1"/>
    <col min="1810" max="2048" width="9.28515625" style="36"/>
    <col min="2049" max="2049" width="8" style="36" customWidth="1"/>
    <col min="2050" max="2050" width="29" style="36" customWidth="1"/>
    <col min="2051" max="2054" width="9.28515625" style="36"/>
    <col min="2055" max="2055" width="10.28515625" style="36" bestFit="1" customWidth="1"/>
    <col min="2056" max="2056" width="9.28515625" style="36"/>
    <col min="2057" max="2057" width="11" style="36" customWidth="1"/>
    <col min="2058" max="2058" width="12.28515625" style="36" customWidth="1"/>
    <col min="2059" max="2059" width="9.7109375" style="36" customWidth="1"/>
    <col min="2060" max="2060" width="10.7109375" style="36" customWidth="1"/>
    <col min="2061" max="2061" width="9.28515625" style="36"/>
    <col min="2062" max="2062" width="9.7109375" style="36" customWidth="1"/>
    <col min="2063" max="2063" width="11.28515625" style="36" customWidth="1"/>
    <col min="2064" max="2064" width="10.28515625" style="36" customWidth="1"/>
    <col min="2065" max="2065" width="10" style="36" customWidth="1"/>
    <col min="2066" max="2304" width="9.28515625" style="36"/>
    <col min="2305" max="2305" width="8" style="36" customWidth="1"/>
    <col min="2306" max="2306" width="29" style="36" customWidth="1"/>
    <col min="2307" max="2310" width="9.28515625" style="36"/>
    <col min="2311" max="2311" width="10.28515625" style="36" bestFit="1" customWidth="1"/>
    <col min="2312" max="2312" width="9.28515625" style="36"/>
    <col min="2313" max="2313" width="11" style="36" customWidth="1"/>
    <col min="2314" max="2314" width="12.28515625" style="36" customWidth="1"/>
    <col min="2315" max="2315" width="9.7109375" style="36" customWidth="1"/>
    <col min="2316" max="2316" width="10.7109375" style="36" customWidth="1"/>
    <col min="2317" max="2317" width="9.28515625" style="36"/>
    <col min="2318" max="2318" width="9.7109375" style="36" customWidth="1"/>
    <col min="2319" max="2319" width="11.28515625" style="36" customWidth="1"/>
    <col min="2320" max="2320" width="10.28515625" style="36" customWidth="1"/>
    <col min="2321" max="2321" width="10" style="36" customWidth="1"/>
    <col min="2322" max="2560" width="9.28515625" style="36"/>
    <col min="2561" max="2561" width="8" style="36" customWidth="1"/>
    <col min="2562" max="2562" width="29" style="36" customWidth="1"/>
    <col min="2563" max="2566" width="9.28515625" style="36"/>
    <col min="2567" max="2567" width="10.28515625" style="36" bestFit="1" customWidth="1"/>
    <col min="2568" max="2568" width="9.28515625" style="36"/>
    <col min="2569" max="2569" width="11" style="36" customWidth="1"/>
    <col min="2570" max="2570" width="12.28515625" style="36" customWidth="1"/>
    <col min="2571" max="2571" width="9.7109375" style="36" customWidth="1"/>
    <col min="2572" max="2572" width="10.7109375" style="36" customWidth="1"/>
    <col min="2573" max="2573" width="9.28515625" style="36"/>
    <col min="2574" max="2574" width="9.7109375" style="36" customWidth="1"/>
    <col min="2575" max="2575" width="11.28515625" style="36" customWidth="1"/>
    <col min="2576" max="2576" width="10.28515625" style="36" customWidth="1"/>
    <col min="2577" max="2577" width="10" style="36" customWidth="1"/>
    <col min="2578" max="2816" width="9.28515625" style="36"/>
    <col min="2817" max="2817" width="8" style="36" customWidth="1"/>
    <col min="2818" max="2818" width="29" style="36" customWidth="1"/>
    <col min="2819" max="2822" width="9.28515625" style="36"/>
    <col min="2823" max="2823" width="10.28515625" style="36" bestFit="1" customWidth="1"/>
    <col min="2824" max="2824" width="9.28515625" style="36"/>
    <col min="2825" max="2825" width="11" style="36" customWidth="1"/>
    <col min="2826" max="2826" width="12.28515625" style="36" customWidth="1"/>
    <col min="2827" max="2827" width="9.7109375" style="36" customWidth="1"/>
    <col min="2828" max="2828" width="10.7109375" style="36" customWidth="1"/>
    <col min="2829" max="2829" width="9.28515625" style="36"/>
    <col min="2830" max="2830" width="9.7109375" style="36" customWidth="1"/>
    <col min="2831" max="2831" width="11.28515625" style="36" customWidth="1"/>
    <col min="2832" max="2832" width="10.28515625" style="36" customWidth="1"/>
    <col min="2833" max="2833" width="10" style="36" customWidth="1"/>
    <col min="2834" max="3072" width="9.28515625" style="36"/>
    <col min="3073" max="3073" width="8" style="36" customWidth="1"/>
    <col min="3074" max="3074" width="29" style="36" customWidth="1"/>
    <col min="3075" max="3078" width="9.28515625" style="36"/>
    <col min="3079" max="3079" width="10.28515625" style="36" bestFit="1" customWidth="1"/>
    <col min="3080" max="3080" width="9.28515625" style="36"/>
    <col min="3081" max="3081" width="11" style="36" customWidth="1"/>
    <col min="3082" max="3082" width="12.28515625" style="36" customWidth="1"/>
    <col min="3083" max="3083" width="9.7109375" style="36" customWidth="1"/>
    <col min="3084" max="3084" width="10.7109375" style="36" customWidth="1"/>
    <col min="3085" max="3085" width="9.28515625" style="36"/>
    <col min="3086" max="3086" width="9.7109375" style="36" customWidth="1"/>
    <col min="3087" max="3087" width="11.28515625" style="36" customWidth="1"/>
    <col min="3088" max="3088" width="10.28515625" style="36" customWidth="1"/>
    <col min="3089" max="3089" width="10" style="36" customWidth="1"/>
    <col min="3090" max="3328" width="9.28515625" style="36"/>
    <col min="3329" max="3329" width="8" style="36" customWidth="1"/>
    <col min="3330" max="3330" width="29" style="36" customWidth="1"/>
    <col min="3331" max="3334" width="9.28515625" style="36"/>
    <col min="3335" max="3335" width="10.28515625" style="36" bestFit="1" customWidth="1"/>
    <col min="3336" max="3336" width="9.28515625" style="36"/>
    <col min="3337" max="3337" width="11" style="36" customWidth="1"/>
    <col min="3338" max="3338" width="12.28515625" style="36" customWidth="1"/>
    <col min="3339" max="3339" width="9.7109375" style="36" customWidth="1"/>
    <col min="3340" max="3340" width="10.7109375" style="36" customWidth="1"/>
    <col min="3341" max="3341" width="9.28515625" style="36"/>
    <col min="3342" max="3342" width="9.7109375" style="36" customWidth="1"/>
    <col min="3343" max="3343" width="11.28515625" style="36" customWidth="1"/>
    <col min="3344" max="3344" width="10.28515625" style="36" customWidth="1"/>
    <col min="3345" max="3345" width="10" style="36" customWidth="1"/>
    <col min="3346" max="3584" width="9.28515625" style="36"/>
    <col min="3585" max="3585" width="8" style="36" customWidth="1"/>
    <col min="3586" max="3586" width="29" style="36" customWidth="1"/>
    <col min="3587" max="3590" width="9.28515625" style="36"/>
    <col min="3591" max="3591" width="10.28515625" style="36" bestFit="1" customWidth="1"/>
    <col min="3592" max="3592" width="9.28515625" style="36"/>
    <col min="3593" max="3593" width="11" style="36" customWidth="1"/>
    <col min="3594" max="3594" width="12.28515625" style="36" customWidth="1"/>
    <col min="3595" max="3595" width="9.7109375" style="36" customWidth="1"/>
    <col min="3596" max="3596" width="10.7109375" style="36" customWidth="1"/>
    <col min="3597" max="3597" width="9.28515625" style="36"/>
    <col min="3598" max="3598" width="9.7109375" style="36" customWidth="1"/>
    <col min="3599" max="3599" width="11.28515625" style="36" customWidth="1"/>
    <col min="3600" max="3600" width="10.28515625" style="36" customWidth="1"/>
    <col min="3601" max="3601" width="10" style="36" customWidth="1"/>
    <col min="3602" max="3840" width="9.28515625" style="36"/>
    <col min="3841" max="3841" width="8" style="36" customWidth="1"/>
    <col min="3842" max="3842" width="29" style="36" customWidth="1"/>
    <col min="3843" max="3846" width="9.28515625" style="36"/>
    <col min="3847" max="3847" width="10.28515625" style="36" bestFit="1" customWidth="1"/>
    <col min="3848" max="3848" width="9.28515625" style="36"/>
    <col min="3849" max="3849" width="11" style="36" customWidth="1"/>
    <col min="3850" max="3850" width="12.28515625" style="36" customWidth="1"/>
    <col min="3851" max="3851" width="9.7109375" style="36" customWidth="1"/>
    <col min="3852" max="3852" width="10.7109375" style="36" customWidth="1"/>
    <col min="3853" max="3853" width="9.28515625" style="36"/>
    <col min="3854" max="3854" width="9.7109375" style="36" customWidth="1"/>
    <col min="3855" max="3855" width="11.28515625" style="36" customWidth="1"/>
    <col min="3856" max="3856" width="10.28515625" style="36" customWidth="1"/>
    <col min="3857" max="3857" width="10" style="36" customWidth="1"/>
    <col min="3858" max="4096" width="9.28515625" style="36"/>
    <col min="4097" max="4097" width="8" style="36" customWidth="1"/>
    <col min="4098" max="4098" width="29" style="36" customWidth="1"/>
    <col min="4099" max="4102" width="9.28515625" style="36"/>
    <col min="4103" max="4103" width="10.28515625" style="36" bestFit="1" customWidth="1"/>
    <col min="4104" max="4104" width="9.28515625" style="36"/>
    <col min="4105" max="4105" width="11" style="36" customWidth="1"/>
    <col min="4106" max="4106" width="12.28515625" style="36" customWidth="1"/>
    <col min="4107" max="4107" width="9.7109375" style="36" customWidth="1"/>
    <col min="4108" max="4108" width="10.7109375" style="36" customWidth="1"/>
    <col min="4109" max="4109" width="9.28515625" style="36"/>
    <col min="4110" max="4110" width="9.7109375" style="36" customWidth="1"/>
    <col min="4111" max="4111" width="11.28515625" style="36" customWidth="1"/>
    <col min="4112" max="4112" width="10.28515625" style="36" customWidth="1"/>
    <col min="4113" max="4113" width="10" style="36" customWidth="1"/>
    <col min="4114" max="4352" width="9.28515625" style="36"/>
    <col min="4353" max="4353" width="8" style="36" customWidth="1"/>
    <col min="4354" max="4354" width="29" style="36" customWidth="1"/>
    <col min="4355" max="4358" width="9.28515625" style="36"/>
    <col min="4359" max="4359" width="10.28515625" style="36" bestFit="1" customWidth="1"/>
    <col min="4360" max="4360" width="9.28515625" style="36"/>
    <col min="4361" max="4361" width="11" style="36" customWidth="1"/>
    <col min="4362" max="4362" width="12.28515625" style="36" customWidth="1"/>
    <col min="4363" max="4363" width="9.7109375" style="36" customWidth="1"/>
    <col min="4364" max="4364" width="10.7109375" style="36" customWidth="1"/>
    <col min="4365" max="4365" width="9.28515625" style="36"/>
    <col min="4366" max="4366" width="9.7109375" style="36" customWidth="1"/>
    <col min="4367" max="4367" width="11.28515625" style="36" customWidth="1"/>
    <col min="4368" max="4368" width="10.28515625" style="36" customWidth="1"/>
    <col min="4369" max="4369" width="10" style="36" customWidth="1"/>
    <col min="4370" max="4608" width="9.28515625" style="36"/>
    <col min="4609" max="4609" width="8" style="36" customWidth="1"/>
    <col min="4610" max="4610" width="29" style="36" customWidth="1"/>
    <col min="4611" max="4614" width="9.28515625" style="36"/>
    <col min="4615" max="4615" width="10.28515625" style="36" bestFit="1" customWidth="1"/>
    <col min="4616" max="4616" width="9.28515625" style="36"/>
    <col min="4617" max="4617" width="11" style="36" customWidth="1"/>
    <col min="4618" max="4618" width="12.28515625" style="36" customWidth="1"/>
    <col min="4619" max="4619" width="9.7109375" style="36" customWidth="1"/>
    <col min="4620" max="4620" width="10.7109375" style="36" customWidth="1"/>
    <col min="4621" max="4621" width="9.28515625" style="36"/>
    <col min="4622" max="4622" width="9.7109375" style="36" customWidth="1"/>
    <col min="4623" max="4623" width="11.28515625" style="36" customWidth="1"/>
    <col min="4624" max="4624" width="10.28515625" style="36" customWidth="1"/>
    <col min="4625" max="4625" width="10" style="36" customWidth="1"/>
    <col min="4626" max="4864" width="9.28515625" style="36"/>
    <col min="4865" max="4865" width="8" style="36" customWidth="1"/>
    <col min="4866" max="4866" width="29" style="36" customWidth="1"/>
    <col min="4867" max="4870" width="9.28515625" style="36"/>
    <col min="4871" max="4871" width="10.28515625" style="36" bestFit="1" customWidth="1"/>
    <col min="4872" max="4872" width="9.28515625" style="36"/>
    <col min="4873" max="4873" width="11" style="36" customWidth="1"/>
    <col min="4874" max="4874" width="12.28515625" style="36" customWidth="1"/>
    <col min="4875" max="4875" width="9.7109375" style="36" customWidth="1"/>
    <col min="4876" max="4876" width="10.7109375" style="36" customWidth="1"/>
    <col min="4877" max="4877" width="9.28515625" style="36"/>
    <col min="4878" max="4878" width="9.7109375" style="36" customWidth="1"/>
    <col min="4879" max="4879" width="11.28515625" style="36" customWidth="1"/>
    <col min="4880" max="4880" width="10.28515625" style="36" customWidth="1"/>
    <col min="4881" max="4881" width="10" style="36" customWidth="1"/>
    <col min="4882" max="5120" width="9.28515625" style="36"/>
    <col min="5121" max="5121" width="8" style="36" customWidth="1"/>
    <col min="5122" max="5122" width="29" style="36" customWidth="1"/>
    <col min="5123" max="5126" width="9.28515625" style="36"/>
    <col min="5127" max="5127" width="10.28515625" style="36" bestFit="1" customWidth="1"/>
    <col min="5128" max="5128" width="9.28515625" style="36"/>
    <col min="5129" max="5129" width="11" style="36" customWidth="1"/>
    <col min="5130" max="5130" width="12.28515625" style="36" customWidth="1"/>
    <col min="5131" max="5131" width="9.7109375" style="36" customWidth="1"/>
    <col min="5132" max="5132" width="10.7109375" style="36" customWidth="1"/>
    <col min="5133" max="5133" width="9.28515625" style="36"/>
    <col min="5134" max="5134" width="9.7109375" style="36" customWidth="1"/>
    <col min="5135" max="5135" width="11.28515625" style="36" customWidth="1"/>
    <col min="5136" max="5136" width="10.28515625" style="36" customWidth="1"/>
    <col min="5137" max="5137" width="10" style="36" customWidth="1"/>
    <col min="5138" max="5376" width="9.28515625" style="36"/>
    <col min="5377" max="5377" width="8" style="36" customWidth="1"/>
    <col min="5378" max="5378" width="29" style="36" customWidth="1"/>
    <col min="5379" max="5382" width="9.28515625" style="36"/>
    <col min="5383" max="5383" width="10.28515625" style="36" bestFit="1" customWidth="1"/>
    <col min="5384" max="5384" width="9.28515625" style="36"/>
    <col min="5385" max="5385" width="11" style="36" customWidth="1"/>
    <col min="5386" max="5386" width="12.28515625" style="36" customWidth="1"/>
    <col min="5387" max="5387" width="9.7109375" style="36" customWidth="1"/>
    <col min="5388" max="5388" width="10.7109375" style="36" customWidth="1"/>
    <col min="5389" max="5389" width="9.28515625" style="36"/>
    <col min="5390" max="5390" width="9.7109375" style="36" customWidth="1"/>
    <col min="5391" max="5391" width="11.28515625" style="36" customWidth="1"/>
    <col min="5392" max="5392" width="10.28515625" style="36" customWidth="1"/>
    <col min="5393" max="5393" width="10" style="36" customWidth="1"/>
    <col min="5394" max="5632" width="9.28515625" style="36"/>
    <col min="5633" max="5633" width="8" style="36" customWidth="1"/>
    <col min="5634" max="5634" width="29" style="36" customWidth="1"/>
    <col min="5635" max="5638" width="9.28515625" style="36"/>
    <col min="5639" max="5639" width="10.28515625" style="36" bestFit="1" customWidth="1"/>
    <col min="5640" max="5640" width="9.28515625" style="36"/>
    <col min="5641" max="5641" width="11" style="36" customWidth="1"/>
    <col min="5642" max="5642" width="12.28515625" style="36" customWidth="1"/>
    <col min="5643" max="5643" width="9.7109375" style="36" customWidth="1"/>
    <col min="5644" max="5644" width="10.7109375" style="36" customWidth="1"/>
    <col min="5645" max="5645" width="9.28515625" style="36"/>
    <col min="5646" max="5646" width="9.7109375" style="36" customWidth="1"/>
    <col min="5647" max="5647" width="11.28515625" style="36" customWidth="1"/>
    <col min="5648" max="5648" width="10.28515625" style="36" customWidth="1"/>
    <col min="5649" max="5649" width="10" style="36" customWidth="1"/>
    <col min="5650" max="5888" width="9.28515625" style="36"/>
    <col min="5889" max="5889" width="8" style="36" customWidth="1"/>
    <col min="5890" max="5890" width="29" style="36" customWidth="1"/>
    <col min="5891" max="5894" width="9.28515625" style="36"/>
    <col min="5895" max="5895" width="10.28515625" style="36" bestFit="1" customWidth="1"/>
    <col min="5896" max="5896" width="9.28515625" style="36"/>
    <col min="5897" max="5897" width="11" style="36" customWidth="1"/>
    <col min="5898" max="5898" width="12.28515625" style="36" customWidth="1"/>
    <col min="5899" max="5899" width="9.7109375" style="36" customWidth="1"/>
    <col min="5900" max="5900" width="10.7109375" style="36" customWidth="1"/>
    <col min="5901" max="5901" width="9.28515625" style="36"/>
    <col min="5902" max="5902" width="9.7109375" style="36" customWidth="1"/>
    <col min="5903" max="5903" width="11.28515625" style="36" customWidth="1"/>
    <col min="5904" max="5904" width="10.28515625" style="36" customWidth="1"/>
    <col min="5905" max="5905" width="10" style="36" customWidth="1"/>
    <col min="5906" max="6144" width="9.28515625" style="36"/>
    <col min="6145" max="6145" width="8" style="36" customWidth="1"/>
    <col min="6146" max="6146" width="29" style="36" customWidth="1"/>
    <col min="6147" max="6150" width="9.28515625" style="36"/>
    <col min="6151" max="6151" width="10.28515625" style="36" bestFit="1" customWidth="1"/>
    <col min="6152" max="6152" width="9.28515625" style="36"/>
    <col min="6153" max="6153" width="11" style="36" customWidth="1"/>
    <col min="6154" max="6154" width="12.28515625" style="36" customWidth="1"/>
    <col min="6155" max="6155" width="9.7109375" style="36" customWidth="1"/>
    <col min="6156" max="6156" width="10.7109375" style="36" customWidth="1"/>
    <col min="6157" max="6157" width="9.28515625" style="36"/>
    <col min="6158" max="6158" width="9.7109375" style="36" customWidth="1"/>
    <col min="6159" max="6159" width="11.28515625" style="36" customWidth="1"/>
    <col min="6160" max="6160" width="10.28515625" style="36" customWidth="1"/>
    <col min="6161" max="6161" width="10" style="36" customWidth="1"/>
    <col min="6162" max="6400" width="9.28515625" style="36"/>
    <col min="6401" max="6401" width="8" style="36" customWidth="1"/>
    <col min="6402" max="6402" width="29" style="36" customWidth="1"/>
    <col min="6403" max="6406" width="9.28515625" style="36"/>
    <col min="6407" max="6407" width="10.28515625" style="36" bestFit="1" customWidth="1"/>
    <col min="6408" max="6408" width="9.28515625" style="36"/>
    <col min="6409" max="6409" width="11" style="36" customWidth="1"/>
    <col min="6410" max="6410" width="12.28515625" style="36" customWidth="1"/>
    <col min="6411" max="6411" width="9.7109375" style="36" customWidth="1"/>
    <col min="6412" max="6412" width="10.7109375" style="36" customWidth="1"/>
    <col min="6413" max="6413" width="9.28515625" style="36"/>
    <col min="6414" max="6414" width="9.7109375" style="36" customWidth="1"/>
    <col min="6415" max="6415" width="11.28515625" style="36" customWidth="1"/>
    <col min="6416" max="6416" width="10.28515625" style="36" customWidth="1"/>
    <col min="6417" max="6417" width="10" style="36" customWidth="1"/>
    <col min="6418" max="6656" width="9.28515625" style="36"/>
    <col min="6657" max="6657" width="8" style="36" customWidth="1"/>
    <col min="6658" max="6658" width="29" style="36" customWidth="1"/>
    <col min="6659" max="6662" width="9.28515625" style="36"/>
    <col min="6663" max="6663" width="10.28515625" style="36" bestFit="1" customWidth="1"/>
    <col min="6664" max="6664" width="9.28515625" style="36"/>
    <col min="6665" max="6665" width="11" style="36" customWidth="1"/>
    <col min="6666" max="6666" width="12.28515625" style="36" customWidth="1"/>
    <col min="6667" max="6667" width="9.7109375" style="36" customWidth="1"/>
    <col min="6668" max="6668" width="10.7109375" style="36" customWidth="1"/>
    <col min="6669" max="6669" width="9.28515625" style="36"/>
    <col min="6670" max="6670" width="9.7109375" style="36" customWidth="1"/>
    <col min="6671" max="6671" width="11.28515625" style="36" customWidth="1"/>
    <col min="6672" max="6672" width="10.28515625" style="36" customWidth="1"/>
    <col min="6673" max="6673" width="10" style="36" customWidth="1"/>
    <col min="6674" max="6912" width="9.28515625" style="36"/>
    <col min="6913" max="6913" width="8" style="36" customWidth="1"/>
    <col min="6914" max="6914" width="29" style="36" customWidth="1"/>
    <col min="6915" max="6918" width="9.28515625" style="36"/>
    <col min="6919" max="6919" width="10.28515625" style="36" bestFit="1" customWidth="1"/>
    <col min="6920" max="6920" width="9.28515625" style="36"/>
    <col min="6921" max="6921" width="11" style="36" customWidth="1"/>
    <col min="6922" max="6922" width="12.28515625" style="36" customWidth="1"/>
    <col min="6923" max="6923" width="9.7109375" style="36" customWidth="1"/>
    <col min="6924" max="6924" width="10.7109375" style="36" customWidth="1"/>
    <col min="6925" max="6925" width="9.28515625" style="36"/>
    <col min="6926" max="6926" width="9.7109375" style="36" customWidth="1"/>
    <col min="6927" max="6927" width="11.28515625" style="36" customWidth="1"/>
    <col min="6928" max="6928" width="10.28515625" style="36" customWidth="1"/>
    <col min="6929" max="6929" width="10" style="36" customWidth="1"/>
    <col min="6930" max="7168" width="9.28515625" style="36"/>
    <col min="7169" max="7169" width="8" style="36" customWidth="1"/>
    <col min="7170" max="7170" width="29" style="36" customWidth="1"/>
    <col min="7171" max="7174" width="9.28515625" style="36"/>
    <col min="7175" max="7175" width="10.28515625" style="36" bestFit="1" customWidth="1"/>
    <col min="7176" max="7176" width="9.28515625" style="36"/>
    <col min="7177" max="7177" width="11" style="36" customWidth="1"/>
    <col min="7178" max="7178" width="12.28515625" style="36" customWidth="1"/>
    <col min="7179" max="7179" width="9.7109375" style="36" customWidth="1"/>
    <col min="7180" max="7180" width="10.7109375" style="36" customWidth="1"/>
    <col min="7181" max="7181" width="9.28515625" style="36"/>
    <col min="7182" max="7182" width="9.7109375" style="36" customWidth="1"/>
    <col min="7183" max="7183" width="11.28515625" style="36" customWidth="1"/>
    <col min="7184" max="7184" width="10.28515625" style="36" customWidth="1"/>
    <col min="7185" max="7185" width="10" style="36" customWidth="1"/>
    <col min="7186" max="7424" width="9.28515625" style="36"/>
    <col min="7425" max="7425" width="8" style="36" customWidth="1"/>
    <col min="7426" max="7426" width="29" style="36" customWidth="1"/>
    <col min="7427" max="7430" width="9.28515625" style="36"/>
    <col min="7431" max="7431" width="10.28515625" style="36" bestFit="1" customWidth="1"/>
    <col min="7432" max="7432" width="9.28515625" style="36"/>
    <col min="7433" max="7433" width="11" style="36" customWidth="1"/>
    <col min="7434" max="7434" width="12.28515625" style="36" customWidth="1"/>
    <col min="7435" max="7435" width="9.7109375" style="36" customWidth="1"/>
    <col min="7436" max="7436" width="10.7109375" style="36" customWidth="1"/>
    <col min="7437" max="7437" width="9.28515625" style="36"/>
    <col min="7438" max="7438" width="9.7109375" style="36" customWidth="1"/>
    <col min="7439" max="7439" width="11.28515625" style="36" customWidth="1"/>
    <col min="7440" max="7440" width="10.28515625" style="36" customWidth="1"/>
    <col min="7441" max="7441" width="10" style="36" customWidth="1"/>
    <col min="7442" max="7680" width="9.28515625" style="36"/>
    <col min="7681" max="7681" width="8" style="36" customWidth="1"/>
    <col min="7682" max="7682" width="29" style="36" customWidth="1"/>
    <col min="7683" max="7686" width="9.28515625" style="36"/>
    <col min="7687" max="7687" width="10.28515625" style="36" bestFit="1" customWidth="1"/>
    <col min="7688" max="7688" width="9.28515625" style="36"/>
    <col min="7689" max="7689" width="11" style="36" customWidth="1"/>
    <col min="7690" max="7690" width="12.28515625" style="36" customWidth="1"/>
    <col min="7691" max="7691" width="9.7109375" style="36" customWidth="1"/>
    <col min="7692" max="7692" width="10.7109375" style="36" customWidth="1"/>
    <col min="7693" max="7693" width="9.28515625" style="36"/>
    <col min="7694" max="7694" width="9.7109375" style="36" customWidth="1"/>
    <col min="7695" max="7695" width="11.28515625" style="36" customWidth="1"/>
    <col min="7696" max="7696" width="10.28515625" style="36" customWidth="1"/>
    <col min="7697" max="7697" width="10" style="36" customWidth="1"/>
    <col min="7698" max="7936" width="9.28515625" style="36"/>
    <col min="7937" max="7937" width="8" style="36" customWidth="1"/>
    <col min="7938" max="7938" width="29" style="36" customWidth="1"/>
    <col min="7939" max="7942" width="9.28515625" style="36"/>
    <col min="7943" max="7943" width="10.28515625" style="36" bestFit="1" customWidth="1"/>
    <col min="7944" max="7944" width="9.28515625" style="36"/>
    <col min="7945" max="7945" width="11" style="36" customWidth="1"/>
    <col min="7946" max="7946" width="12.28515625" style="36" customWidth="1"/>
    <col min="7947" max="7947" width="9.7109375" style="36" customWidth="1"/>
    <col min="7948" max="7948" width="10.7109375" style="36" customWidth="1"/>
    <col min="7949" max="7949" width="9.28515625" style="36"/>
    <col min="7950" max="7950" width="9.7109375" style="36" customWidth="1"/>
    <col min="7951" max="7951" width="11.28515625" style="36" customWidth="1"/>
    <col min="7952" max="7952" width="10.28515625" style="36" customWidth="1"/>
    <col min="7953" max="7953" width="10" style="36" customWidth="1"/>
    <col min="7954" max="8192" width="9.28515625" style="36"/>
    <col min="8193" max="8193" width="8" style="36" customWidth="1"/>
    <col min="8194" max="8194" width="29" style="36" customWidth="1"/>
    <col min="8195" max="8198" width="9.28515625" style="36"/>
    <col min="8199" max="8199" width="10.28515625" style="36" bestFit="1" customWidth="1"/>
    <col min="8200" max="8200" width="9.28515625" style="36"/>
    <col min="8201" max="8201" width="11" style="36" customWidth="1"/>
    <col min="8202" max="8202" width="12.28515625" style="36" customWidth="1"/>
    <col min="8203" max="8203" width="9.7109375" style="36" customWidth="1"/>
    <col min="8204" max="8204" width="10.7109375" style="36" customWidth="1"/>
    <col min="8205" max="8205" width="9.28515625" style="36"/>
    <col min="8206" max="8206" width="9.7109375" style="36" customWidth="1"/>
    <col min="8207" max="8207" width="11.28515625" style="36" customWidth="1"/>
    <col min="8208" max="8208" width="10.28515625" style="36" customWidth="1"/>
    <col min="8209" max="8209" width="10" style="36" customWidth="1"/>
    <col min="8210" max="8448" width="9.28515625" style="36"/>
    <col min="8449" max="8449" width="8" style="36" customWidth="1"/>
    <col min="8450" max="8450" width="29" style="36" customWidth="1"/>
    <col min="8451" max="8454" width="9.28515625" style="36"/>
    <col min="8455" max="8455" width="10.28515625" style="36" bestFit="1" customWidth="1"/>
    <col min="8456" max="8456" width="9.28515625" style="36"/>
    <col min="8457" max="8457" width="11" style="36" customWidth="1"/>
    <col min="8458" max="8458" width="12.28515625" style="36" customWidth="1"/>
    <col min="8459" max="8459" width="9.7109375" style="36" customWidth="1"/>
    <col min="8460" max="8460" width="10.7109375" style="36" customWidth="1"/>
    <col min="8461" max="8461" width="9.28515625" style="36"/>
    <col min="8462" max="8462" width="9.7109375" style="36" customWidth="1"/>
    <col min="8463" max="8463" width="11.28515625" style="36" customWidth="1"/>
    <col min="8464" max="8464" width="10.28515625" style="36" customWidth="1"/>
    <col min="8465" max="8465" width="10" style="36" customWidth="1"/>
    <col min="8466" max="8704" width="9.28515625" style="36"/>
    <col min="8705" max="8705" width="8" style="36" customWidth="1"/>
    <col min="8706" max="8706" width="29" style="36" customWidth="1"/>
    <col min="8707" max="8710" width="9.28515625" style="36"/>
    <col min="8711" max="8711" width="10.28515625" style="36" bestFit="1" customWidth="1"/>
    <col min="8712" max="8712" width="9.28515625" style="36"/>
    <col min="8713" max="8713" width="11" style="36" customWidth="1"/>
    <col min="8714" max="8714" width="12.28515625" style="36" customWidth="1"/>
    <col min="8715" max="8715" width="9.7109375" style="36" customWidth="1"/>
    <col min="8716" max="8716" width="10.7109375" style="36" customWidth="1"/>
    <col min="8717" max="8717" width="9.28515625" style="36"/>
    <col min="8718" max="8718" width="9.7109375" style="36" customWidth="1"/>
    <col min="8719" max="8719" width="11.28515625" style="36" customWidth="1"/>
    <col min="8720" max="8720" width="10.28515625" style="36" customWidth="1"/>
    <col min="8721" max="8721" width="10" style="36" customWidth="1"/>
    <col min="8722" max="8960" width="9.28515625" style="36"/>
    <col min="8961" max="8961" width="8" style="36" customWidth="1"/>
    <col min="8962" max="8962" width="29" style="36" customWidth="1"/>
    <col min="8963" max="8966" width="9.28515625" style="36"/>
    <col min="8967" max="8967" width="10.28515625" style="36" bestFit="1" customWidth="1"/>
    <col min="8968" max="8968" width="9.28515625" style="36"/>
    <col min="8969" max="8969" width="11" style="36" customWidth="1"/>
    <col min="8970" max="8970" width="12.28515625" style="36" customWidth="1"/>
    <col min="8971" max="8971" width="9.7109375" style="36" customWidth="1"/>
    <col min="8972" max="8972" width="10.7109375" style="36" customWidth="1"/>
    <col min="8973" max="8973" width="9.28515625" style="36"/>
    <col min="8974" max="8974" width="9.7109375" style="36" customWidth="1"/>
    <col min="8975" max="8975" width="11.28515625" style="36" customWidth="1"/>
    <col min="8976" max="8976" width="10.28515625" style="36" customWidth="1"/>
    <col min="8977" max="8977" width="10" style="36" customWidth="1"/>
    <col min="8978" max="9216" width="9.28515625" style="36"/>
    <col min="9217" max="9217" width="8" style="36" customWidth="1"/>
    <col min="9218" max="9218" width="29" style="36" customWidth="1"/>
    <col min="9219" max="9222" width="9.28515625" style="36"/>
    <col min="9223" max="9223" width="10.28515625" style="36" bestFit="1" customWidth="1"/>
    <col min="9224" max="9224" width="9.28515625" style="36"/>
    <col min="9225" max="9225" width="11" style="36" customWidth="1"/>
    <col min="9226" max="9226" width="12.28515625" style="36" customWidth="1"/>
    <col min="9227" max="9227" width="9.7109375" style="36" customWidth="1"/>
    <col min="9228" max="9228" width="10.7109375" style="36" customWidth="1"/>
    <col min="9229" max="9229" width="9.28515625" style="36"/>
    <col min="9230" max="9230" width="9.7109375" style="36" customWidth="1"/>
    <col min="9231" max="9231" width="11.28515625" style="36" customWidth="1"/>
    <col min="9232" max="9232" width="10.28515625" style="36" customWidth="1"/>
    <col min="9233" max="9233" width="10" style="36" customWidth="1"/>
    <col min="9234" max="9472" width="9.28515625" style="36"/>
    <col min="9473" max="9473" width="8" style="36" customWidth="1"/>
    <col min="9474" max="9474" width="29" style="36" customWidth="1"/>
    <col min="9475" max="9478" width="9.28515625" style="36"/>
    <col min="9479" max="9479" width="10.28515625" style="36" bestFit="1" customWidth="1"/>
    <col min="9480" max="9480" width="9.28515625" style="36"/>
    <col min="9481" max="9481" width="11" style="36" customWidth="1"/>
    <col min="9482" max="9482" width="12.28515625" style="36" customWidth="1"/>
    <col min="9483" max="9483" width="9.7109375" style="36" customWidth="1"/>
    <col min="9484" max="9484" width="10.7109375" style="36" customWidth="1"/>
    <col min="9485" max="9485" width="9.28515625" style="36"/>
    <col min="9486" max="9486" width="9.7109375" style="36" customWidth="1"/>
    <col min="9487" max="9487" width="11.28515625" style="36" customWidth="1"/>
    <col min="9488" max="9488" width="10.28515625" style="36" customWidth="1"/>
    <col min="9489" max="9489" width="10" style="36" customWidth="1"/>
    <col min="9490" max="9728" width="9.28515625" style="36"/>
    <col min="9729" max="9729" width="8" style="36" customWidth="1"/>
    <col min="9730" max="9730" width="29" style="36" customWidth="1"/>
    <col min="9731" max="9734" width="9.28515625" style="36"/>
    <col min="9735" max="9735" width="10.28515625" style="36" bestFit="1" customWidth="1"/>
    <col min="9736" max="9736" width="9.28515625" style="36"/>
    <col min="9737" max="9737" width="11" style="36" customWidth="1"/>
    <col min="9738" max="9738" width="12.28515625" style="36" customWidth="1"/>
    <col min="9739" max="9739" width="9.7109375" style="36" customWidth="1"/>
    <col min="9740" max="9740" width="10.7109375" style="36" customWidth="1"/>
    <col min="9741" max="9741" width="9.28515625" style="36"/>
    <col min="9742" max="9742" width="9.7109375" style="36" customWidth="1"/>
    <col min="9743" max="9743" width="11.28515625" style="36" customWidth="1"/>
    <col min="9744" max="9744" width="10.28515625" style="36" customWidth="1"/>
    <col min="9745" max="9745" width="10" style="36" customWidth="1"/>
    <col min="9746" max="9984" width="9.28515625" style="36"/>
    <col min="9985" max="9985" width="8" style="36" customWidth="1"/>
    <col min="9986" max="9986" width="29" style="36" customWidth="1"/>
    <col min="9987" max="9990" width="9.28515625" style="36"/>
    <col min="9991" max="9991" width="10.28515625" style="36" bestFit="1" customWidth="1"/>
    <col min="9992" max="9992" width="9.28515625" style="36"/>
    <col min="9993" max="9993" width="11" style="36" customWidth="1"/>
    <col min="9994" max="9994" width="12.28515625" style="36" customWidth="1"/>
    <col min="9995" max="9995" width="9.7109375" style="36" customWidth="1"/>
    <col min="9996" max="9996" width="10.7109375" style="36" customWidth="1"/>
    <col min="9997" max="9997" width="9.28515625" style="36"/>
    <col min="9998" max="9998" width="9.7109375" style="36" customWidth="1"/>
    <col min="9999" max="9999" width="11.28515625" style="36" customWidth="1"/>
    <col min="10000" max="10000" width="10.28515625" style="36" customWidth="1"/>
    <col min="10001" max="10001" width="10" style="36" customWidth="1"/>
    <col min="10002" max="10240" width="9.28515625" style="36"/>
    <col min="10241" max="10241" width="8" style="36" customWidth="1"/>
    <col min="10242" max="10242" width="29" style="36" customWidth="1"/>
    <col min="10243" max="10246" width="9.28515625" style="36"/>
    <col min="10247" max="10247" width="10.28515625" style="36" bestFit="1" customWidth="1"/>
    <col min="10248" max="10248" width="9.28515625" style="36"/>
    <col min="10249" max="10249" width="11" style="36" customWidth="1"/>
    <col min="10250" max="10250" width="12.28515625" style="36" customWidth="1"/>
    <col min="10251" max="10251" width="9.7109375" style="36" customWidth="1"/>
    <col min="10252" max="10252" width="10.7109375" style="36" customWidth="1"/>
    <col min="10253" max="10253" width="9.28515625" style="36"/>
    <col min="10254" max="10254" width="9.7109375" style="36" customWidth="1"/>
    <col min="10255" max="10255" width="11.28515625" style="36" customWidth="1"/>
    <col min="10256" max="10256" width="10.28515625" style="36" customWidth="1"/>
    <col min="10257" max="10257" width="10" style="36" customWidth="1"/>
    <col min="10258" max="10496" width="9.28515625" style="36"/>
    <col min="10497" max="10497" width="8" style="36" customWidth="1"/>
    <col min="10498" max="10498" width="29" style="36" customWidth="1"/>
    <col min="10499" max="10502" width="9.28515625" style="36"/>
    <col min="10503" max="10503" width="10.28515625" style="36" bestFit="1" customWidth="1"/>
    <col min="10504" max="10504" width="9.28515625" style="36"/>
    <col min="10505" max="10505" width="11" style="36" customWidth="1"/>
    <col min="10506" max="10506" width="12.28515625" style="36" customWidth="1"/>
    <col min="10507" max="10507" width="9.7109375" style="36" customWidth="1"/>
    <col min="10508" max="10508" width="10.7109375" style="36" customWidth="1"/>
    <col min="10509" max="10509" width="9.28515625" style="36"/>
    <col min="10510" max="10510" width="9.7109375" style="36" customWidth="1"/>
    <col min="10511" max="10511" width="11.28515625" style="36" customWidth="1"/>
    <col min="10512" max="10512" width="10.28515625" style="36" customWidth="1"/>
    <col min="10513" max="10513" width="10" style="36" customWidth="1"/>
    <col min="10514" max="10752" width="9.28515625" style="36"/>
    <col min="10753" max="10753" width="8" style="36" customWidth="1"/>
    <col min="10754" max="10754" width="29" style="36" customWidth="1"/>
    <col min="10755" max="10758" width="9.28515625" style="36"/>
    <col min="10759" max="10759" width="10.28515625" style="36" bestFit="1" customWidth="1"/>
    <col min="10760" max="10760" width="9.28515625" style="36"/>
    <col min="10761" max="10761" width="11" style="36" customWidth="1"/>
    <col min="10762" max="10762" width="12.28515625" style="36" customWidth="1"/>
    <col min="10763" max="10763" width="9.7109375" style="36" customWidth="1"/>
    <col min="10764" max="10764" width="10.7109375" style="36" customWidth="1"/>
    <col min="10765" max="10765" width="9.28515625" style="36"/>
    <col min="10766" max="10766" width="9.7109375" style="36" customWidth="1"/>
    <col min="10767" max="10767" width="11.28515625" style="36" customWidth="1"/>
    <col min="10768" max="10768" width="10.28515625" style="36" customWidth="1"/>
    <col min="10769" max="10769" width="10" style="36" customWidth="1"/>
    <col min="10770" max="11008" width="9.28515625" style="36"/>
    <col min="11009" max="11009" width="8" style="36" customWidth="1"/>
    <col min="11010" max="11010" width="29" style="36" customWidth="1"/>
    <col min="11011" max="11014" width="9.28515625" style="36"/>
    <col min="11015" max="11015" width="10.28515625" style="36" bestFit="1" customWidth="1"/>
    <col min="11016" max="11016" width="9.28515625" style="36"/>
    <col min="11017" max="11017" width="11" style="36" customWidth="1"/>
    <col min="11018" max="11018" width="12.28515625" style="36" customWidth="1"/>
    <col min="11019" max="11019" width="9.7109375" style="36" customWidth="1"/>
    <col min="11020" max="11020" width="10.7109375" style="36" customWidth="1"/>
    <col min="11021" max="11021" width="9.28515625" style="36"/>
    <col min="11022" max="11022" width="9.7109375" style="36" customWidth="1"/>
    <col min="11023" max="11023" width="11.28515625" style="36" customWidth="1"/>
    <col min="11024" max="11024" width="10.28515625" style="36" customWidth="1"/>
    <col min="11025" max="11025" width="10" style="36" customWidth="1"/>
    <col min="11026" max="11264" width="9.28515625" style="36"/>
    <col min="11265" max="11265" width="8" style="36" customWidth="1"/>
    <col min="11266" max="11266" width="29" style="36" customWidth="1"/>
    <col min="11267" max="11270" width="9.28515625" style="36"/>
    <col min="11271" max="11271" width="10.28515625" style="36" bestFit="1" customWidth="1"/>
    <col min="11272" max="11272" width="9.28515625" style="36"/>
    <col min="11273" max="11273" width="11" style="36" customWidth="1"/>
    <col min="11274" max="11274" width="12.28515625" style="36" customWidth="1"/>
    <col min="11275" max="11275" width="9.7109375" style="36" customWidth="1"/>
    <col min="11276" max="11276" width="10.7109375" style="36" customWidth="1"/>
    <col min="11277" max="11277" width="9.28515625" style="36"/>
    <col min="11278" max="11278" width="9.7109375" style="36" customWidth="1"/>
    <col min="11279" max="11279" width="11.28515625" style="36" customWidth="1"/>
    <col min="11280" max="11280" width="10.28515625" style="36" customWidth="1"/>
    <col min="11281" max="11281" width="10" style="36" customWidth="1"/>
    <col min="11282" max="11520" width="9.28515625" style="36"/>
    <col min="11521" max="11521" width="8" style="36" customWidth="1"/>
    <col min="11522" max="11522" width="29" style="36" customWidth="1"/>
    <col min="11523" max="11526" width="9.28515625" style="36"/>
    <col min="11527" max="11527" width="10.28515625" style="36" bestFit="1" customWidth="1"/>
    <col min="11528" max="11528" width="9.28515625" style="36"/>
    <col min="11529" max="11529" width="11" style="36" customWidth="1"/>
    <col min="11530" max="11530" width="12.28515625" style="36" customWidth="1"/>
    <col min="11531" max="11531" width="9.7109375" style="36" customWidth="1"/>
    <col min="11532" max="11532" width="10.7109375" style="36" customWidth="1"/>
    <col min="11533" max="11533" width="9.28515625" style="36"/>
    <col min="11534" max="11534" width="9.7109375" style="36" customWidth="1"/>
    <col min="11535" max="11535" width="11.28515625" style="36" customWidth="1"/>
    <col min="11536" max="11536" width="10.28515625" style="36" customWidth="1"/>
    <col min="11537" max="11537" width="10" style="36" customWidth="1"/>
    <col min="11538" max="11776" width="9.28515625" style="36"/>
    <col min="11777" max="11777" width="8" style="36" customWidth="1"/>
    <col min="11778" max="11778" width="29" style="36" customWidth="1"/>
    <col min="11779" max="11782" width="9.28515625" style="36"/>
    <col min="11783" max="11783" width="10.28515625" style="36" bestFit="1" customWidth="1"/>
    <col min="11784" max="11784" width="9.28515625" style="36"/>
    <col min="11785" max="11785" width="11" style="36" customWidth="1"/>
    <col min="11786" max="11786" width="12.28515625" style="36" customWidth="1"/>
    <col min="11787" max="11787" width="9.7109375" style="36" customWidth="1"/>
    <col min="11788" max="11788" width="10.7109375" style="36" customWidth="1"/>
    <col min="11789" max="11789" width="9.28515625" style="36"/>
    <col min="11790" max="11790" width="9.7109375" style="36" customWidth="1"/>
    <col min="11791" max="11791" width="11.28515625" style="36" customWidth="1"/>
    <col min="11792" max="11792" width="10.28515625" style="36" customWidth="1"/>
    <col min="11793" max="11793" width="10" style="36" customWidth="1"/>
    <col min="11794" max="12032" width="9.28515625" style="36"/>
    <col min="12033" max="12033" width="8" style="36" customWidth="1"/>
    <col min="12034" max="12034" width="29" style="36" customWidth="1"/>
    <col min="12035" max="12038" width="9.28515625" style="36"/>
    <col min="12039" max="12039" width="10.28515625" style="36" bestFit="1" customWidth="1"/>
    <col min="12040" max="12040" width="9.28515625" style="36"/>
    <col min="12041" max="12041" width="11" style="36" customWidth="1"/>
    <col min="12042" max="12042" width="12.28515625" style="36" customWidth="1"/>
    <col min="12043" max="12043" width="9.7109375" style="36" customWidth="1"/>
    <col min="12044" max="12044" width="10.7109375" style="36" customWidth="1"/>
    <col min="12045" max="12045" width="9.28515625" style="36"/>
    <col min="12046" max="12046" width="9.7109375" style="36" customWidth="1"/>
    <col min="12047" max="12047" width="11.28515625" style="36" customWidth="1"/>
    <col min="12048" max="12048" width="10.28515625" style="36" customWidth="1"/>
    <col min="12049" max="12049" width="10" style="36" customWidth="1"/>
    <col min="12050" max="12288" width="9.28515625" style="36"/>
    <col min="12289" max="12289" width="8" style="36" customWidth="1"/>
    <col min="12290" max="12290" width="29" style="36" customWidth="1"/>
    <col min="12291" max="12294" width="9.28515625" style="36"/>
    <col min="12295" max="12295" width="10.28515625" style="36" bestFit="1" customWidth="1"/>
    <col min="12296" max="12296" width="9.28515625" style="36"/>
    <col min="12297" max="12297" width="11" style="36" customWidth="1"/>
    <col min="12298" max="12298" width="12.28515625" style="36" customWidth="1"/>
    <col min="12299" max="12299" width="9.7109375" style="36" customWidth="1"/>
    <col min="12300" max="12300" width="10.7109375" style="36" customWidth="1"/>
    <col min="12301" max="12301" width="9.28515625" style="36"/>
    <col min="12302" max="12302" width="9.7109375" style="36" customWidth="1"/>
    <col min="12303" max="12303" width="11.28515625" style="36" customWidth="1"/>
    <col min="12304" max="12304" width="10.28515625" style="36" customWidth="1"/>
    <col min="12305" max="12305" width="10" style="36" customWidth="1"/>
    <col min="12306" max="12544" width="9.28515625" style="36"/>
    <col min="12545" max="12545" width="8" style="36" customWidth="1"/>
    <col min="12546" max="12546" width="29" style="36" customWidth="1"/>
    <col min="12547" max="12550" width="9.28515625" style="36"/>
    <col min="12551" max="12551" width="10.28515625" style="36" bestFit="1" customWidth="1"/>
    <col min="12552" max="12552" width="9.28515625" style="36"/>
    <col min="12553" max="12553" width="11" style="36" customWidth="1"/>
    <col min="12554" max="12554" width="12.28515625" style="36" customWidth="1"/>
    <col min="12555" max="12555" width="9.7109375" style="36" customWidth="1"/>
    <col min="12556" max="12556" width="10.7109375" style="36" customWidth="1"/>
    <col min="12557" max="12557" width="9.28515625" style="36"/>
    <col min="12558" max="12558" width="9.7109375" style="36" customWidth="1"/>
    <col min="12559" max="12559" width="11.28515625" style="36" customWidth="1"/>
    <col min="12560" max="12560" width="10.28515625" style="36" customWidth="1"/>
    <col min="12561" max="12561" width="10" style="36" customWidth="1"/>
    <col min="12562" max="12800" width="9.28515625" style="36"/>
    <col min="12801" max="12801" width="8" style="36" customWidth="1"/>
    <col min="12802" max="12802" width="29" style="36" customWidth="1"/>
    <col min="12803" max="12806" width="9.28515625" style="36"/>
    <col min="12807" max="12807" width="10.28515625" style="36" bestFit="1" customWidth="1"/>
    <col min="12808" max="12808" width="9.28515625" style="36"/>
    <col min="12809" max="12809" width="11" style="36" customWidth="1"/>
    <col min="12810" max="12810" width="12.28515625" style="36" customWidth="1"/>
    <col min="12811" max="12811" width="9.7109375" style="36" customWidth="1"/>
    <col min="12812" max="12812" width="10.7109375" style="36" customWidth="1"/>
    <col min="12813" max="12813" width="9.28515625" style="36"/>
    <col min="12814" max="12814" width="9.7109375" style="36" customWidth="1"/>
    <col min="12815" max="12815" width="11.28515625" style="36" customWidth="1"/>
    <col min="12816" max="12816" width="10.28515625" style="36" customWidth="1"/>
    <col min="12817" max="12817" width="10" style="36" customWidth="1"/>
    <col min="12818" max="13056" width="9.28515625" style="36"/>
    <col min="13057" max="13057" width="8" style="36" customWidth="1"/>
    <col min="13058" max="13058" width="29" style="36" customWidth="1"/>
    <col min="13059" max="13062" width="9.28515625" style="36"/>
    <col min="13063" max="13063" width="10.28515625" style="36" bestFit="1" customWidth="1"/>
    <col min="13064" max="13064" width="9.28515625" style="36"/>
    <col min="13065" max="13065" width="11" style="36" customWidth="1"/>
    <col min="13066" max="13066" width="12.28515625" style="36" customWidth="1"/>
    <col min="13067" max="13067" width="9.7109375" style="36" customWidth="1"/>
    <col min="13068" max="13068" width="10.7109375" style="36" customWidth="1"/>
    <col min="13069" max="13069" width="9.28515625" style="36"/>
    <col min="13070" max="13070" width="9.7109375" style="36" customWidth="1"/>
    <col min="13071" max="13071" width="11.28515625" style="36" customWidth="1"/>
    <col min="13072" max="13072" width="10.28515625" style="36" customWidth="1"/>
    <col min="13073" max="13073" width="10" style="36" customWidth="1"/>
    <col min="13074" max="13312" width="9.28515625" style="36"/>
    <col min="13313" max="13313" width="8" style="36" customWidth="1"/>
    <col min="13314" max="13314" width="29" style="36" customWidth="1"/>
    <col min="13315" max="13318" width="9.28515625" style="36"/>
    <col min="13319" max="13319" width="10.28515625" style="36" bestFit="1" customWidth="1"/>
    <col min="13320" max="13320" width="9.28515625" style="36"/>
    <col min="13321" max="13321" width="11" style="36" customWidth="1"/>
    <col min="13322" max="13322" width="12.28515625" style="36" customWidth="1"/>
    <col min="13323" max="13323" width="9.7109375" style="36" customWidth="1"/>
    <col min="13324" max="13324" width="10.7109375" style="36" customWidth="1"/>
    <col min="13325" max="13325" width="9.28515625" style="36"/>
    <col min="13326" max="13326" width="9.7109375" style="36" customWidth="1"/>
    <col min="13327" max="13327" width="11.28515625" style="36" customWidth="1"/>
    <col min="13328" max="13328" width="10.28515625" style="36" customWidth="1"/>
    <col min="13329" max="13329" width="10" style="36" customWidth="1"/>
    <col min="13330" max="13568" width="9.28515625" style="36"/>
    <col min="13569" max="13569" width="8" style="36" customWidth="1"/>
    <col min="13570" max="13570" width="29" style="36" customWidth="1"/>
    <col min="13571" max="13574" width="9.28515625" style="36"/>
    <col min="13575" max="13575" width="10.28515625" style="36" bestFit="1" customWidth="1"/>
    <col min="13576" max="13576" width="9.28515625" style="36"/>
    <col min="13577" max="13577" width="11" style="36" customWidth="1"/>
    <col min="13578" max="13578" width="12.28515625" style="36" customWidth="1"/>
    <col min="13579" max="13579" width="9.7109375" style="36" customWidth="1"/>
    <col min="13580" max="13580" width="10.7109375" style="36" customWidth="1"/>
    <col min="13581" max="13581" width="9.28515625" style="36"/>
    <col min="13582" max="13582" width="9.7109375" style="36" customWidth="1"/>
    <col min="13583" max="13583" width="11.28515625" style="36" customWidth="1"/>
    <col min="13584" max="13584" width="10.28515625" style="36" customWidth="1"/>
    <col min="13585" max="13585" width="10" style="36" customWidth="1"/>
    <col min="13586" max="13824" width="9.28515625" style="36"/>
    <col min="13825" max="13825" width="8" style="36" customWidth="1"/>
    <col min="13826" max="13826" width="29" style="36" customWidth="1"/>
    <col min="13827" max="13830" width="9.28515625" style="36"/>
    <col min="13831" max="13831" width="10.28515625" style="36" bestFit="1" customWidth="1"/>
    <col min="13832" max="13832" width="9.28515625" style="36"/>
    <col min="13833" max="13833" width="11" style="36" customWidth="1"/>
    <col min="13834" max="13834" width="12.28515625" style="36" customWidth="1"/>
    <col min="13835" max="13835" width="9.7109375" style="36" customWidth="1"/>
    <col min="13836" max="13836" width="10.7109375" style="36" customWidth="1"/>
    <col min="13837" max="13837" width="9.28515625" style="36"/>
    <col min="13838" max="13838" width="9.7109375" style="36" customWidth="1"/>
    <col min="13839" max="13839" width="11.28515625" style="36" customWidth="1"/>
    <col min="13840" max="13840" width="10.28515625" style="36" customWidth="1"/>
    <col min="13841" max="13841" width="10" style="36" customWidth="1"/>
    <col min="13842" max="14080" width="9.28515625" style="36"/>
    <col min="14081" max="14081" width="8" style="36" customWidth="1"/>
    <col min="14082" max="14082" width="29" style="36" customWidth="1"/>
    <col min="14083" max="14086" width="9.28515625" style="36"/>
    <col min="14087" max="14087" width="10.28515625" style="36" bestFit="1" customWidth="1"/>
    <col min="14088" max="14088" width="9.28515625" style="36"/>
    <col min="14089" max="14089" width="11" style="36" customWidth="1"/>
    <col min="14090" max="14090" width="12.28515625" style="36" customWidth="1"/>
    <col min="14091" max="14091" width="9.7109375" style="36" customWidth="1"/>
    <col min="14092" max="14092" width="10.7109375" style="36" customWidth="1"/>
    <col min="14093" max="14093" width="9.28515625" style="36"/>
    <col min="14094" max="14094" width="9.7109375" style="36" customWidth="1"/>
    <col min="14095" max="14095" width="11.28515625" style="36" customWidth="1"/>
    <col min="14096" max="14096" width="10.28515625" style="36" customWidth="1"/>
    <col min="14097" max="14097" width="10" style="36" customWidth="1"/>
    <col min="14098" max="14336" width="9.28515625" style="36"/>
    <col min="14337" max="14337" width="8" style="36" customWidth="1"/>
    <col min="14338" max="14338" width="29" style="36" customWidth="1"/>
    <col min="14339" max="14342" width="9.28515625" style="36"/>
    <col min="14343" max="14343" width="10.28515625" style="36" bestFit="1" customWidth="1"/>
    <col min="14344" max="14344" width="9.28515625" style="36"/>
    <col min="14345" max="14345" width="11" style="36" customWidth="1"/>
    <col min="14346" max="14346" width="12.28515625" style="36" customWidth="1"/>
    <col min="14347" max="14347" width="9.7109375" style="36" customWidth="1"/>
    <col min="14348" max="14348" width="10.7109375" style="36" customWidth="1"/>
    <col min="14349" max="14349" width="9.28515625" style="36"/>
    <col min="14350" max="14350" width="9.7109375" style="36" customWidth="1"/>
    <col min="14351" max="14351" width="11.28515625" style="36" customWidth="1"/>
    <col min="14352" max="14352" width="10.28515625" style="36" customWidth="1"/>
    <col min="14353" max="14353" width="10" style="36" customWidth="1"/>
    <col min="14354" max="14592" width="9.28515625" style="36"/>
    <col min="14593" max="14593" width="8" style="36" customWidth="1"/>
    <col min="14594" max="14594" width="29" style="36" customWidth="1"/>
    <col min="14595" max="14598" width="9.28515625" style="36"/>
    <col min="14599" max="14599" width="10.28515625" style="36" bestFit="1" customWidth="1"/>
    <col min="14600" max="14600" width="9.28515625" style="36"/>
    <col min="14601" max="14601" width="11" style="36" customWidth="1"/>
    <col min="14602" max="14602" width="12.28515625" style="36" customWidth="1"/>
    <col min="14603" max="14603" width="9.7109375" style="36" customWidth="1"/>
    <col min="14604" max="14604" width="10.7109375" style="36" customWidth="1"/>
    <col min="14605" max="14605" width="9.28515625" style="36"/>
    <col min="14606" max="14606" width="9.7109375" style="36" customWidth="1"/>
    <col min="14607" max="14607" width="11.28515625" style="36" customWidth="1"/>
    <col min="14608" max="14608" width="10.28515625" style="36" customWidth="1"/>
    <col min="14609" max="14609" width="10" style="36" customWidth="1"/>
    <col min="14610" max="14848" width="9.28515625" style="36"/>
    <col min="14849" max="14849" width="8" style="36" customWidth="1"/>
    <col min="14850" max="14850" width="29" style="36" customWidth="1"/>
    <col min="14851" max="14854" width="9.28515625" style="36"/>
    <col min="14855" max="14855" width="10.28515625" style="36" bestFit="1" customWidth="1"/>
    <col min="14856" max="14856" width="9.28515625" style="36"/>
    <col min="14857" max="14857" width="11" style="36" customWidth="1"/>
    <col min="14858" max="14858" width="12.28515625" style="36" customWidth="1"/>
    <col min="14859" max="14859" width="9.7109375" style="36" customWidth="1"/>
    <col min="14860" max="14860" width="10.7109375" style="36" customWidth="1"/>
    <col min="14861" max="14861" width="9.28515625" style="36"/>
    <col min="14862" max="14862" width="9.7109375" style="36" customWidth="1"/>
    <col min="14863" max="14863" width="11.28515625" style="36" customWidth="1"/>
    <col min="14864" max="14864" width="10.28515625" style="36" customWidth="1"/>
    <col min="14865" max="14865" width="10" style="36" customWidth="1"/>
    <col min="14866" max="15104" width="9.28515625" style="36"/>
    <col min="15105" max="15105" width="8" style="36" customWidth="1"/>
    <col min="15106" max="15106" width="29" style="36" customWidth="1"/>
    <col min="15107" max="15110" width="9.28515625" style="36"/>
    <col min="15111" max="15111" width="10.28515625" style="36" bestFit="1" customWidth="1"/>
    <col min="15112" max="15112" width="9.28515625" style="36"/>
    <col min="15113" max="15113" width="11" style="36" customWidth="1"/>
    <col min="15114" max="15114" width="12.28515625" style="36" customWidth="1"/>
    <col min="15115" max="15115" width="9.7109375" style="36" customWidth="1"/>
    <col min="15116" max="15116" width="10.7109375" style="36" customWidth="1"/>
    <col min="15117" max="15117" width="9.28515625" style="36"/>
    <col min="15118" max="15118" width="9.7109375" style="36" customWidth="1"/>
    <col min="15119" max="15119" width="11.28515625" style="36" customWidth="1"/>
    <col min="15120" max="15120" width="10.28515625" style="36" customWidth="1"/>
    <col min="15121" max="15121" width="10" style="36" customWidth="1"/>
    <col min="15122" max="15360" width="9.28515625" style="36"/>
    <col min="15361" max="15361" width="8" style="36" customWidth="1"/>
    <col min="15362" max="15362" width="29" style="36" customWidth="1"/>
    <col min="15363" max="15366" width="9.28515625" style="36"/>
    <col min="15367" max="15367" width="10.28515625" style="36" bestFit="1" customWidth="1"/>
    <col min="15368" max="15368" width="9.28515625" style="36"/>
    <col min="15369" max="15369" width="11" style="36" customWidth="1"/>
    <col min="15370" max="15370" width="12.28515625" style="36" customWidth="1"/>
    <col min="15371" max="15371" width="9.7109375" style="36" customWidth="1"/>
    <col min="15372" max="15372" width="10.7109375" style="36" customWidth="1"/>
    <col min="15373" max="15373" width="9.28515625" style="36"/>
    <col min="15374" max="15374" width="9.7109375" style="36" customWidth="1"/>
    <col min="15375" max="15375" width="11.28515625" style="36" customWidth="1"/>
    <col min="15376" max="15376" width="10.28515625" style="36" customWidth="1"/>
    <col min="15377" max="15377" width="10" style="36" customWidth="1"/>
    <col min="15378" max="15616" width="9.28515625" style="36"/>
    <col min="15617" max="15617" width="8" style="36" customWidth="1"/>
    <col min="15618" max="15618" width="29" style="36" customWidth="1"/>
    <col min="15619" max="15622" width="9.28515625" style="36"/>
    <col min="15623" max="15623" width="10.28515625" style="36" bestFit="1" customWidth="1"/>
    <col min="15624" max="15624" width="9.28515625" style="36"/>
    <col min="15625" max="15625" width="11" style="36" customWidth="1"/>
    <col min="15626" max="15626" width="12.28515625" style="36" customWidth="1"/>
    <col min="15627" max="15627" width="9.7109375" style="36" customWidth="1"/>
    <col min="15628" max="15628" width="10.7109375" style="36" customWidth="1"/>
    <col min="15629" max="15629" width="9.28515625" style="36"/>
    <col min="15630" max="15630" width="9.7109375" style="36" customWidth="1"/>
    <col min="15631" max="15631" width="11.28515625" style="36" customWidth="1"/>
    <col min="15632" max="15632" width="10.28515625" style="36" customWidth="1"/>
    <col min="15633" max="15633" width="10" style="36" customWidth="1"/>
    <col min="15634" max="15872" width="9.28515625" style="36"/>
    <col min="15873" max="15873" width="8" style="36" customWidth="1"/>
    <col min="15874" max="15874" width="29" style="36" customWidth="1"/>
    <col min="15875" max="15878" width="9.28515625" style="36"/>
    <col min="15879" max="15879" width="10.28515625" style="36" bestFit="1" customWidth="1"/>
    <col min="15880" max="15880" width="9.28515625" style="36"/>
    <col min="15881" max="15881" width="11" style="36" customWidth="1"/>
    <col min="15882" max="15882" width="12.28515625" style="36" customWidth="1"/>
    <col min="15883" max="15883" width="9.7109375" style="36" customWidth="1"/>
    <col min="15884" max="15884" width="10.7109375" style="36" customWidth="1"/>
    <col min="15885" max="15885" width="9.28515625" style="36"/>
    <col min="15886" max="15886" width="9.7109375" style="36" customWidth="1"/>
    <col min="15887" max="15887" width="11.28515625" style="36" customWidth="1"/>
    <col min="15888" max="15888" width="10.28515625" style="36" customWidth="1"/>
    <col min="15889" max="15889" width="10" style="36" customWidth="1"/>
    <col min="15890" max="16128" width="9.28515625" style="36"/>
    <col min="16129" max="16129" width="8" style="36" customWidth="1"/>
    <col min="16130" max="16130" width="29" style="36" customWidth="1"/>
    <col min="16131" max="16134" width="9.28515625" style="36"/>
    <col min="16135" max="16135" width="10.28515625" style="36" bestFit="1" customWidth="1"/>
    <col min="16136" max="16136" width="9.28515625" style="36"/>
    <col min="16137" max="16137" width="11" style="36" customWidth="1"/>
    <col min="16138" max="16138" width="12.28515625" style="36" customWidth="1"/>
    <col min="16139" max="16139" width="9.7109375" style="36" customWidth="1"/>
    <col min="16140" max="16140" width="10.7109375" style="36" customWidth="1"/>
    <col min="16141" max="16141" width="9.28515625" style="36"/>
    <col min="16142" max="16142" width="9.7109375" style="36" customWidth="1"/>
    <col min="16143" max="16143" width="11.28515625" style="36" customWidth="1"/>
    <col min="16144" max="16144" width="10.28515625" style="36" customWidth="1"/>
    <col min="16145" max="16145" width="10" style="36" customWidth="1"/>
    <col min="16146" max="16384" width="9.28515625" style="36"/>
  </cols>
  <sheetData>
    <row r="1" spans="1:14" ht="22.5">
      <c r="A1" s="266" t="s">
        <v>339</v>
      </c>
      <c r="B1" s="266"/>
      <c r="C1" s="266"/>
      <c r="D1" s="266"/>
      <c r="E1" s="266"/>
      <c r="F1" s="266"/>
      <c r="G1" s="266"/>
      <c r="H1" s="266"/>
      <c r="I1" s="266"/>
      <c r="J1" s="266"/>
      <c r="K1" s="266"/>
      <c r="L1" s="266"/>
      <c r="M1" s="266"/>
      <c r="N1" s="266"/>
    </row>
    <row r="2" spans="1:14" ht="22.5">
      <c r="A2" s="266" t="s">
        <v>101</v>
      </c>
      <c r="B2" s="266"/>
      <c r="C2" s="266"/>
      <c r="D2" s="266"/>
      <c r="E2" s="266"/>
      <c r="F2" s="266"/>
      <c r="G2" s="266"/>
      <c r="H2" s="266"/>
      <c r="I2" s="266"/>
      <c r="J2" s="266"/>
      <c r="K2" s="266"/>
      <c r="L2" s="266"/>
      <c r="M2" s="266"/>
      <c r="N2" s="266"/>
    </row>
    <row r="4" spans="1:14" ht="18.75">
      <c r="A4" s="265" t="s">
        <v>102</v>
      </c>
      <c r="B4" s="265"/>
      <c r="C4" s="265">
        <f>THDT!E6/1000000000</f>
        <v>1.5018819002089998</v>
      </c>
      <c r="D4" s="265"/>
      <c r="E4" s="37" t="s">
        <v>103</v>
      </c>
    </row>
    <row r="5" spans="1:14" ht="18.75">
      <c r="A5" s="265" t="s">
        <v>104</v>
      </c>
      <c r="B5" s="265"/>
      <c r="C5" s="265">
        <f>THDT!E10/1000000000</f>
        <v>5.4100000000000002E-2</v>
      </c>
      <c r="D5" s="265"/>
      <c r="E5" s="37" t="s">
        <v>103</v>
      </c>
    </row>
    <row r="6" spans="1:14" ht="42.75" customHeight="1">
      <c r="A6" s="264" t="s">
        <v>105</v>
      </c>
      <c r="B6" s="264"/>
      <c r="C6" s="265">
        <v>0</v>
      </c>
      <c r="D6" s="265"/>
      <c r="E6" s="37" t="s">
        <v>103</v>
      </c>
    </row>
    <row r="7" spans="1:14" ht="18.75">
      <c r="A7" s="265" t="s">
        <v>106</v>
      </c>
      <c r="B7" s="265"/>
      <c r="C7" s="265">
        <v>0</v>
      </c>
      <c r="D7" s="265"/>
      <c r="E7" s="37" t="s">
        <v>103</v>
      </c>
    </row>
    <row r="8" spans="1:14" ht="18.75">
      <c r="A8" s="264" t="s">
        <v>107</v>
      </c>
      <c r="B8" s="264"/>
      <c r="C8" s="265">
        <v>0</v>
      </c>
      <c r="D8" s="265"/>
      <c r="E8" s="37" t="s">
        <v>103</v>
      </c>
    </row>
    <row r="9" spans="1:14" ht="18.75">
      <c r="A9" s="264" t="s">
        <v>108</v>
      </c>
      <c r="B9" s="264"/>
      <c r="C9" s="265">
        <f>THDT!I25/1000000000</f>
        <v>1.927386</v>
      </c>
      <c r="D9" s="265"/>
      <c r="E9" s="37" t="s">
        <v>103</v>
      </c>
    </row>
    <row r="10" spans="1:14" ht="40.5" customHeight="1">
      <c r="A10" s="264" t="s">
        <v>109</v>
      </c>
      <c r="B10" s="264"/>
      <c r="C10" s="265">
        <f>C9-C6</f>
        <v>1.927386</v>
      </c>
      <c r="D10" s="265"/>
      <c r="E10" s="37" t="s">
        <v>103</v>
      </c>
    </row>
    <row r="11" spans="1:14" ht="23.25" customHeight="1">
      <c r="A11" s="265" t="s">
        <v>110</v>
      </c>
      <c r="B11" s="265"/>
      <c r="C11" s="265">
        <v>0</v>
      </c>
      <c r="D11" s="265"/>
      <c r="E11" s="37" t="s">
        <v>103</v>
      </c>
    </row>
    <row r="13" spans="1:14" hidden="1">
      <c r="A13" s="36" t="s">
        <v>111</v>
      </c>
    </row>
    <row r="16" spans="1:14" s="38" customFormat="1">
      <c r="A16" s="248" t="s">
        <v>340</v>
      </c>
      <c r="B16" s="248"/>
      <c r="C16" s="248"/>
      <c r="D16" s="248"/>
      <c r="E16" s="248"/>
      <c r="F16" s="248"/>
      <c r="G16" s="248"/>
    </row>
    <row r="17" spans="1:17" s="38" customFormat="1">
      <c r="K17" s="257" t="s">
        <v>112</v>
      </c>
      <c r="L17" s="257"/>
      <c r="M17" s="257"/>
      <c r="N17" s="257"/>
    </row>
    <row r="18" spans="1:17" s="38" customFormat="1" hidden="1">
      <c r="A18" s="38" t="s">
        <v>113</v>
      </c>
      <c r="N18" s="38" t="s">
        <v>114</v>
      </c>
    </row>
    <row r="19" spans="1:17" s="38" customFormat="1" ht="15.75" thickBot="1">
      <c r="A19" s="250" t="s">
        <v>1</v>
      </c>
      <c r="B19" s="250" t="s">
        <v>115</v>
      </c>
      <c r="C19" s="250" t="s">
        <v>116</v>
      </c>
      <c r="D19" s="250"/>
      <c r="E19" s="250"/>
      <c r="F19" s="250"/>
      <c r="G19" s="250"/>
      <c r="H19" s="250"/>
      <c r="I19" s="250"/>
      <c r="J19" s="250"/>
      <c r="K19" s="250"/>
      <c r="L19" s="250"/>
      <c r="M19" s="250"/>
      <c r="N19" s="250"/>
      <c r="O19" s="39" t="s">
        <v>117</v>
      </c>
      <c r="P19" s="39" t="s">
        <v>118</v>
      </c>
      <c r="Q19" s="39" t="s">
        <v>119</v>
      </c>
    </row>
    <row r="20" spans="1:17" s="38" customFormat="1" ht="15.75" thickBot="1">
      <c r="A20" s="250"/>
      <c r="B20" s="250"/>
      <c r="C20" s="40" t="s">
        <v>120</v>
      </c>
      <c r="D20" s="87">
        <v>20</v>
      </c>
      <c r="E20" s="88">
        <v>50</v>
      </c>
      <c r="F20" s="88">
        <v>100</v>
      </c>
      <c r="G20" s="88">
        <v>200</v>
      </c>
      <c r="H20" s="88">
        <v>500</v>
      </c>
      <c r="I20" s="89">
        <v>1000</v>
      </c>
      <c r="J20" s="89">
        <v>2000</v>
      </c>
      <c r="K20" s="89">
        <v>5000</v>
      </c>
      <c r="L20" s="89">
        <v>10000</v>
      </c>
      <c r="M20" s="89">
        <v>20000</v>
      </c>
      <c r="N20" s="89">
        <v>30000</v>
      </c>
      <c r="O20" s="39">
        <f>$C$4+$C$5</f>
        <v>1.5559819002089998</v>
      </c>
      <c r="P20" s="39">
        <f>IF(O20&lt;D20,10,IF(O20&gt;N20,N20,HLOOKUP(O20,D20:N20,1)))</f>
        <v>10</v>
      </c>
      <c r="Q20" s="39">
        <f>IF(O20&lt;10,10,IF(O20&lt;20,20,IF(O20&gt;N20,N20,INDEX(D20:N20,MATCH(O20,D20:N20,1)+1))))</f>
        <v>10</v>
      </c>
    </row>
    <row r="21" spans="1:17" s="38" customFormat="1" ht="15.75" thickBot="1">
      <c r="A21" s="42">
        <v>1</v>
      </c>
      <c r="B21" s="43" t="s">
        <v>121</v>
      </c>
      <c r="C21" s="85">
        <v>3.4460000000000002</v>
      </c>
      <c r="D21" s="86">
        <v>2.923</v>
      </c>
      <c r="E21" s="90">
        <v>2.61</v>
      </c>
      <c r="F21" s="90">
        <v>2.0169999999999999</v>
      </c>
      <c r="G21" s="90">
        <v>1.8859999999999999</v>
      </c>
      <c r="H21" s="90">
        <v>1.514</v>
      </c>
      <c r="I21" s="90">
        <v>1.2390000000000001</v>
      </c>
      <c r="J21" s="90">
        <v>0.95799999999999996</v>
      </c>
      <c r="K21" s="90">
        <v>0.71099999999999997</v>
      </c>
      <c r="L21" s="90">
        <v>0.51</v>
      </c>
      <c r="M21" s="90">
        <v>0.38100000000000001</v>
      </c>
      <c r="N21" s="90">
        <v>0.30499999999999999</v>
      </c>
      <c r="O21" s="45">
        <f>IF(Q$20=P$20,P21,ROUND(P21-((P21-Q21)/(Q$20-P$20))*(O$20-P$20),3))</f>
        <v>3.4460000000000002</v>
      </c>
      <c r="P21" s="45">
        <f>IF(P$20=10,C21,HLOOKUP($P$20,$D$20:$N$25,2,TRUE))</f>
        <v>3.4460000000000002</v>
      </c>
      <c r="Q21" s="45">
        <f>IF(Q$20=10,C21,HLOOKUP($Q$20,$D$20:$N$25,2,TRUE))</f>
        <v>3.4460000000000002</v>
      </c>
    </row>
    <row r="22" spans="1:17" s="38" customFormat="1" ht="15.75" thickBot="1">
      <c r="A22" s="42">
        <v>2</v>
      </c>
      <c r="B22" s="43" t="s">
        <v>122</v>
      </c>
      <c r="C22" s="86">
        <v>3.5569999999999999</v>
      </c>
      <c r="D22" s="86">
        <v>3.0179999999999998</v>
      </c>
      <c r="E22" s="90">
        <v>2.694</v>
      </c>
      <c r="F22" s="90">
        <v>2.0819999999999999</v>
      </c>
      <c r="G22" s="90">
        <v>1.9470000000000001</v>
      </c>
      <c r="H22" s="90">
        <v>1.5640000000000001</v>
      </c>
      <c r="I22" s="90">
        <v>1.2789999999999999</v>
      </c>
      <c r="J22" s="90">
        <v>1.103</v>
      </c>
      <c r="K22" s="90">
        <v>0.73399999999999999</v>
      </c>
      <c r="L22" s="90">
        <v>0.52700000000000002</v>
      </c>
      <c r="M22" s="90">
        <v>0.39300000000000002</v>
      </c>
      <c r="N22" s="90">
        <v>0.314</v>
      </c>
      <c r="O22" s="45">
        <f>IF(Q$20=P$20,P22,ROUND(P22-((P22-Q22)/(Q$20-P$20))*(O$20-P$20),3))</f>
        <v>3.5569999999999999</v>
      </c>
      <c r="P22" s="45">
        <f>IF(P$20=10,C22,HLOOKUP($P$20,$D$20:$N$25,3,TRUE))</f>
        <v>3.5569999999999999</v>
      </c>
      <c r="Q22" s="45">
        <f>IF(Q$20=10,C22,HLOOKUP($Q$20,$D$20:$N$25,3,TRUE))</f>
        <v>3.5569999999999999</v>
      </c>
    </row>
    <row r="23" spans="1:17" s="38" customFormat="1" ht="15.75" thickBot="1">
      <c r="A23" s="42">
        <v>3</v>
      </c>
      <c r="B23" s="43" t="s">
        <v>123</v>
      </c>
      <c r="C23" s="86">
        <v>3.024</v>
      </c>
      <c r="D23" s="86">
        <v>2.5659999999999998</v>
      </c>
      <c r="E23" s="90">
        <v>2.2919999999999998</v>
      </c>
      <c r="F23" s="90">
        <v>1.7709999999999999</v>
      </c>
      <c r="G23" s="90">
        <v>1.655</v>
      </c>
      <c r="H23" s="90">
        <v>1.329</v>
      </c>
      <c r="I23" s="90">
        <v>1.0880000000000001</v>
      </c>
      <c r="J23" s="90">
        <v>0.93700000000000006</v>
      </c>
      <c r="K23" s="90">
        <v>0.624</v>
      </c>
      <c r="L23" s="90">
        <v>0.44800000000000001</v>
      </c>
      <c r="M23" s="90">
        <v>0.33500000000000002</v>
      </c>
      <c r="N23" s="90">
        <v>0.26800000000000002</v>
      </c>
      <c r="O23" s="45">
        <f>IF(Q$20=P$20,P23,ROUND(P23-((P23-Q23)/(Q$20-P$20))*(O$20-P$20),3))</f>
        <v>3.024</v>
      </c>
      <c r="P23" s="45">
        <f>IF(P$20=10,C23,HLOOKUP($P$20,$D$20:$N$25,4,TRUE))</f>
        <v>3.024</v>
      </c>
      <c r="Q23" s="45">
        <f>IF(Q$20=10,C23,HLOOKUP($Q$20,$D$20:$N$25,4,TRUE))</f>
        <v>3.024</v>
      </c>
    </row>
    <row r="24" spans="1:17" s="38" customFormat="1" ht="15.75" thickBot="1">
      <c r="A24" s="42">
        <v>4</v>
      </c>
      <c r="B24" s="43" t="s">
        <v>124</v>
      </c>
      <c r="C24" s="86">
        <v>3.2629999999999999</v>
      </c>
      <c r="D24" s="86">
        <v>2.7690000000000001</v>
      </c>
      <c r="E24" s="90">
        <v>2.4729999999999999</v>
      </c>
      <c r="F24" s="90">
        <v>1.91</v>
      </c>
      <c r="G24" s="90">
        <v>1.786</v>
      </c>
      <c r="H24" s="90">
        <v>1.4339999999999999</v>
      </c>
      <c r="I24" s="90">
        <v>1.1739999999999999</v>
      </c>
      <c r="J24" s="90">
        <v>1.012</v>
      </c>
      <c r="K24" s="90">
        <v>0.67400000000000004</v>
      </c>
      <c r="L24" s="90">
        <v>0.48399999999999999</v>
      </c>
      <c r="M24" s="90">
        <v>0.36099999999999999</v>
      </c>
      <c r="N24" s="90">
        <v>0.28899999999999998</v>
      </c>
      <c r="O24" s="45">
        <f>IF(Q$20=P$20,P24,ROUND(P24-((P24-Q24)/(Q$20-P$20))*(O$20-P$20),3))</f>
        <v>3.2629999999999999</v>
      </c>
      <c r="P24" s="45">
        <f>IF(P$20=10,C24,HLOOKUP($P$20,$D$20:$N$25,5,TRUE))</f>
        <v>3.2629999999999999</v>
      </c>
      <c r="Q24" s="45">
        <f>IF(Q$20=10,C24,HLOOKUP($Q$20,$D$20:$N$25,5,TRUE))</f>
        <v>3.2629999999999999</v>
      </c>
    </row>
    <row r="25" spans="1:17" s="38" customFormat="1" ht="15.75" thickBot="1">
      <c r="A25" s="42">
        <v>5</v>
      </c>
      <c r="B25" s="43" t="s">
        <v>125</v>
      </c>
      <c r="C25" s="86">
        <v>2.9009999999999998</v>
      </c>
      <c r="D25" s="86">
        <v>2.4609999999999999</v>
      </c>
      <c r="E25" s="90">
        <v>2.198</v>
      </c>
      <c r="F25" s="90">
        <v>1.593</v>
      </c>
      <c r="G25" s="90">
        <v>1.56</v>
      </c>
      <c r="H25" s="90">
        <v>1.2749999999999999</v>
      </c>
      <c r="I25" s="90">
        <v>1.071</v>
      </c>
      <c r="J25" s="90">
        <v>0.89900000000000002</v>
      </c>
      <c r="K25" s="90">
        <v>0.59899999999999998</v>
      </c>
      <c r="L25" s="90">
        <v>0.42899999999999999</v>
      </c>
      <c r="M25" s="90">
        <v>0.32100000000000001</v>
      </c>
      <c r="N25" s="90">
        <v>0.25700000000000001</v>
      </c>
      <c r="O25" s="45">
        <f>IF(Q$20=P$20,P25,ROUND(P25-((P25-Q25)/(Q$20-P$20))*(O$20-P$20),3))</f>
        <v>2.9009999999999998</v>
      </c>
      <c r="P25" s="45">
        <f>IF(P$20=10,C25,HLOOKUP($P$20,$D$20:$N$25,6,TRUE))</f>
        <v>2.9009999999999998</v>
      </c>
      <c r="Q25" s="45">
        <f>IF(Q$20=10,C25,HLOOKUP($Q$20,$D$20:$N$25,6,TRUE))</f>
        <v>2.9009999999999998</v>
      </c>
    </row>
    <row r="26" spans="1:17" s="38" customFormat="1" hidden="1">
      <c r="A26" s="38" t="s">
        <v>126</v>
      </c>
      <c r="Q26" s="46"/>
    </row>
    <row r="27" spans="1:17" s="38" customFormat="1"/>
    <row r="28" spans="1:17" s="38" customFormat="1">
      <c r="A28" s="248" t="s">
        <v>341</v>
      </c>
      <c r="B28" s="248"/>
      <c r="C28" s="248"/>
      <c r="D28" s="248"/>
      <c r="E28" s="248"/>
      <c r="F28" s="248"/>
      <c r="G28" s="248"/>
    </row>
    <row r="29" spans="1:17" s="38" customFormat="1">
      <c r="K29" s="257" t="s">
        <v>112</v>
      </c>
      <c r="L29" s="257"/>
      <c r="M29" s="257"/>
      <c r="N29" s="257"/>
    </row>
    <row r="30" spans="1:17" s="38" customFormat="1" hidden="1">
      <c r="A30" s="38" t="s">
        <v>127</v>
      </c>
      <c r="N30" s="38" t="s">
        <v>114</v>
      </c>
    </row>
    <row r="31" spans="1:17" s="38" customFormat="1" ht="15.75" thickBot="1">
      <c r="A31" s="250" t="s">
        <v>1</v>
      </c>
      <c r="B31" s="250" t="s">
        <v>115</v>
      </c>
      <c r="C31" s="250" t="s">
        <v>116</v>
      </c>
      <c r="D31" s="250"/>
      <c r="E31" s="250"/>
      <c r="F31" s="250"/>
      <c r="G31" s="250"/>
      <c r="H31" s="250"/>
      <c r="I31" s="250"/>
      <c r="J31" s="250"/>
      <c r="K31" s="250"/>
      <c r="L31" s="250"/>
      <c r="M31" s="250"/>
      <c r="N31" s="250"/>
      <c r="O31" s="39" t="s">
        <v>117</v>
      </c>
      <c r="P31" s="39" t="s">
        <v>118</v>
      </c>
      <c r="Q31" s="39" t="s">
        <v>119</v>
      </c>
    </row>
    <row r="32" spans="1:17" s="38" customFormat="1" ht="15.75" thickBot="1">
      <c r="A32" s="250"/>
      <c r="B32" s="250"/>
      <c r="C32" s="40" t="s">
        <v>128</v>
      </c>
      <c r="D32" s="87">
        <v>20</v>
      </c>
      <c r="E32" s="88">
        <v>50</v>
      </c>
      <c r="F32" s="88">
        <v>100</v>
      </c>
      <c r="G32" s="88">
        <v>200</v>
      </c>
      <c r="H32" s="88">
        <v>500</v>
      </c>
      <c r="I32" s="89">
        <v>1000</v>
      </c>
      <c r="J32" s="89">
        <v>2000</v>
      </c>
      <c r="K32" s="89">
        <v>5000</v>
      </c>
      <c r="L32" s="89">
        <v>10000</v>
      </c>
      <c r="M32" s="89">
        <v>20000</v>
      </c>
      <c r="N32" s="89">
        <v>30000</v>
      </c>
      <c r="O32" s="39">
        <f>$C$4+$C$5</f>
        <v>1.5559819002089998</v>
      </c>
      <c r="P32" s="39">
        <f>IF(O32&lt;D32,15,IF(O32&gt;N32,N32,HLOOKUP(O32,D32:N32,1)))</f>
        <v>15</v>
      </c>
      <c r="Q32" s="39">
        <f>IF(O32&lt;15,15,IF(O32&lt;20,20,IF(O32&gt;N32,N32,INDEX(D32:N32,MATCH(O32,D32:N32,1)+1))))</f>
        <v>15</v>
      </c>
    </row>
    <row r="33" spans="1:17" s="38" customFormat="1" ht="15.75" thickBot="1">
      <c r="A33" s="42">
        <v>1</v>
      </c>
      <c r="B33" s="43" t="s">
        <v>121</v>
      </c>
      <c r="C33" s="85">
        <v>0.66800000000000004</v>
      </c>
      <c r="D33" s="86">
        <v>0.503</v>
      </c>
      <c r="E33" s="90">
        <v>0.376</v>
      </c>
      <c r="F33" s="90">
        <v>0.24</v>
      </c>
      <c r="G33" s="90">
        <v>0.161</v>
      </c>
      <c r="H33" s="90">
        <v>0.1</v>
      </c>
      <c r="I33" s="90">
        <v>8.5999999999999993E-2</v>
      </c>
      <c r="J33" s="90">
        <v>7.2999999999999995E-2</v>
      </c>
      <c r="K33" s="90">
        <v>0.05</v>
      </c>
      <c r="L33" s="90">
        <v>0.04</v>
      </c>
      <c r="M33" s="90">
        <v>2.5999999999999999E-2</v>
      </c>
      <c r="N33" s="90">
        <v>2.1999999999999999E-2</v>
      </c>
      <c r="O33" s="45">
        <f>IF(Q$32=P$32,P33,ROUND(P33-((P33-Q33)/(Q$32-P$32))*(O$32-P$32),3))</f>
        <v>0.66800000000000004</v>
      </c>
      <c r="P33" s="45">
        <f>IF(P$32=0,0,IF(P$32=15,C33,HLOOKUP($P$32,$D$32:$N$37,2,TRUE)))</f>
        <v>0.66800000000000004</v>
      </c>
      <c r="Q33" s="45">
        <f>IF(Q$32=0,0,IF(Q$32=15,C33,HLOOKUP($Q$32,$D$32:$N$37,2,TRUE)))</f>
        <v>0.66800000000000004</v>
      </c>
    </row>
    <row r="34" spans="1:17" s="38" customFormat="1" ht="15.75" thickBot="1">
      <c r="A34" s="42">
        <v>2</v>
      </c>
      <c r="B34" s="43" t="s">
        <v>122</v>
      </c>
      <c r="C34" s="86">
        <v>0.75700000000000001</v>
      </c>
      <c r="D34" s="86">
        <v>0.61199999999999999</v>
      </c>
      <c r="E34" s="90">
        <v>0.441</v>
      </c>
      <c r="F34" s="90">
        <v>0.29399999999999998</v>
      </c>
      <c r="G34" s="90">
        <v>0.20599999999999999</v>
      </c>
      <c r="H34" s="90">
        <v>0.16300000000000001</v>
      </c>
      <c r="I34" s="90">
        <v>0.14099999999999999</v>
      </c>
      <c r="J34" s="90">
        <v>0.11</v>
      </c>
      <c r="K34" s="90">
        <v>7.3999999999999996E-2</v>
      </c>
      <c r="L34" s="90">
        <v>5.7000000000000002E-2</v>
      </c>
      <c r="M34" s="90">
        <v>3.4000000000000002E-2</v>
      </c>
      <c r="N34" s="90">
        <v>2.7E-2</v>
      </c>
      <c r="O34" s="45">
        <f>IF(Q$32=P$32,P34,ROUND(P34-((P34-Q34)/(Q$32-P$32))*(O$32-P$32),3))</f>
        <v>0.75700000000000001</v>
      </c>
      <c r="P34" s="45">
        <f>IF(P$32=0,0,IF(P$32=15,C34,HLOOKUP($P$32,$D$32:$N$37,3,TRUE)))</f>
        <v>0.75700000000000001</v>
      </c>
      <c r="Q34" s="45">
        <f>IF(Q$32=0,0,IF(Q$32=15,C34,HLOOKUP($Q$32,$D$32:$N$37,3,TRUE)))</f>
        <v>0.75700000000000001</v>
      </c>
    </row>
    <row r="35" spans="1:17" s="38" customFormat="1" ht="15.75" thickBot="1">
      <c r="A35" s="42">
        <v>3</v>
      </c>
      <c r="B35" s="43" t="s">
        <v>123</v>
      </c>
      <c r="C35" s="86">
        <v>0.41299999999999998</v>
      </c>
      <c r="D35" s="86">
        <v>0.34499999999999997</v>
      </c>
      <c r="E35" s="90">
        <v>0.251</v>
      </c>
      <c r="F35" s="90">
        <v>0.17699999999999999</v>
      </c>
      <c r="G35" s="90">
        <v>0.108</v>
      </c>
      <c r="H35" s="90">
        <v>7.0999999999999994E-2</v>
      </c>
      <c r="I35" s="90">
        <v>6.2E-2</v>
      </c>
      <c r="J35" s="90">
        <v>5.2999999999999999E-2</v>
      </c>
      <c r="K35" s="90">
        <v>3.5999999999999997E-2</v>
      </c>
      <c r="L35" s="90">
        <v>2.9000000000000001E-2</v>
      </c>
      <c r="M35" s="90">
        <v>1.9E-2</v>
      </c>
      <c r="N35" s="90">
        <v>1.6E-2</v>
      </c>
      <c r="O35" s="45">
        <f>IF(Q$32=P$32,P35,ROUND(P35-((P35-Q35)/(Q$32-P$32))*(O$32-P$32),3))</f>
        <v>0.41299999999999998</v>
      </c>
      <c r="P35" s="45">
        <f>IF(P$32=0,0,IF(P$32=15,C35,HLOOKUP($P$32,$D$32:$N$37,4,TRUE)))</f>
        <v>0.41299999999999998</v>
      </c>
      <c r="Q35" s="45">
        <f>IF(Q$32=0,0,IF(Q$32=15,C35,HLOOKUP($Q$32,$D$32:$N$37,4,TRUE)))</f>
        <v>0.41299999999999998</v>
      </c>
    </row>
    <row r="36" spans="1:17" s="38" customFormat="1" ht="15.75" thickBot="1">
      <c r="A36" s="42">
        <v>4</v>
      </c>
      <c r="B36" s="43" t="s">
        <v>124</v>
      </c>
      <c r="C36" s="86">
        <v>0.56599999999999995</v>
      </c>
      <c r="D36" s="86">
        <v>0.47199999999999998</v>
      </c>
      <c r="E36" s="90">
        <v>0.34300000000000003</v>
      </c>
      <c r="F36" s="90">
        <v>0.216</v>
      </c>
      <c r="G36" s="90">
        <v>0.14399999999999999</v>
      </c>
      <c r="H36" s="90">
        <v>9.6000000000000002E-2</v>
      </c>
      <c r="I36" s="90">
        <v>8.2000000000000003E-2</v>
      </c>
      <c r="J36" s="90">
        <v>7.0000000000000007E-2</v>
      </c>
      <c r="K36" s="90">
        <v>4.8000000000000001E-2</v>
      </c>
      <c r="L36" s="90">
        <v>3.9E-2</v>
      </c>
      <c r="M36" s="90">
        <v>2.5000000000000001E-2</v>
      </c>
      <c r="N36" s="90">
        <v>2.1000000000000001E-2</v>
      </c>
      <c r="O36" s="45">
        <f>IF(Q$32=P$32,P36,ROUND(P36-((P36-Q36)/(Q$32-P$32))*(O$32-P$32),3))</f>
        <v>0.56599999999999995</v>
      </c>
      <c r="P36" s="45">
        <f>IF(P$32=0,0,IF(P$32=15,C36,HLOOKUP($P$32,$D$32:$N$37,5,TRUE)))</f>
        <v>0.56599999999999995</v>
      </c>
      <c r="Q36" s="45">
        <f>IF(Q$32=0,0,IF(Q$32=15,C36,HLOOKUP($Q$32,$D$32:$N$37,5,TRUE)))</f>
        <v>0.56599999999999995</v>
      </c>
    </row>
    <row r="37" spans="1:17" s="38" customFormat="1" ht="15.75" thickBot="1">
      <c r="A37" s="42">
        <v>5</v>
      </c>
      <c r="B37" s="43" t="s">
        <v>125</v>
      </c>
      <c r="C37" s="86">
        <v>0.43099999999999999</v>
      </c>
      <c r="D37" s="86">
        <v>0.36</v>
      </c>
      <c r="E37" s="90">
        <v>0.26200000000000001</v>
      </c>
      <c r="F37" s="90">
        <v>0.183</v>
      </c>
      <c r="G37" s="90">
        <v>0.112</v>
      </c>
      <c r="H37" s="90">
        <v>7.3999999999999996E-2</v>
      </c>
      <c r="I37" s="90">
        <v>6.5000000000000002E-2</v>
      </c>
      <c r="J37" s="90">
        <v>5.5E-2</v>
      </c>
      <c r="K37" s="90">
        <v>3.7999999999999999E-2</v>
      </c>
      <c r="L37" s="90">
        <v>0.03</v>
      </c>
      <c r="M37" s="90">
        <v>0.02</v>
      </c>
      <c r="N37" s="90">
        <v>1.7000000000000001E-2</v>
      </c>
      <c r="O37" s="45">
        <f>IF(Q$32=P$32,P37,ROUND(P37-((P37-Q37)/(Q$32-P$32))*(O$32-P$32),3))</f>
        <v>0.43099999999999999</v>
      </c>
      <c r="P37" s="45">
        <f>IF(P$32=0,0,IF(P$32=15,C37,HLOOKUP($P$32,$D$32:$N$37,6,TRUE)))</f>
        <v>0.43099999999999999</v>
      </c>
      <c r="Q37" s="45">
        <f>IF(Q$32=0,0,IF(Q$32=15,C37,HLOOKUP($Q$32,$D$32:$N$37,6,TRUE)))</f>
        <v>0.43099999999999999</v>
      </c>
    </row>
    <row r="38" spans="1:17" s="38" customFormat="1" hidden="1">
      <c r="A38" s="38" t="s">
        <v>129</v>
      </c>
      <c r="Q38" s="45"/>
    </row>
    <row r="39" spans="1:17" s="38" customFormat="1">
      <c r="Q39" s="47"/>
    </row>
    <row r="40" spans="1:17" s="38" customFormat="1">
      <c r="A40" s="248" t="s">
        <v>342</v>
      </c>
      <c r="B40" s="248"/>
      <c r="C40" s="248"/>
      <c r="D40" s="248"/>
      <c r="E40" s="248"/>
      <c r="F40" s="248"/>
      <c r="G40" s="248"/>
    </row>
    <row r="41" spans="1:17" s="38" customFormat="1">
      <c r="K41" s="257" t="s">
        <v>112</v>
      </c>
      <c r="L41" s="257"/>
      <c r="M41" s="257"/>
      <c r="N41" s="257"/>
    </row>
    <row r="42" spans="1:17" s="38" customFormat="1" hidden="1">
      <c r="A42" s="38" t="s">
        <v>130</v>
      </c>
      <c r="N42" s="38" t="s">
        <v>114</v>
      </c>
    </row>
    <row r="43" spans="1:17" s="38" customFormat="1" ht="15.75" thickBot="1">
      <c r="A43" s="250" t="s">
        <v>1</v>
      </c>
      <c r="B43" s="250" t="s">
        <v>115</v>
      </c>
      <c r="C43" s="250" t="s">
        <v>116</v>
      </c>
      <c r="D43" s="250"/>
      <c r="E43" s="250"/>
      <c r="F43" s="250"/>
      <c r="G43" s="250"/>
      <c r="H43" s="250"/>
      <c r="I43" s="250"/>
      <c r="J43" s="250"/>
      <c r="K43" s="250"/>
      <c r="L43" s="250"/>
      <c r="M43" s="250"/>
      <c r="N43" s="250"/>
      <c r="O43" s="39" t="s">
        <v>117</v>
      </c>
      <c r="P43" s="39" t="s">
        <v>118</v>
      </c>
      <c r="Q43" s="39" t="s">
        <v>119</v>
      </c>
    </row>
    <row r="44" spans="1:17" s="38" customFormat="1" ht="15.75" thickBot="1">
      <c r="A44" s="250"/>
      <c r="B44" s="250"/>
      <c r="C44" s="40" t="s">
        <v>128</v>
      </c>
      <c r="D44" s="87">
        <v>20</v>
      </c>
      <c r="E44" s="88">
        <v>50</v>
      </c>
      <c r="F44" s="88">
        <v>100</v>
      </c>
      <c r="G44" s="88">
        <v>200</v>
      </c>
      <c r="H44" s="88">
        <v>500</v>
      </c>
      <c r="I44" s="89">
        <v>1000</v>
      </c>
      <c r="J44" s="89">
        <v>2000</v>
      </c>
      <c r="K44" s="89">
        <v>5000</v>
      </c>
      <c r="L44" s="89">
        <v>10000</v>
      </c>
      <c r="M44" s="89">
        <v>20000</v>
      </c>
      <c r="N44" s="89">
        <v>30000</v>
      </c>
      <c r="O44" s="39">
        <f>$C$4+$C$5</f>
        <v>1.5559819002089998</v>
      </c>
      <c r="P44" s="39">
        <f>IF(O44&lt;D44,15,IF(O44&gt;N44,N44,HLOOKUP(O44,D44:N44,1)))</f>
        <v>15</v>
      </c>
      <c r="Q44" s="39">
        <f>IF(O44&lt;15,15,IF(O44&lt;20,20,IF(O44&gt;N44,N44,INDEX(D44:N44,MATCH(O44,D44:N44,1)+1))))</f>
        <v>15</v>
      </c>
    </row>
    <row r="45" spans="1:17" s="38" customFormat="1" ht="15.75" thickBot="1">
      <c r="A45" s="42">
        <v>1</v>
      </c>
      <c r="B45" s="43" t="s">
        <v>121</v>
      </c>
      <c r="C45" s="85">
        <v>1.1140000000000001</v>
      </c>
      <c r="D45" s="86">
        <v>0.91400000000000003</v>
      </c>
      <c r="E45" s="90">
        <v>0.751</v>
      </c>
      <c r="F45" s="90">
        <v>0.53400000000000003</v>
      </c>
      <c r="G45" s="90">
        <v>0.40200000000000002</v>
      </c>
      <c r="H45" s="90">
        <v>0.28699999999999998</v>
      </c>
      <c r="I45" s="90">
        <v>0.246</v>
      </c>
      <c r="J45" s="90">
        <v>0.20899999999999999</v>
      </c>
      <c r="K45" s="90">
        <v>0.16700000000000001</v>
      </c>
      <c r="L45" s="90">
        <v>0.13400000000000001</v>
      </c>
      <c r="M45" s="90">
        <v>0.10199999999999999</v>
      </c>
      <c r="N45" s="90">
        <v>8.5999999999999993E-2</v>
      </c>
      <c r="O45" s="45">
        <f>IF(Q$44=P$44,P45,ROUND(P45-((P45-Q45)/(Q$44-P$44))*(O$44-P$44),3))</f>
        <v>1.1140000000000001</v>
      </c>
      <c r="P45" s="45">
        <f>IF(P$44=0,0,IF(P$44=15,C45,HLOOKUP($P$44,$D$44:$N$49,2,TRUE)))</f>
        <v>1.1140000000000001</v>
      </c>
      <c r="Q45" s="45">
        <f>IF(Q$44=0,0,IF(Q$44=15,C45,HLOOKUP($Q$44,$D$44:$N$49,2,TRUE)))</f>
        <v>1.1140000000000001</v>
      </c>
    </row>
    <row r="46" spans="1:17" s="38" customFormat="1" ht="15.75" thickBot="1">
      <c r="A46" s="42">
        <v>2</v>
      </c>
      <c r="B46" s="43" t="s">
        <v>122</v>
      </c>
      <c r="C46" s="86">
        <v>1.2609999999999999</v>
      </c>
      <c r="D46" s="86">
        <v>1.1120000000000001</v>
      </c>
      <c r="E46" s="90">
        <v>0.88200000000000001</v>
      </c>
      <c r="F46" s="90">
        <v>0.65400000000000003</v>
      </c>
      <c r="G46" s="90">
        <v>0.51500000000000001</v>
      </c>
      <c r="H46" s="90">
        <v>0.46600000000000003</v>
      </c>
      <c r="I46" s="90">
        <v>0.40400000000000003</v>
      </c>
      <c r="J46" s="90">
        <v>0.315</v>
      </c>
      <c r="K46" s="90">
        <v>0.248</v>
      </c>
      <c r="L46" s="90">
        <v>0.189</v>
      </c>
      <c r="M46" s="90">
        <v>0.13500000000000001</v>
      </c>
      <c r="N46" s="90">
        <v>0.107</v>
      </c>
      <c r="O46" s="45">
        <f>IF(Q$44=P$44,P46,ROUND(P46-((P46-Q46)/(Q$44-P$44))*(O$44-P$44),3))</f>
        <v>1.2609999999999999</v>
      </c>
      <c r="P46" s="45">
        <f>IF(P$44=0,0,IF(P$44=15,C46,HLOOKUP($P$44,$D$44:$N$49,3,TRUE)))</f>
        <v>1.2609999999999999</v>
      </c>
      <c r="Q46" s="45">
        <f>IF(Q$44=0,0,IF(Q$44=15,C46,HLOOKUP($Q$44,$D$44:$N$49,3,TRUE)))</f>
        <v>1.2609999999999999</v>
      </c>
    </row>
    <row r="47" spans="1:17" s="38" customFormat="1" ht="15.75" thickBot="1">
      <c r="A47" s="42">
        <v>3</v>
      </c>
      <c r="B47" s="43" t="s">
        <v>123</v>
      </c>
      <c r="C47" s="86">
        <v>0.68899999999999995</v>
      </c>
      <c r="D47" s="86">
        <v>0.628</v>
      </c>
      <c r="E47" s="90">
        <v>0.501</v>
      </c>
      <c r="F47" s="90">
        <v>0.39300000000000002</v>
      </c>
      <c r="G47" s="90">
        <v>0.27100000000000002</v>
      </c>
      <c r="H47" s="90">
        <v>0.20300000000000001</v>
      </c>
      <c r="I47" s="90">
        <v>0.17699999999999999</v>
      </c>
      <c r="J47" s="90">
        <v>0.151</v>
      </c>
      <c r="K47" s="90">
        <v>0.12</v>
      </c>
      <c r="L47" s="90">
        <v>9.7000000000000003E-2</v>
      </c>
      <c r="M47" s="90">
        <v>7.4999999999999997E-2</v>
      </c>
      <c r="N47" s="90">
        <v>6.3E-2</v>
      </c>
      <c r="O47" s="45">
        <f>IF(Q$44=P$44,P47,ROUND(P47-((P47-Q47)/(Q$44-P$44))*(O$44-P$44),3))</f>
        <v>0.68899999999999995</v>
      </c>
      <c r="P47" s="45">
        <f>IF(P$44=0,0,IF(P$44=15,C47,HLOOKUP($P$44,$D$44:$N$49,4,TRUE)))</f>
        <v>0.68899999999999995</v>
      </c>
      <c r="Q47" s="45">
        <f>IF(Q$44=0,0,IF(Q$44=15,C47,HLOOKUP($Q$44,$D$44:$N$49,4,TRUE)))</f>
        <v>0.68899999999999995</v>
      </c>
    </row>
    <row r="48" spans="1:17" s="38" customFormat="1" ht="15.75" thickBot="1">
      <c r="A48" s="42">
        <v>4</v>
      </c>
      <c r="B48" s="43" t="s">
        <v>124</v>
      </c>
      <c r="C48" s="86">
        <v>0.94299999999999995</v>
      </c>
      <c r="D48" s="86">
        <v>0.85799999999999998</v>
      </c>
      <c r="E48" s="90">
        <v>0.68500000000000005</v>
      </c>
      <c r="F48" s="90">
        <v>0.48</v>
      </c>
      <c r="G48" s="90">
        <v>0.36099999999999999</v>
      </c>
      <c r="H48" s="90">
        <v>0.27300000000000002</v>
      </c>
      <c r="I48" s="90">
        <v>0.23400000000000001</v>
      </c>
      <c r="J48" s="90">
        <v>0.20100000000000001</v>
      </c>
      <c r="K48" s="90">
        <v>0.161</v>
      </c>
      <c r="L48" s="90">
        <v>0.129</v>
      </c>
      <c r="M48" s="90">
        <v>0.1</v>
      </c>
      <c r="N48" s="90">
        <v>8.4000000000000005E-2</v>
      </c>
      <c r="O48" s="45">
        <f>IF(Q$44=P$44,P48,ROUND(P48-((P48-Q48)/(Q$44-P$44))*(O$44-P$44),3))</f>
        <v>0.94299999999999995</v>
      </c>
      <c r="P48" s="45">
        <f>IF(P$44=0,0,IF(P$44=15,C48,HLOOKUP($P$44,$D$44:$N$49,5,TRUE)))</f>
        <v>0.94299999999999995</v>
      </c>
      <c r="Q48" s="45">
        <f>IF(Q$44=0,0,IF(Q$44=15,C48,HLOOKUP($Q$44,$D$44:$N$49,5,TRUE)))</f>
        <v>0.94299999999999995</v>
      </c>
    </row>
    <row r="49" spans="1:17" s="38" customFormat="1" ht="15.75" thickBot="1">
      <c r="A49" s="42">
        <v>5</v>
      </c>
      <c r="B49" s="43" t="s">
        <v>125</v>
      </c>
      <c r="C49" s="86">
        <v>0.71899999999999997</v>
      </c>
      <c r="D49" s="86">
        <v>0.65400000000000003</v>
      </c>
      <c r="E49" s="90">
        <v>0.52400000000000002</v>
      </c>
      <c r="F49" s="90">
        <v>0.40699999999999997</v>
      </c>
      <c r="G49" s="90">
        <v>0.28000000000000003</v>
      </c>
      <c r="H49" s="90">
        <v>0.21099999999999999</v>
      </c>
      <c r="I49" s="90">
        <v>0.185</v>
      </c>
      <c r="J49" s="90">
        <v>0.158</v>
      </c>
      <c r="K49" s="90">
        <v>0.127</v>
      </c>
      <c r="L49" s="90">
        <v>0.10100000000000001</v>
      </c>
      <c r="M49" s="90">
        <v>7.8E-2</v>
      </c>
      <c r="N49" s="90">
        <v>6.5000000000000002E-2</v>
      </c>
      <c r="O49" s="45">
        <f>IF(Q$44=P$44,P49,ROUND(P49-((P49-Q49)/(Q$44-P$44))*(O$44-P$44),3))</f>
        <v>0.71899999999999997</v>
      </c>
      <c r="P49" s="45">
        <f>IF(P$44=0,0,IF(P$44=15,C49,HLOOKUP($P$44,$D$44:$N$49,6,TRUE)))</f>
        <v>0.71899999999999997</v>
      </c>
      <c r="Q49" s="45">
        <f>IF(Q$44=0,0,IF(Q$44=15,C49,HLOOKUP($Q$44,$D$44:$N$49,6,TRUE)))</f>
        <v>0.71899999999999997</v>
      </c>
    </row>
    <row r="50" spans="1:17" s="38" customFormat="1" hidden="1">
      <c r="A50" s="38" t="s">
        <v>131</v>
      </c>
      <c r="Q50" s="45"/>
    </row>
    <row r="51" spans="1:17" s="38" customFormat="1"/>
    <row r="52" spans="1:17" s="38" customFormat="1">
      <c r="A52" s="248" t="s">
        <v>343</v>
      </c>
      <c r="B52" s="248"/>
      <c r="C52" s="248"/>
      <c r="D52" s="248"/>
      <c r="E52" s="248"/>
      <c r="F52" s="248"/>
      <c r="G52" s="248"/>
    </row>
    <row r="53" spans="1:17" s="38" customFormat="1">
      <c r="C53" s="257" t="s">
        <v>112</v>
      </c>
      <c r="D53" s="257"/>
      <c r="E53" s="257"/>
      <c r="F53" s="257"/>
    </row>
    <row r="54" spans="1:17" s="38" customFormat="1" hidden="1">
      <c r="A54" s="38" t="s">
        <v>132</v>
      </c>
      <c r="F54" s="38" t="s">
        <v>114</v>
      </c>
    </row>
    <row r="55" spans="1:17" s="38" customFormat="1" ht="45.75" customHeight="1">
      <c r="A55" s="250" t="s">
        <v>1</v>
      </c>
      <c r="B55" s="250" t="s">
        <v>115</v>
      </c>
      <c r="C55" s="258" t="s">
        <v>116</v>
      </c>
      <c r="D55" s="258"/>
      <c r="E55" s="258"/>
      <c r="F55" s="258"/>
      <c r="G55" s="39" t="s">
        <v>117</v>
      </c>
      <c r="H55" s="39" t="s">
        <v>118</v>
      </c>
      <c r="I55" s="39" t="s">
        <v>119</v>
      </c>
      <c r="J55" s="48"/>
      <c r="K55" s="48"/>
      <c r="L55" s="48"/>
      <c r="M55" s="48"/>
      <c r="N55" s="48"/>
    </row>
    <row r="56" spans="1:17" s="38" customFormat="1" ht="15.75" thickBot="1">
      <c r="A56" s="250"/>
      <c r="B56" s="250"/>
      <c r="C56" s="40" t="s">
        <v>133</v>
      </c>
      <c r="D56" s="40">
        <v>3</v>
      </c>
      <c r="E56" s="40">
        <v>7</v>
      </c>
      <c r="F56" s="40" t="s">
        <v>134</v>
      </c>
      <c r="G56" s="39">
        <f>C4+C5</f>
        <v>1.5559819002089998</v>
      </c>
      <c r="H56" s="39">
        <f>IF(G56&lt;D56,1,IF(G56&gt;=15,0,HLOOKUP(G56,D56:E56,1)))</f>
        <v>1</v>
      </c>
      <c r="I56" s="39">
        <f>IF(G56&lt;1,1,IF(G56&lt;3,3,IF(G56&lt;7,7,IF(G56&gt;=15,0,IF(G56&gt;=7,15,0)))))</f>
        <v>3</v>
      </c>
    </row>
    <row r="57" spans="1:17" s="38" customFormat="1" ht="15.75" thickBot="1">
      <c r="A57" s="42">
        <v>1</v>
      </c>
      <c r="B57" s="43" t="s">
        <v>121</v>
      </c>
      <c r="C57" s="85">
        <v>6.5</v>
      </c>
      <c r="D57" s="85">
        <v>4.7</v>
      </c>
      <c r="E57" s="91">
        <v>4.2</v>
      </c>
      <c r="F57" s="91">
        <v>3.6</v>
      </c>
      <c r="G57" s="45">
        <f>IF(I$56=H$56,H57,ROUND(H57-((H57-I57)/(I$56-H$56))*(G$56-H$56),3))</f>
        <v>6</v>
      </c>
      <c r="H57" s="49">
        <f>IF(H$56=1,C57,IF(H$56=3,D57,IF(H$56=7,E57,IF(H$56=15,F57,0))))</f>
        <v>6.5</v>
      </c>
      <c r="I57" s="49">
        <f>IF(I$56=1,C57,IF(I$56=3,D57,IF(I$56=7,E57,IF(I$56=15,F57,0))))</f>
        <v>4.7</v>
      </c>
    </row>
    <row r="58" spans="1:17" s="38" customFormat="1" ht="15.75" thickBot="1">
      <c r="A58" s="42">
        <v>2</v>
      </c>
      <c r="B58" s="43" t="s">
        <v>122</v>
      </c>
      <c r="C58" s="86">
        <v>6.7</v>
      </c>
      <c r="D58" s="86">
        <v>4.8</v>
      </c>
      <c r="E58" s="90">
        <v>4.3</v>
      </c>
      <c r="F58" s="90">
        <v>3.8</v>
      </c>
      <c r="G58" s="49">
        <f>IF(I$56=H$56,H58,ROUND(H58-((H58-I58)/(I$56-H$56))*(G$56-H$56),3))</f>
        <v>6.1719999999999997</v>
      </c>
      <c r="H58" s="49">
        <f>IF(H$56=1,C58,IF(H$56=3,D58,IF(H$56=7,E58,IF(H$56=15,F58,0))))</f>
        <v>6.7</v>
      </c>
      <c r="I58" s="49">
        <f>IF(I$56=1,C58,IF(I$56=3,D58,IF(I$56=7,E58,IF(I$56=15,F58,0))))</f>
        <v>4.8</v>
      </c>
    </row>
    <row r="59" spans="1:17" s="38" customFormat="1" ht="15.75" thickBot="1">
      <c r="A59" s="42">
        <v>3</v>
      </c>
      <c r="B59" s="43" t="s">
        <v>123</v>
      </c>
      <c r="C59" s="86">
        <v>5.4</v>
      </c>
      <c r="D59" s="86">
        <v>3.6</v>
      </c>
      <c r="E59" s="90">
        <v>2.7</v>
      </c>
      <c r="F59" s="90">
        <v>2.5</v>
      </c>
      <c r="G59" s="49">
        <f>IF(I$56=H$56,H59,ROUND(H59-((H59-I59)/(I$56-H$56))*(G$56-H$56),3))</f>
        <v>4.9000000000000004</v>
      </c>
      <c r="H59" s="49">
        <f>IF(H$56=1,C59,IF(H$56=3,D59,IF(H$56=7,E59,IF(H$56=15,F59,0))))</f>
        <v>5.4</v>
      </c>
      <c r="I59" s="49">
        <f>IF(I$56=1,C59,IF(I$56=3,D59,IF(I$56=7,E59,IF(I$56=15,F59,0))))</f>
        <v>3.6</v>
      </c>
    </row>
    <row r="60" spans="1:17" s="38" customFormat="1" ht="15.75" thickBot="1">
      <c r="A60" s="42">
        <v>4</v>
      </c>
      <c r="B60" s="43" t="s">
        <v>124</v>
      </c>
      <c r="C60" s="86">
        <v>6.2</v>
      </c>
      <c r="D60" s="86">
        <v>4.4000000000000004</v>
      </c>
      <c r="E60" s="90">
        <v>3.9</v>
      </c>
      <c r="F60" s="90">
        <v>3.6</v>
      </c>
      <c r="G60" s="49">
        <f>IF(I$56=H$56,H60,ROUND(H60-((H60-I60)/(I$56-H$56))*(G$56-H$56),3))</f>
        <v>5.7</v>
      </c>
      <c r="H60" s="49">
        <f>IF(H$56=1,C60,IF(H$56=3,D60,IF(H$56=7,E60,IF(H$56=15,F60,0))))</f>
        <v>6.2</v>
      </c>
      <c r="I60" s="49">
        <f>IF(I$56=1,C60,IF(I$56=3,D60,IF(I$56=7,E60,IF(I$56=15,F60,0))))</f>
        <v>4.4000000000000004</v>
      </c>
    </row>
    <row r="61" spans="1:17" s="38" customFormat="1" ht="15.75" thickBot="1">
      <c r="A61" s="42">
        <v>5</v>
      </c>
      <c r="B61" s="43" t="s">
        <v>125</v>
      </c>
      <c r="C61" s="86">
        <v>5.8</v>
      </c>
      <c r="D61" s="86">
        <v>4.2</v>
      </c>
      <c r="E61" s="90">
        <v>3.4</v>
      </c>
      <c r="F61" s="90">
        <v>3</v>
      </c>
      <c r="G61" s="49">
        <f>IF(I$56=H$56,H61,ROUND(H61-((H61-I61)/(I$56-H$56))*(G$56-H$56),3))</f>
        <v>5.3550000000000004</v>
      </c>
      <c r="H61" s="49">
        <f>IF(H$56=1,C61,IF(H$56=3,D61,IF(H$56=7,E61,IF(H$56=15,F61,0))))</f>
        <v>5.8</v>
      </c>
      <c r="I61" s="49">
        <f>IF(I$56=1,C61,IF(I$56=3,D61,IF(I$56=7,E61,IF(I$56=15,F61,0))))</f>
        <v>4.2</v>
      </c>
    </row>
    <row r="62" spans="1:17" s="38" customFormat="1" hidden="1">
      <c r="A62" s="38" t="s">
        <v>135</v>
      </c>
    </row>
    <row r="63" spans="1:17" s="38" customFormat="1"/>
    <row r="64" spans="1:17" s="92" customFormat="1">
      <c r="A64" s="260" t="s">
        <v>136</v>
      </c>
      <c r="B64" s="260"/>
      <c r="C64" s="260"/>
      <c r="D64" s="260"/>
      <c r="E64" s="260"/>
      <c r="F64" s="260"/>
      <c r="G64" s="260"/>
    </row>
    <row r="65" spans="1:16" s="92" customFormat="1">
      <c r="J65" s="261" t="s">
        <v>112</v>
      </c>
      <c r="K65" s="261"/>
      <c r="L65" s="261"/>
      <c r="M65" s="261"/>
      <c r="N65" s="93"/>
    </row>
    <row r="66" spans="1:16" s="92" customFormat="1" hidden="1">
      <c r="A66" s="92" t="s">
        <v>137</v>
      </c>
      <c r="M66" s="92" t="s">
        <v>114</v>
      </c>
    </row>
    <row r="67" spans="1:16" s="92" customFormat="1" ht="29.25" customHeight="1">
      <c r="A67" s="262" t="s">
        <v>1</v>
      </c>
      <c r="B67" s="263" t="s">
        <v>138</v>
      </c>
      <c r="C67" s="262" t="s">
        <v>139</v>
      </c>
      <c r="D67" s="262"/>
      <c r="E67" s="262"/>
      <c r="F67" s="262"/>
      <c r="G67" s="262"/>
      <c r="H67" s="262"/>
      <c r="I67" s="262"/>
      <c r="J67" s="262"/>
      <c r="K67" s="262"/>
      <c r="L67" s="262"/>
      <c r="M67" s="262"/>
      <c r="N67" s="94" t="s">
        <v>117</v>
      </c>
      <c r="O67" s="94" t="s">
        <v>118</v>
      </c>
      <c r="P67" s="94" t="s">
        <v>119</v>
      </c>
    </row>
    <row r="68" spans="1:16" s="92" customFormat="1">
      <c r="A68" s="262"/>
      <c r="B68" s="263"/>
      <c r="C68" s="95" t="s">
        <v>120</v>
      </c>
      <c r="D68" s="95">
        <v>20</v>
      </c>
      <c r="E68" s="95">
        <v>50</v>
      </c>
      <c r="F68" s="95" t="s">
        <v>140</v>
      </c>
      <c r="G68" s="96" t="s">
        <v>141</v>
      </c>
      <c r="H68" s="96" t="s">
        <v>142</v>
      </c>
      <c r="I68" s="95" t="s">
        <v>143</v>
      </c>
      <c r="J68" s="95" t="s">
        <v>144</v>
      </c>
      <c r="K68" s="95" t="s">
        <v>145</v>
      </c>
      <c r="L68" s="95" t="s">
        <v>146</v>
      </c>
      <c r="M68" s="95" t="s">
        <v>147</v>
      </c>
      <c r="N68" s="94">
        <f>$C$4</f>
        <v>1.5018819002089998</v>
      </c>
      <c r="O68" s="94">
        <f>IF(N68&lt;D68,10,IF(N68&gt;M68,M68,HLOOKUP(N68,D68:M68,1)))</f>
        <v>10</v>
      </c>
      <c r="P68" s="94">
        <f>IF(N68&lt;10,10,IF(N68&lt;20,20,IF(N68&gt;M68,M68,INDEX(D68:M68,MATCH(N68,D68:M68,1)+1))))</f>
        <v>10</v>
      </c>
    </row>
    <row r="69" spans="1:16" s="92" customFormat="1">
      <c r="A69" s="97">
        <v>1</v>
      </c>
      <c r="B69" s="98" t="s">
        <v>121</v>
      </c>
      <c r="C69" s="99"/>
      <c r="D69" s="99"/>
      <c r="E69" s="99"/>
      <c r="F69" s="99"/>
      <c r="G69" s="99"/>
      <c r="H69" s="99"/>
      <c r="I69" s="99"/>
      <c r="J69" s="99"/>
      <c r="K69" s="99"/>
      <c r="L69" s="99"/>
      <c r="M69" s="100"/>
      <c r="N69" s="101"/>
      <c r="O69" s="101"/>
      <c r="P69" s="101"/>
    </row>
    <row r="70" spans="1:16" s="92" customFormat="1">
      <c r="A70" s="97" t="s">
        <v>56</v>
      </c>
      <c r="B70" s="98" t="s">
        <v>148</v>
      </c>
      <c r="C70" s="99"/>
      <c r="D70" s="99"/>
      <c r="E70" s="99"/>
      <c r="F70" s="99"/>
      <c r="G70" s="99"/>
      <c r="H70" s="99"/>
      <c r="I70" s="99"/>
      <c r="J70" s="99"/>
      <c r="K70" s="99"/>
      <c r="L70" s="99"/>
      <c r="M70" s="100"/>
      <c r="N70" s="102"/>
      <c r="O70" s="101"/>
      <c r="P70" s="101"/>
    </row>
    <row r="71" spans="1:16" s="92" customFormat="1">
      <c r="A71" s="97" t="s">
        <v>57</v>
      </c>
      <c r="B71" s="101" t="s">
        <v>149</v>
      </c>
      <c r="C71" s="103">
        <v>3.22</v>
      </c>
      <c r="D71" s="103">
        <v>2.81</v>
      </c>
      <c r="E71" s="103">
        <v>2.36</v>
      </c>
      <c r="F71" s="103">
        <v>2.15</v>
      </c>
      <c r="G71" s="103">
        <v>1.96</v>
      </c>
      <c r="H71" s="103">
        <v>1.65</v>
      </c>
      <c r="I71" s="103">
        <v>1.36</v>
      </c>
      <c r="J71" s="103">
        <v>1.1599999999999999</v>
      </c>
      <c r="K71" s="103">
        <v>0.89</v>
      </c>
      <c r="L71" s="103">
        <v>0.68</v>
      </c>
      <c r="M71" s="103">
        <v>0.61</v>
      </c>
      <c r="N71" s="104">
        <f>IF(P$68=O$68,O71,IF(O71="-",O71,ROUND(O71-((O71-P71)/(P$68-O$68))*(N$68-O$68),3)))</f>
        <v>3.22</v>
      </c>
      <c r="O71" s="104">
        <f>IF(O$68=10,C71,HLOOKUP($O$68,$D$68:$M$133,4,TRUE))</f>
        <v>3.22</v>
      </c>
      <c r="P71" s="104">
        <f>IF(P$68=10,C71,HLOOKUP($P$68,$D$68:$M$133,4,TRUE))</f>
        <v>3.22</v>
      </c>
    </row>
    <row r="72" spans="1:16" s="92" customFormat="1">
      <c r="A72" s="97" t="s">
        <v>58</v>
      </c>
      <c r="B72" s="101" t="s">
        <v>150</v>
      </c>
      <c r="C72" s="103">
        <v>2.93</v>
      </c>
      <c r="D72" s="103">
        <v>2.5499999999999998</v>
      </c>
      <c r="E72" s="103">
        <v>2.14</v>
      </c>
      <c r="F72" s="103">
        <v>1.94</v>
      </c>
      <c r="G72" s="103">
        <v>1.78</v>
      </c>
      <c r="H72" s="103">
        <v>1.5</v>
      </c>
      <c r="I72" s="103">
        <v>1.22</v>
      </c>
      <c r="J72" s="103">
        <v>1.05</v>
      </c>
      <c r="K72" s="103">
        <v>0.8</v>
      </c>
      <c r="L72" s="103">
        <v>0.61</v>
      </c>
      <c r="M72" s="103">
        <v>0.55000000000000004</v>
      </c>
      <c r="N72" s="104">
        <f>IF(P$68=O$68,O72,IF(O72="-",O72,ROUND(O72-((O72-P72)/(P$68-O$68))*(N$68-O$68),3)))</f>
        <v>2.93</v>
      </c>
      <c r="O72" s="104">
        <f>IF(O$68=10,C72,HLOOKUP($O$68,$D$68:$M$133,5,TRUE))</f>
        <v>2.93</v>
      </c>
      <c r="P72" s="104">
        <f>IF(P$68=10,C72,HLOOKUP($P$68,$D$68:$M$133,5,TRUE))</f>
        <v>2.93</v>
      </c>
    </row>
    <row r="73" spans="1:16" s="92" customFormat="1">
      <c r="A73" s="97" t="s">
        <v>151</v>
      </c>
      <c r="B73" s="101" t="s">
        <v>152</v>
      </c>
      <c r="C73" s="103">
        <v>2.67</v>
      </c>
      <c r="D73" s="103">
        <v>2.33</v>
      </c>
      <c r="E73" s="103">
        <v>1.96</v>
      </c>
      <c r="F73" s="103">
        <v>1.77</v>
      </c>
      <c r="G73" s="103">
        <v>1.62</v>
      </c>
      <c r="H73" s="103">
        <v>1.37</v>
      </c>
      <c r="I73" s="103">
        <v>1.1100000000000001</v>
      </c>
      <c r="J73" s="103">
        <v>0.94</v>
      </c>
      <c r="K73" s="103">
        <v>0.73</v>
      </c>
      <c r="L73" s="103">
        <v>0.55000000000000004</v>
      </c>
      <c r="M73" s="103">
        <v>0.5</v>
      </c>
      <c r="N73" s="104">
        <f>IF(P$68=O$68,O73,IF(O73="-",O73,ROUND(O73-((O73-P73)/(P$68-O$68))*(N$68-O$68),3)))</f>
        <v>2.67</v>
      </c>
      <c r="O73" s="104">
        <f>IF(O$68=10,C73,HLOOKUP($O$68,$D$68:$M$133,6,TRUE))</f>
        <v>2.67</v>
      </c>
      <c r="P73" s="104">
        <f>IF(P$68=10,C73,HLOOKUP($P$68,$D$68:$M$133,6,TRUE))</f>
        <v>2.67</v>
      </c>
    </row>
    <row r="74" spans="1:16" s="92" customFormat="1">
      <c r="A74" s="97" t="s">
        <v>153</v>
      </c>
      <c r="B74" s="101" t="s">
        <v>154</v>
      </c>
      <c r="C74" s="103">
        <v>2.36</v>
      </c>
      <c r="D74" s="103">
        <v>2.0699999999999998</v>
      </c>
      <c r="E74" s="103">
        <v>1.74</v>
      </c>
      <c r="F74" s="103">
        <v>1.57</v>
      </c>
      <c r="G74" s="103">
        <v>1.43</v>
      </c>
      <c r="H74" s="103">
        <v>1.21</v>
      </c>
      <c r="I74" s="103">
        <v>0.98</v>
      </c>
      <c r="J74" s="103">
        <v>0.83</v>
      </c>
      <c r="K74" s="103">
        <v>0.64</v>
      </c>
      <c r="L74" s="103">
        <v>0.48</v>
      </c>
      <c r="M74" s="103">
        <v>0.44</v>
      </c>
      <c r="N74" s="104">
        <f>IF(P$68=O$68,O74,IF(O74="-",O74,ROUND(O74-((O74-P74)/(P$68-O$68))*(N$68-O$68),3)))</f>
        <v>2.36</v>
      </c>
      <c r="O74" s="104">
        <f>IF(O$68=10,C74,HLOOKUP($O$68,$D$68:$M$133,7,TRUE))</f>
        <v>2.36</v>
      </c>
      <c r="P74" s="104">
        <f>IF(P$68=10,C74,HLOOKUP($P$68,$D$68:$M$133,7,TRUE))</f>
        <v>2.36</v>
      </c>
    </row>
    <row r="75" spans="1:16" s="92" customFormat="1">
      <c r="A75" s="97" t="s">
        <v>155</v>
      </c>
      <c r="B75" s="101" t="s">
        <v>156</v>
      </c>
      <c r="C75" s="103">
        <v>2.0699999999999998</v>
      </c>
      <c r="D75" s="103">
        <v>1.81</v>
      </c>
      <c r="E75" s="103">
        <v>1.48</v>
      </c>
      <c r="F75" s="103">
        <v>1.3</v>
      </c>
      <c r="G75" s="103">
        <v>1.06</v>
      </c>
      <c r="H75" s="103">
        <v>0.89</v>
      </c>
      <c r="I75" s="103" t="s">
        <v>157</v>
      </c>
      <c r="J75" s="103" t="s">
        <v>157</v>
      </c>
      <c r="K75" s="103" t="s">
        <v>157</v>
      </c>
      <c r="L75" s="103" t="s">
        <v>157</v>
      </c>
      <c r="M75" s="103" t="s">
        <v>157</v>
      </c>
      <c r="N75" s="104">
        <f>IF(P$68=O$68,O75,IF(O75="-",O75,ROUND(O75-((O75-P75)/(P$68-O$68))*(N$68-O$68),3)))</f>
        <v>2.0699999999999998</v>
      </c>
      <c r="O75" s="104">
        <f>IF(O$68=10,C75,HLOOKUP($O$68,$D$68:$M$133,8,TRUE))</f>
        <v>2.0699999999999998</v>
      </c>
      <c r="P75" s="104">
        <f>IF(P$68=10,C75,HLOOKUP($P$68,$D$68:$M$133,8,TRUE))</f>
        <v>2.0699999999999998</v>
      </c>
    </row>
    <row r="76" spans="1:16" s="92" customFormat="1">
      <c r="A76" s="97" t="s">
        <v>20</v>
      </c>
      <c r="B76" s="98" t="s">
        <v>158</v>
      </c>
      <c r="C76" s="105"/>
      <c r="D76" s="105"/>
      <c r="E76" s="105"/>
      <c r="F76" s="105"/>
      <c r="G76" s="105"/>
      <c r="H76" s="105"/>
      <c r="I76" s="105"/>
      <c r="J76" s="105"/>
      <c r="K76" s="105"/>
      <c r="L76" s="105"/>
      <c r="M76" s="106"/>
      <c r="N76" s="103"/>
      <c r="O76" s="103"/>
      <c r="P76" s="103"/>
    </row>
    <row r="77" spans="1:16" s="92" customFormat="1">
      <c r="A77" s="97" t="s">
        <v>54</v>
      </c>
      <c r="B77" s="101" t="s">
        <v>149</v>
      </c>
      <c r="C77" s="103">
        <v>4.66</v>
      </c>
      <c r="D77" s="103">
        <v>4.05</v>
      </c>
      <c r="E77" s="103">
        <v>3.41</v>
      </c>
      <c r="F77" s="103">
        <v>3.1</v>
      </c>
      <c r="G77" s="103">
        <v>2.83</v>
      </c>
      <c r="H77" s="103">
        <v>2.39</v>
      </c>
      <c r="I77" s="103">
        <v>1.93</v>
      </c>
      <c r="J77" s="103">
        <v>1.65</v>
      </c>
      <c r="K77" s="103">
        <v>1.28</v>
      </c>
      <c r="L77" s="103">
        <v>0.99</v>
      </c>
      <c r="M77" s="103">
        <v>0.91</v>
      </c>
      <c r="N77" s="104">
        <f>IF(P$68=O$68,O77,IF(O77="-",O77,ROUND(O77-((O77-P77)/(P$68-O$68))*(N$68-O$68),3)))</f>
        <v>4.66</v>
      </c>
      <c r="O77" s="104">
        <f>IF(O$68=10,C77,HLOOKUP($O$68,$D$68:$M$133,10,TRUE))</f>
        <v>4.66</v>
      </c>
      <c r="P77" s="104">
        <f>IF(P$68=10,C77,HLOOKUP($P$68,$D$68:$M$133,10,TRUE))</f>
        <v>4.66</v>
      </c>
    </row>
    <row r="78" spans="1:16" s="92" customFormat="1">
      <c r="A78" s="97" t="s">
        <v>55</v>
      </c>
      <c r="B78" s="101" t="s">
        <v>150</v>
      </c>
      <c r="C78" s="103">
        <v>4.22</v>
      </c>
      <c r="D78" s="103">
        <v>3.66</v>
      </c>
      <c r="E78" s="103">
        <v>3.1</v>
      </c>
      <c r="F78" s="103">
        <v>2.82</v>
      </c>
      <c r="G78" s="103">
        <v>2.57</v>
      </c>
      <c r="H78" s="103">
        <v>2.17</v>
      </c>
      <c r="I78" s="103">
        <v>1.76</v>
      </c>
      <c r="J78" s="103">
        <v>1.51</v>
      </c>
      <c r="K78" s="103">
        <v>1.1599999999999999</v>
      </c>
      <c r="L78" s="103">
        <v>0.9</v>
      </c>
      <c r="M78" s="103">
        <v>0.8</v>
      </c>
      <c r="N78" s="104">
        <f>IF(P$68=O$68,O78,IF(O78="-",O78,ROUND(O78-((O78-P78)/(P$68-O$68))*(N$68-O$68),3)))</f>
        <v>4.22</v>
      </c>
      <c r="O78" s="104">
        <f>IF(O$68=10,C78,HLOOKUP($O$68,$D$68:$M$133,11,TRUE))</f>
        <v>4.22</v>
      </c>
      <c r="P78" s="104">
        <f>IF(P$68=10,C78,HLOOKUP($P$68,$D$68:$M$133,11,TRUE))</f>
        <v>4.22</v>
      </c>
    </row>
    <row r="79" spans="1:16" s="92" customFormat="1">
      <c r="A79" s="97" t="s">
        <v>159</v>
      </c>
      <c r="B79" s="101" t="s">
        <v>152</v>
      </c>
      <c r="C79" s="103">
        <v>3.85</v>
      </c>
      <c r="D79" s="103">
        <v>3.33</v>
      </c>
      <c r="E79" s="103">
        <v>2.8</v>
      </c>
      <c r="F79" s="103">
        <v>2.54</v>
      </c>
      <c r="G79" s="103">
        <v>2.34</v>
      </c>
      <c r="H79" s="103">
        <v>1.98</v>
      </c>
      <c r="I79" s="103">
        <v>1.61</v>
      </c>
      <c r="J79" s="103">
        <v>1.36</v>
      </c>
      <c r="K79" s="103">
        <v>1.06</v>
      </c>
      <c r="L79" s="103">
        <v>0.82</v>
      </c>
      <c r="M79" s="103">
        <v>0.72</v>
      </c>
      <c r="N79" s="104">
        <f>IF(P$68=O$68,O79,IF(O79="-",O79,ROUND(O79-((O79-P79)/(P$68-O$68))*(N$68-O$68),3)))</f>
        <v>3.85</v>
      </c>
      <c r="O79" s="104">
        <f>IF(O$68=10,C79,HLOOKUP($O$68,$D$68:$M$133,12,TRUE))</f>
        <v>3.85</v>
      </c>
      <c r="P79" s="104">
        <f>IF(P$68=10,C79,HLOOKUP($P$68,$D$68:$M$133,12,TRUE))</f>
        <v>3.85</v>
      </c>
    </row>
    <row r="80" spans="1:16" s="92" customFormat="1">
      <c r="A80" s="97" t="s">
        <v>160</v>
      </c>
      <c r="B80" s="101" t="s">
        <v>154</v>
      </c>
      <c r="C80" s="103">
        <v>3.41</v>
      </c>
      <c r="D80" s="103">
        <v>2.95</v>
      </c>
      <c r="E80" s="103">
        <v>2.48</v>
      </c>
      <c r="F80" s="103">
        <v>2.25</v>
      </c>
      <c r="G80" s="103">
        <v>2.0699999999999998</v>
      </c>
      <c r="H80" s="103">
        <v>1.75</v>
      </c>
      <c r="I80" s="103">
        <v>1.43</v>
      </c>
      <c r="J80" s="103">
        <v>1.2</v>
      </c>
      <c r="K80" s="103">
        <v>0.94</v>
      </c>
      <c r="L80" s="103">
        <v>0.72</v>
      </c>
      <c r="M80" s="103">
        <v>0.63</v>
      </c>
      <c r="N80" s="104">
        <f>IF(P$68=O$68,O80,IF(O80="-",O80,ROUND(O80-((O80-P80)/(P$68-O$68))*(N$68-O$68),3)))</f>
        <v>3.41</v>
      </c>
      <c r="O80" s="104">
        <f>IF(O$68=10,C80,HLOOKUP($O$68,$D$68:$M$133,13,TRUE))</f>
        <v>3.41</v>
      </c>
      <c r="P80" s="104">
        <f>IF(P$68=10,C80,HLOOKUP($P$68,$D$68:$M$133,13,TRUE))</f>
        <v>3.41</v>
      </c>
    </row>
    <row r="81" spans="1:16" s="92" customFormat="1">
      <c r="A81" s="97" t="s">
        <v>161</v>
      </c>
      <c r="B81" s="101" t="s">
        <v>156</v>
      </c>
      <c r="C81" s="103">
        <v>2.92</v>
      </c>
      <c r="D81" s="103">
        <v>2.5499999999999998</v>
      </c>
      <c r="E81" s="103">
        <v>2.12</v>
      </c>
      <c r="F81" s="103">
        <v>1.86</v>
      </c>
      <c r="G81" s="103">
        <v>1.51</v>
      </c>
      <c r="H81" s="103">
        <v>1.3</v>
      </c>
      <c r="I81" s="103" t="s">
        <v>157</v>
      </c>
      <c r="J81" s="103" t="s">
        <v>157</v>
      </c>
      <c r="K81" s="103" t="s">
        <v>157</v>
      </c>
      <c r="L81" s="103" t="s">
        <v>157</v>
      </c>
      <c r="M81" s="103" t="s">
        <v>157</v>
      </c>
      <c r="N81" s="104">
        <f>IF(P$68=O$68,O81,IF(O81="-",O81,ROUND(O81-((O81-P81)/(P$68-O$68))*(N$68-O$68),3)))</f>
        <v>2.92</v>
      </c>
      <c r="O81" s="104">
        <f>IF(O$68=10,C81,HLOOKUP($O$68,$D$68:$M$133,14,TRUE))</f>
        <v>2.92</v>
      </c>
      <c r="P81" s="104">
        <f>IF(P$68=10,C81,HLOOKUP($P$68,$D$68:$M$133,14,TRUE))</f>
        <v>2.92</v>
      </c>
    </row>
    <row r="82" spans="1:16" s="92" customFormat="1">
      <c r="A82" s="97">
        <v>2</v>
      </c>
      <c r="B82" s="98" t="s">
        <v>122</v>
      </c>
      <c r="C82" s="105"/>
      <c r="D82" s="105"/>
      <c r="E82" s="105"/>
      <c r="F82" s="105"/>
      <c r="G82" s="105"/>
      <c r="H82" s="105"/>
      <c r="I82" s="105"/>
      <c r="J82" s="105"/>
      <c r="K82" s="105"/>
      <c r="L82" s="105"/>
      <c r="M82" s="106"/>
      <c r="N82" s="103"/>
      <c r="O82" s="103"/>
      <c r="P82" s="103"/>
    </row>
    <row r="83" spans="1:16" s="92" customFormat="1">
      <c r="A83" s="97" t="s">
        <v>162</v>
      </c>
      <c r="B83" s="98" t="s">
        <v>148</v>
      </c>
      <c r="C83" s="105"/>
      <c r="D83" s="105"/>
      <c r="E83" s="105"/>
      <c r="F83" s="105"/>
      <c r="G83" s="105"/>
      <c r="H83" s="105"/>
      <c r="I83" s="105"/>
      <c r="J83" s="105"/>
      <c r="K83" s="105"/>
      <c r="L83" s="105"/>
      <c r="M83" s="106"/>
      <c r="N83" s="103"/>
      <c r="O83" s="103"/>
      <c r="P83" s="103"/>
    </row>
    <row r="84" spans="1:16" s="92" customFormat="1">
      <c r="A84" s="97" t="s">
        <v>163</v>
      </c>
      <c r="B84" s="101" t="s">
        <v>149</v>
      </c>
      <c r="C84" s="103">
        <v>2.96</v>
      </c>
      <c r="D84" s="103">
        <v>2.73</v>
      </c>
      <c r="E84" s="103">
        <v>2.34</v>
      </c>
      <c r="F84" s="103">
        <v>2.13</v>
      </c>
      <c r="G84" s="103">
        <v>1.92</v>
      </c>
      <c r="H84" s="103">
        <v>1.76</v>
      </c>
      <c r="I84" s="103">
        <v>1.54</v>
      </c>
      <c r="J84" s="103">
        <v>1.3</v>
      </c>
      <c r="K84" s="103">
        <v>0.97</v>
      </c>
      <c r="L84" s="103">
        <v>0.79</v>
      </c>
      <c r="M84" s="103">
        <v>0.7</v>
      </c>
      <c r="N84" s="104">
        <f>IF(P$68=O$68,O84,IF(O84="-",O84,ROUND(O84-((O84-P84)/(P$68-O$68))*(N$68-O$68),3)))</f>
        <v>2.96</v>
      </c>
      <c r="O84" s="104">
        <f>IF(O$68=10,C84,HLOOKUP($O$68,$D$68:$M$133,17,TRUE))</f>
        <v>2.96</v>
      </c>
      <c r="P84" s="104">
        <f>IF(P$68=10,C84,HLOOKUP($P$68,$D$68:$M$133,17,TRUE))</f>
        <v>2.96</v>
      </c>
    </row>
    <row r="85" spans="1:16" s="92" customFormat="1">
      <c r="A85" s="97" t="s">
        <v>164</v>
      </c>
      <c r="B85" s="101" t="s">
        <v>150</v>
      </c>
      <c r="C85" s="103">
        <v>2.4700000000000002</v>
      </c>
      <c r="D85" s="103">
        <v>2.27</v>
      </c>
      <c r="E85" s="103">
        <v>1.93</v>
      </c>
      <c r="F85" s="103">
        <v>1.77</v>
      </c>
      <c r="G85" s="103">
        <v>1.6</v>
      </c>
      <c r="H85" s="103">
        <v>1.46</v>
      </c>
      <c r="I85" s="103">
        <v>1.28</v>
      </c>
      <c r="J85" s="103">
        <v>1.0900000000000001</v>
      </c>
      <c r="K85" s="103">
        <v>0.8</v>
      </c>
      <c r="L85" s="103">
        <v>0.65</v>
      </c>
      <c r="M85" s="103">
        <v>0.57999999999999996</v>
      </c>
      <c r="N85" s="104">
        <f>IF(P$68=O$68,O85,IF(O85="-",O85,ROUND(O85-((O85-P85)/(P$68-O$68))*(N$68-O$68),3)))</f>
        <v>2.4700000000000002</v>
      </c>
      <c r="O85" s="104">
        <f>IF(O$68=10,C85,HLOOKUP($O$68,$D$68:$M$133,18,TRUE))</f>
        <v>2.4700000000000002</v>
      </c>
      <c r="P85" s="104">
        <f>IF(P$68=10,C85,HLOOKUP($P$68,$D$68:$M$133,18,TRUE))</f>
        <v>2.4700000000000002</v>
      </c>
    </row>
    <row r="86" spans="1:16" s="92" customFormat="1">
      <c r="A86" s="97" t="s">
        <v>165</v>
      </c>
      <c r="B86" s="101" t="s">
        <v>152</v>
      </c>
      <c r="C86" s="103">
        <v>2.0299999999999998</v>
      </c>
      <c r="D86" s="103">
        <v>1.86</v>
      </c>
      <c r="E86" s="103">
        <v>1.59</v>
      </c>
      <c r="F86" s="103">
        <v>1.46</v>
      </c>
      <c r="G86" s="103">
        <v>1.32</v>
      </c>
      <c r="H86" s="103">
        <v>1.2</v>
      </c>
      <c r="I86" s="103">
        <v>1.05</v>
      </c>
      <c r="J86" s="103">
        <v>0.9</v>
      </c>
      <c r="K86" s="103">
        <v>0.66</v>
      </c>
      <c r="L86" s="103">
        <v>0.53</v>
      </c>
      <c r="M86" s="103">
        <v>0.48</v>
      </c>
      <c r="N86" s="104">
        <f>IF(P$68=O$68,O86,IF(O86="-",O86,ROUND(O86-((O86-P86)/(P$68-O$68))*(N$68-O$68),3)))</f>
        <v>2.0299999999999998</v>
      </c>
      <c r="O86" s="104">
        <f>IF(O$68=10,C86,HLOOKUP($O$68,$D$68:$M$133,19,TRUE))</f>
        <v>2.0299999999999998</v>
      </c>
      <c r="P86" s="104">
        <f>IF(P$68=10,C86,HLOOKUP($P$68,$D$68:$M$133,19,TRUE))</f>
        <v>2.0299999999999998</v>
      </c>
    </row>
    <row r="87" spans="1:16" s="92" customFormat="1">
      <c r="A87" s="97" t="s">
        <v>166</v>
      </c>
      <c r="B87" s="101" t="s">
        <v>154</v>
      </c>
      <c r="C87" s="103">
        <v>1.78</v>
      </c>
      <c r="D87" s="103">
        <v>1.65</v>
      </c>
      <c r="E87" s="103">
        <v>1.4</v>
      </c>
      <c r="F87" s="103">
        <v>1.27</v>
      </c>
      <c r="G87" s="103">
        <v>1.17</v>
      </c>
      <c r="H87" s="103">
        <v>1.06</v>
      </c>
      <c r="I87" s="103">
        <v>0.93</v>
      </c>
      <c r="J87" s="103">
        <v>0.79</v>
      </c>
      <c r="K87" s="103">
        <v>0.57999999999999996</v>
      </c>
      <c r="L87" s="103">
        <v>0.47</v>
      </c>
      <c r="M87" s="103">
        <v>0.42</v>
      </c>
      <c r="N87" s="104">
        <f>IF(P$68=O$68,O87,IF(O87="-",O87,ROUND(O87-((O87-P87)/(P$68-O$68))*(N$68-O$68),3)))</f>
        <v>1.78</v>
      </c>
      <c r="O87" s="104">
        <f>IF(O$68=10,C87,HLOOKUP($O$68,$D$68:$M$133,20,TRUE))</f>
        <v>1.78</v>
      </c>
      <c r="P87" s="104">
        <f>IF(P$68=10,C87,HLOOKUP($P$68,$D$68:$M$133,20,TRUE))</f>
        <v>1.78</v>
      </c>
    </row>
    <row r="88" spans="1:16" s="92" customFormat="1">
      <c r="A88" s="97" t="s">
        <v>167</v>
      </c>
      <c r="B88" s="101" t="s">
        <v>156</v>
      </c>
      <c r="C88" s="103">
        <v>1.59</v>
      </c>
      <c r="D88" s="103">
        <v>1.47</v>
      </c>
      <c r="E88" s="103">
        <v>1.24</v>
      </c>
      <c r="F88" s="103">
        <v>1.1399999999999999</v>
      </c>
      <c r="G88" s="103">
        <v>0.98</v>
      </c>
      <c r="H88" s="103">
        <v>0.83</v>
      </c>
      <c r="I88" s="103" t="s">
        <v>157</v>
      </c>
      <c r="J88" s="103" t="s">
        <v>157</v>
      </c>
      <c r="K88" s="103" t="s">
        <v>157</v>
      </c>
      <c r="L88" s="103" t="s">
        <v>157</v>
      </c>
      <c r="M88" s="103" t="s">
        <v>157</v>
      </c>
      <c r="N88" s="104">
        <f>IF(P$68=O$68,O88,IF(O88="-",O88,ROUND(O88-((O88-P88)/(P$68-O$68))*(N$68-O$68),3)))</f>
        <v>1.59</v>
      </c>
      <c r="O88" s="104">
        <f>IF(O$68=10,C88,HLOOKUP($O$68,$D$68:$M$133,21,TRUE))</f>
        <v>1.59</v>
      </c>
      <c r="P88" s="104">
        <f>IF(P$68=10,C88,HLOOKUP($P$68,$D$68:$M$133,21,TRUE))</f>
        <v>1.59</v>
      </c>
    </row>
    <row r="89" spans="1:16" s="92" customFormat="1">
      <c r="A89" s="97" t="s">
        <v>168</v>
      </c>
      <c r="B89" s="98" t="s">
        <v>158</v>
      </c>
      <c r="C89" s="105"/>
      <c r="D89" s="105"/>
      <c r="E89" s="105"/>
      <c r="F89" s="105"/>
      <c r="G89" s="105"/>
      <c r="H89" s="105"/>
      <c r="I89" s="105"/>
      <c r="J89" s="105"/>
      <c r="K89" s="105"/>
      <c r="L89" s="105"/>
      <c r="M89" s="106"/>
      <c r="N89" s="103"/>
      <c r="O89" s="103"/>
      <c r="P89" s="103"/>
    </row>
    <row r="90" spans="1:16" s="92" customFormat="1">
      <c r="A90" s="97" t="s">
        <v>169</v>
      </c>
      <c r="B90" s="101" t="s">
        <v>149</v>
      </c>
      <c r="C90" s="103">
        <v>4.7</v>
      </c>
      <c r="D90" s="103">
        <v>4.2699999999999996</v>
      </c>
      <c r="E90" s="103">
        <v>3.66</v>
      </c>
      <c r="F90" s="103">
        <v>3.32</v>
      </c>
      <c r="G90" s="103">
        <v>3.01</v>
      </c>
      <c r="H90" s="103">
        <v>2.75</v>
      </c>
      <c r="I90" s="103">
        <v>2.4</v>
      </c>
      <c r="J90" s="103">
        <v>2.0299999999999998</v>
      </c>
      <c r="K90" s="103">
        <v>1.52</v>
      </c>
      <c r="L90" s="103">
        <v>1.21</v>
      </c>
      <c r="M90" s="103">
        <v>1.04</v>
      </c>
      <c r="N90" s="104">
        <f>IF(P$68=O$68,O90,IF(O90="-",O90,ROUND(O90-((O90-P90)/(P$68-O$68))*(N$68-O$68),3)))</f>
        <v>4.7</v>
      </c>
      <c r="O90" s="104">
        <f>IF(O$68=10,C90,HLOOKUP($O$68,$D$68:$M$133,23,TRUE))</f>
        <v>4.7</v>
      </c>
      <c r="P90" s="104">
        <f>IF(P$68=10,C90,HLOOKUP($P$68,$D$68:$M$133,23,TRUE))</f>
        <v>4.7</v>
      </c>
    </row>
    <row r="91" spans="1:16" s="92" customFormat="1">
      <c r="A91" s="97" t="s">
        <v>170</v>
      </c>
      <c r="B91" s="101" t="s">
        <v>150</v>
      </c>
      <c r="C91" s="103">
        <v>3.87</v>
      </c>
      <c r="D91" s="103">
        <v>3.57</v>
      </c>
      <c r="E91" s="103">
        <v>3.02</v>
      </c>
      <c r="F91" s="103">
        <v>2.77</v>
      </c>
      <c r="G91" s="103">
        <v>2.5</v>
      </c>
      <c r="H91" s="103">
        <v>2.2799999999999998</v>
      </c>
      <c r="I91" s="103">
        <v>2.0099999999999998</v>
      </c>
      <c r="J91" s="103">
        <v>1.7</v>
      </c>
      <c r="K91" s="103">
        <v>1.26</v>
      </c>
      <c r="L91" s="103">
        <v>1.02</v>
      </c>
      <c r="M91" s="103">
        <v>0.88</v>
      </c>
      <c r="N91" s="104">
        <f>IF(P$68=O$68,O91,IF(O91="-",O91,ROUND(O91-((O91-P91)/(P$68-O$68))*(N$68-O$68),3)))</f>
        <v>3.87</v>
      </c>
      <c r="O91" s="104">
        <f>IF(O$68=10,C91,HLOOKUP($O$68,$D$68:$M$133,24,TRUE))</f>
        <v>3.87</v>
      </c>
      <c r="P91" s="104">
        <f>IF(P$68=10,C91,HLOOKUP($P$68,$D$68:$M$133,24,TRUE))</f>
        <v>3.87</v>
      </c>
    </row>
    <row r="92" spans="1:16" s="92" customFormat="1">
      <c r="A92" s="97" t="s">
        <v>171</v>
      </c>
      <c r="B92" s="101" t="s">
        <v>152</v>
      </c>
      <c r="C92" s="103">
        <v>3.13</v>
      </c>
      <c r="D92" s="103">
        <v>2.9</v>
      </c>
      <c r="E92" s="103">
        <v>2.4300000000000002</v>
      </c>
      <c r="F92" s="103">
        <v>2.2400000000000002</v>
      </c>
      <c r="G92" s="103">
        <v>2.0299999999999998</v>
      </c>
      <c r="H92" s="103">
        <v>1.9</v>
      </c>
      <c r="I92" s="103">
        <v>1.66</v>
      </c>
      <c r="J92" s="103">
        <v>1.42</v>
      </c>
      <c r="K92" s="103">
        <v>1.04</v>
      </c>
      <c r="L92" s="103">
        <v>0.82</v>
      </c>
      <c r="M92" s="103">
        <v>0.72</v>
      </c>
      <c r="N92" s="104">
        <f>IF(P$68=O$68,O92,IF(O92="-",O92,ROUND(O92-((O92-P92)/(P$68-O$68))*(N$68-O$68),3)))</f>
        <v>3.13</v>
      </c>
      <c r="O92" s="104">
        <f>IF(O$68=10,C92,HLOOKUP($O$68,$D$68:$M$133,25,TRUE))</f>
        <v>3.13</v>
      </c>
      <c r="P92" s="104">
        <f>IF(P$68=10,C92,HLOOKUP($P$68,$D$68:$M$133,25,TRUE))</f>
        <v>3.13</v>
      </c>
    </row>
    <row r="93" spans="1:16" s="92" customFormat="1">
      <c r="A93" s="97" t="s">
        <v>172</v>
      </c>
      <c r="B93" s="101" t="s">
        <v>154</v>
      </c>
      <c r="C93" s="103">
        <v>2.78</v>
      </c>
      <c r="D93" s="103">
        <v>2.57</v>
      </c>
      <c r="E93" s="103">
        <v>2.16</v>
      </c>
      <c r="F93" s="103">
        <v>1.99</v>
      </c>
      <c r="G93" s="103">
        <v>1.79</v>
      </c>
      <c r="H93" s="103">
        <v>1.68</v>
      </c>
      <c r="I93" s="103">
        <v>1.47</v>
      </c>
      <c r="J93" s="103">
        <v>1.25</v>
      </c>
      <c r="K93" s="103">
        <v>0.91</v>
      </c>
      <c r="L93" s="103">
        <v>0.72</v>
      </c>
      <c r="M93" s="103">
        <v>0.64</v>
      </c>
      <c r="N93" s="104">
        <f>IF(P$68=O$68,O93,IF(O93="-",O93,ROUND(O93-((O93-P93)/(P$68-O$68))*(N$68-O$68),3)))</f>
        <v>2.78</v>
      </c>
      <c r="O93" s="104">
        <f>IF(O$68=10,C93,HLOOKUP($O$68,$D$68:$M$133,26,TRUE))</f>
        <v>2.78</v>
      </c>
      <c r="P93" s="104">
        <f>IF(P$68=10,C93,HLOOKUP($P$68,$D$68:$M$133,26,TRUE))</f>
        <v>2.78</v>
      </c>
    </row>
    <row r="94" spans="1:16" s="92" customFormat="1">
      <c r="A94" s="97" t="s">
        <v>173</v>
      </c>
      <c r="B94" s="101" t="s">
        <v>156</v>
      </c>
      <c r="C94" s="103">
        <v>2.46</v>
      </c>
      <c r="D94" s="103">
        <v>2.25</v>
      </c>
      <c r="E94" s="103">
        <v>1.89</v>
      </c>
      <c r="F94" s="103">
        <v>1.72</v>
      </c>
      <c r="G94" s="103">
        <v>1.47</v>
      </c>
      <c r="H94" s="103">
        <v>1.22</v>
      </c>
      <c r="I94" s="103" t="s">
        <v>157</v>
      </c>
      <c r="J94" s="103" t="s">
        <v>157</v>
      </c>
      <c r="K94" s="103" t="s">
        <v>157</v>
      </c>
      <c r="L94" s="103" t="s">
        <v>157</v>
      </c>
      <c r="M94" s="103" t="s">
        <v>157</v>
      </c>
      <c r="N94" s="104">
        <f>IF(P$68=O$68,O94,IF(O94="-",O94,ROUND(O94-((O94-P94)/(P$68-O$68))*(N$68-O$68),3)))</f>
        <v>2.46</v>
      </c>
      <c r="O94" s="104">
        <f>IF(O$68=10,C94,HLOOKUP($O$68,$D$68:$M$133,27,TRUE))</f>
        <v>2.46</v>
      </c>
      <c r="P94" s="104">
        <f>IF(P$68=10,C94,HLOOKUP($P$68,$D$68:$M$133,27,TRUE))</f>
        <v>2.46</v>
      </c>
    </row>
    <row r="95" spans="1:16" s="92" customFormat="1">
      <c r="A95" s="97">
        <v>3</v>
      </c>
      <c r="B95" s="98" t="s">
        <v>123</v>
      </c>
      <c r="C95" s="105"/>
      <c r="D95" s="105"/>
      <c r="E95" s="105"/>
      <c r="F95" s="105"/>
      <c r="G95" s="105"/>
      <c r="H95" s="105"/>
      <c r="I95" s="105"/>
      <c r="J95" s="105"/>
      <c r="K95" s="105"/>
      <c r="L95" s="105"/>
      <c r="M95" s="106"/>
      <c r="N95" s="103"/>
      <c r="O95" s="103"/>
      <c r="P95" s="103"/>
    </row>
    <row r="96" spans="1:16" s="92" customFormat="1">
      <c r="A96" s="97" t="s">
        <v>33</v>
      </c>
      <c r="B96" s="98" t="s">
        <v>148</v>
      </c>
      <c r="C96" s="105"/>
      <c r="D96" s="105"/>
      <c r="E96" s="105"/>
      <c r="F96" s="105"/>
      <c r="G96" s="105"/>
      <c r="H96" s="105"/>
      <c r="I96" s="105"/>
      <c r="J96" s="105"/>
      <c r="K96" s="105"/>
      <c r="L96" s="105"/>
      <c r="M96" s="106"/>
      <c r="N96" s="103"/>
      <c r="O96" s="103"/>
      <c r="P96" s="103"/>
    </row>
    <row r="97" spans="1:16" s="92" customFormat="1">
      <c r="A97" s="97" t="s">
        <v>174</v>
      </c>
      <c r="B97" s="101" t="s">
        <v>149</v>
      </c>
      <c r="C97" s="103">
        <v>2.0499999999999998</v>
      </c>
      <c r="D97" s="103">
        <v>1.92</v>
      </c>
      <c r="E97" s="103">
        <v>1.68</v>
      </c>
      <c r="F97" s="103">
        <v>1.5</v>
      </c>
      <c r="G97" s="103">
        <v>1.36</v>
      </c>
      <c r="H97" s="103">
        <v>1.24</v>
      </c>
      <c r="I97" s="103">
        <v>1.08</v>
      </c>
      <c r="J97" s="103">
        <v>0.92</v>
      </c>
      <c r="K97" s="103">
        <v>0.68</v>
      </c>
      <c r="L97" s="103">
        <v>0.51</v>
      </c>
      <c r="M97" s="103">
        <v>0.45</v>
      </c>
      <c r="N97" s="104">
        <f>IF(P$68=O$68,O97,IF(O97="-",O97,ROUND(O97-((O97-P97)/(P$68-O$68))*(N$68-O$68),3)))</f>
        <v>2.0499999999999998</v>
      </c>
      <c r="O97" s="104">
        <f>IF(O$68=10,C97,HLOOKUP($O$68,$D$68:$M$133,30,TRUE))</f>
        <v>2.0499999999999998</v>
      </c>
      <c r="P97" s="104">
        <f>IF(P$68=10,C97,HLOOKUP($P$68,$D$68:$M$133,30,TRUE))</f>
        <v>2.0499999999999998</v>
      </c>
    </row>
    <row r="98" spans="1:16" s="92" customFormat="1">
      <c r="A98" s="97" t="s">
        <v>175</v>
      </c>
      <c r="B98" s="101" t="s">
        <v>150</v>
      </c>
      <c r="C98" s="103">
        <v>1.44</v>
      </c>
      <c r="D98" s="103">
        <v>1.39</v>
      </c>
      <c r="E98" s="103">
        <v>1.1299999999999999</v>
      </c>
      <c r="F98" s="103">
        <v>1.05</v>
      </c>
      <c r="G98" s="103">
        <v>0.95</v>
      </c>
      <c r="H98" s="103">
        <v>0.81</v>
      </c>
      <c r="I98" s="103">
        <v>0.68</v>
      </c>
      <c r="J98" s="103">
        <v>0.57999999999999996</v>
      </c>
      <c r="K98" s="103">
        <v>0.44</v>
      </c>
      <c r="L98" s="103">
        <v>0.34</v>
      </c>
      <c r="M98" s="103">
        <v>0.28000000000000003</v>
      </c>
      <c r="N98" s="104">
        <f>IF(P$68=O$68,O98,IF(O98="-",O98,ROUND(O98-((O98-P98)/(P$68-O$68))*(N$68-O$68),3)))</f>
        <v>1.44</v>
      </c>
      <c r="O98" s="104">
        <f>IF(O$68=10,C98,HLOOKUP($O$68,$D$68:$M$133,31,TRUE))</f>
        <v>1.44</v>
      </c>
      <c r="P98" s="104">
        <f>IF(P$68=10,C98,HLOOKUP($P$68,$D$68:$M$133,31,TRUE))</f>
        <v>1.44</v>
      </c>
    </row>
    <row r="99" spans="1:16" s="92" customFormat="1">
      <c r="A99" s="97" t="s">
        <v>176</v>
      </c>
      <c r="B99" s="101" t="s">
        <v>152</v>
      </c>
      <c r="C99" s="103">
        <v>1.19</v>
      </c>
      <c r="D99" s="103">
        <v>1.08</v>
      </c>
      <c r="E99" s="103">
        <v>0.92</v>
      </c>
      <c r="F99" s="103">
        <v>0.84</v>
      </c>
      <c r="G99" s="103">
        <v>0.77</v>
      </c>
      <c r="H99" s="103">
        <v>0.7</v>
      </c>
      <c r="I99" s="103">
        <v>0.6</v>
      </c>
      <c r="J99" s="103">
        <v>0.51</v>
      </c>
      <c r="K99" s="103">
        <v>0.39</v>
      </c>
      <c r="L99" s="103">
        <v>0.28999999999999998</v>
      </c>
      <c r="M99" s="103">
        <v>0.25</v>
      </c>
      <c r="N99" s="104">
        <f>IF(P$68=O$68,O99,IF(O99="-",O99,ROUND(O99-((O99-P99)/(P$68-O$68))*(N$68-O$68),3)))</f>
        <v>1.19</v>
      </c>
      <c r="O99" s="104">
        <f>IF(O$68=10,C99,HLOOKUP($O$68,$D$68:$M$133,32,TRUE))</f>
        <v>1.19</v>
      </c>
      <c r="P99" s="104">
        <f>IF(P$68=10,C99,HLOOKUP($P$68,$D$68:$M$133,32,TRUE))</f>
        <v>1.19</v>
      </c>
    </row>
    <row r="100" spans="1:16" s="92" customFormat="1">
      <c r="A100" s="97" t="s">
        <v>177</v>
      </c>
      <c r="B100" s="101" t="s">
        <v>154</v>
      </c>
      <c r="C100" s="103">
        <v>1.05</v>
      </c>
      <c r="D100" s="103">
        <v>0.93</v>
      </c>
      <c r="E100" s="103">
        <v>0.81</v>
      </c>
      <c r="F100" s="103">
        <v>0.74</v>
      </c>
      <c r="G100" s="103">
        <v>0.68</v>
      </c>
      <c r="H100" s="103">
        <v>0.57999999999999996</v>
      </c>
      <c r="I100" s="103">
        <v>0.48</v>
      </c>
      <c r="J100" s="103">
        <v>0.43</v>
      </c>
      <c r="K100" s="103">
        <v>0.32</v>
      </c>
      <c r="L100" s="103">
        <v>0.25</v>
      </c>
      <c r="M100" s="103">
        <v>0.21</v>
      </c>
      <c r="N100" s="104">
        <f>IF(P$68=O$68,O100,IF(O100="-",O100,ROUND(O100-((O100-P100)/(P$68-O$68))*(N$68-O$68),3)))</f>
        <v>1.05</v>
      </c>
      <c r="O100" s="104">
        <f>IF(O$68=10,C100,HLOOKUP($O$68,$D$68:$M$133,33,TRUE))</f>
        <v>1.05</v>
      </c>
      <c r="P100" s="104">
        <f>IF(P$68=10,C100,HLOOKUP($P$68,$D$68:$M$133,33,TRUE))</f>
        <v>1.05</v>
      </c>
    </row>
    <row r="101" spans="1:16" s="92" customFormat="1">
      <c r="A101" s="97" t="s">
        <v>178</v>
      </c>
      <c r="B101" s="101" t="s">
        <v>156</v>
      </c>
      <c r="C101" s="103">
        <v>0.95</v>
      </c>
      <c r="D101" s="103">
        <v>0.87</v>
      </c>
      <c r="E101" s="103">
        <v>0.76</v>
      </c>
      <c r="F101" s="103">
        <v>0.69</v>
      </c>
      <c r="G101" s="103">
        <v>0.59</v>
      </c>
      <c r="H101" s="103">
        <v>0.49</v>
      </c>
      <c r="I101" s="103">
        <v>0.43</v>
      </c>
      <c r="J101" s="103" t="s">
        <v>157</v>
      </c>
      <c r="K101" s="103" t="s">
        <v>157</v>
      </c>
      <c r="L101" s="103" t="s">
        <v>157</v>
      </c>
      <c r="M101" s="103" t="s">
        <v>157</v>
      </c>
      <c r="N101" s="104">
        <f>IF(P$68=O$68,O101,IF(O101="-",O101,ROUND(O101-((O101-P101)/(P$68-O$68))*(N$68-O$68),3)))</f>
        <v>0.95</v>
      </c>
      <c r="O101" s="104">
        <f>IF(O$68=10,C101,HLOOKUP($O$68,$D$68:$M$133,34,TRUE))</f>
        <v>0.95</v>
      </c>
      <c r="P101" s="104">
        <f>IF(P$68=10,C101,HLOOKUP($P$68,$D$68:$M$133,34,TRUE))</f>
        <v>0.95</v>
      </c>
    </row>
    <row r="102" spans="1:16" s="92" customFormat="1">
      <c r="A102" s="97" t="s">
        <v>31</v>
      </c>
      <c r="B102" s="98" t="s">
        <v>158</v>
      </c>
      <c r="C102" s="105"/>
      <c r="D102" s="105"/>
      <c r="E102" s="105"/>
      <c r="F102" s="105"/>
      <c r="G102" s="105"/>
      <c r="H102" s="105"/>
      <c r="I102" s="105"/>
      <c r="J102" s="105"/>
      <c r="K102" s="105"/>
      <c r="L102" s="105"/>
      <c r="M102" s="106"/>
      <c r="N102" s="103"/>
      <c r="O102" s="103"/>
      <c r="P102" s="103"/>
    </row>
    <row r="103" spans="1:16" s="92" customFormat="1">
      <c r="A103" s="97" t="s">
        <v>179</v>
      </c>
      <c r="B103" s="101" t="s">
        <v>149</v>
      </c>
      <c r="C103" s="103">
        <v>3.01</v>
      </c>
      <c r="D103" s="103">
        <v>2.76</v>
      </c>
      <c r="E103" s="103">
        <v>2.36</v>
      </c>
      <c r="F103" s="103">
        <v>2.15</v>
      </c>
      <c r="G103" s="103">
        <v>1.95</v>
      </c>
      <c r="H103" s="103">
        <v>1.78</v>
      </c>
      <c r="I103" s="103">
        <v>1.52</v>
      </c>
      <c r="J103" s="103">
        <v>1.32</v>
      </c>
      <c r="K103" s="103">
        <v>1.02</v>
      </c>
      <c r="L103" s="103">
        <v>0.75</v>
      </c>
      <c r="M103" s="103">
        <v>0.66</v>
      </c>
      <c r="N103" s="104">
        <f>IF(P$68=O$68,O103,IF(O103="-",O103,ROUND(O103-((O103-P103)/(P$68-O$68))*(N$68-O$68),3)))</f>
        <v>3.01</v>
      </c>
      <c r="O103" s="104">
        <f>IF(O$68=10,C103,HLOOKUP($O$68,$D$68:$M$133,36,TRUE))</f>
        <v>3.01</v>
      </c>
      <c r="P103" s="104">
        <f>IF(P$68=10,C103,HLOOKUP($P$68,$D$68:$M$133,36,TRUE))</f>
        <v>3.01</v>
      </c>
    </row>
    <row r="104" spans="1:16" s="92" customFormat="1">
      <c r="A104" s="97" t="s">
        <v>180</v>
      </c>
      <c r="B104" s="101" t="s">
        <v>150</v>
      </c>
      <c r="C104" s="103">
        <v>2.27</v>
      </c>
      <c r="D104" s="103">
        <v>2.15</v>
      </c>
      <c r="E104" s="103">
        <v>1.83</v>
      </c>
      <c r="F104" s="103">
        <v>1.67</v>
      </c>
      <c r="G104" s="103">
        <v>1.51</v>
      </c>
      <c r="H104" s="103">
        <v>1.38</v>
      </c>
      <c r="I104" s="103">
        <v>1.21</v>
      </c>
      <c r="J104" s="103">
        <v>1.03</v>
      </c>
      <c r="K104" s="103">
        <v>0.79</v>
      </c>
      <c r="L104" s="103">
        <v>0.61</v>
      </c>
      <c r="M104" s="103">
        <v>0.49</v>
      </c>
      <c r="N104" s="104">
        <f>IF(P$68=O$68,O104,IF(O104="-",O104,ROUND(O104-((O104-P104)/(P$68-O$68))*(N$68-O$68),3)))</f>
        <v>2.27</v>
      </c>
      <c r="O104" s="104">
        <f>IF(O$68=10,C104,HLOOKUP($O$68,$D$68:$M$133,37,TRUE))</f>
        <v>2.27</v>
      </c>
      <c r="P104" s="104">
        <f>IF(P$68=10,C104,HLOOKUP($P$68,$D$68:$M$133,37,TRUE))</f>
        <v>2.27</v>
      </c>
    </row>
    <row r="105" spans="1:16" s="92" customFormat="1">
      <c r="A105" s="97" t="s">
        <v>181</v>
      </c>
      <c r="B105" s="101" t="s">
        <v>152</v>
      </c>
      <c r="C105" s="103">
        <v>1.67</v>
      </c>
      <c r="D105" s="103">
        <v>1.55</v>
      </c>
      <c r="E105" s="103">
        <v>1.32</v>
      </c>
      <c r="F105" s="103">
        <v>1.2</v>
      </c>
      <c r="G105" s="103">
        <v>1.1000000000000001</v>
      </c>
      <c r="H105" s="103">
        <v>1.01</v>
      </c>
      <c r="I105" s="103">
        <v>0.85</v>
      </c>
      <c r="J105" s="103">
        <v>0.72</v>
      </c>
      <c r="K105" s="103">
        <v>0.56000000000000005</v>
      </c>
      <c r="L105" s="103">
        <v>0.42</v>
      </c>
      <c r="M105" s="103">
        <v>0.36</v>
      </c>
      <c r="N105" s="104">
        <f>IF(P$68=O$68,O105,IF(O105="-",O105,ROUND(O105-((O105-P105)/(P$68-O$68))*(N$68-O$68),3)))</f>
        <v>1.67</v>
      </c>
      <c r="O105" s="104">
        <f>IF(O$68=10,C105,HLOOKUP($O$68,$D$68:$M$133,38,TRUE))</f>
        <v>1.67</v>
      </c>
      <c r="P105" s="104">
        <f>IF(P$68=10,C105,HLOOKUP($P$68,$D$68:$M$133,38,TRUE))</f>
        <v>1.67</v>
      </c>
    </row>
    <row r="106" spans="1:16" s="92" customFormat="1">
      <c r="A106" s="97" t="s">
        <v>182</v>
      </c>
      <c r="B106" s="101" t="s">
        <v>154</v>
      </c>
      <c r="C106" s="103">
        <v>1.48</v>
      </c>
      <c r="D106" s="103">
        <v>1.37</v>
      </c>
      <c r="E106" s="103">
        <v>1.17</v>
      </c>
      <c r="F106" s="103">
        <v>1.06</v>
      </c>
      <c r="G106" s="103">
        <v>0.97</v>
      </c>
      <c r="H106" s="103">
        <v>0.82</v>
      </c>
      <c r="I106" s="103">
        <v>0.7</v>
      </c>
      <c r="J106" s="103">
        <v>0.59</v>
      </c>
      <c r="K106" s="103">
        <v>0.45</v>
      </c>
      <c r="L106" s="103">
        <v>0.33</v>
      </c>
      <c r="M106" s="103">
        <v>0.28999999999999998</v>
      </c>
      <c r="N106" s="104">
        <f>IF(P$68=O$68,O106,IF(O106="-",O106,ROUND(O106-((O106-P106)/(P$68-O$68))*(N$68-O$68),3)))</f>
        <v>1.48</v>
      </c>
      <c r="O106" s="104">
        <f>IF(O$68=10,C106,HLOOKUP($O$68,$D$68:$M$133,39,TRUE))</f>
        <v>1.48</v>
      </c>
      <c r="P106" s="104">
        <f>IF(P$68=10,C106,HLOOKUP($P$68,$D$68:$M$133,39,TRUE))</f>
        <v>1.48</v>
      </c>
    </row>
    <row r="107" spans="1:16" s="92" customFormat="1">
      <c r="A107" s="97" t="s">
        <v>183</v>
      </c>
      <c r="B107" s="101" t="s">
        <v>156</v>
      </c>
      <c r="C107" s="103">
        <v>1.37</v>
      </c>
      <c r="D107" s="103">
        <v>1.26</v>
      </c>
      <c r="E107" s="103">
        <v>1.08</v>
      </c>
      <c r="F107" s="103">
        <v>0.98</v>
      </c>
      <c r="G107" s="103">
        <v>0.83</v>
      </c>
      <c r="H107" s="103">
        <v>0.71</v>
      </c>
      <c r="I107" s="103" t="s">
        <v>157</v>
      </c>
      <c r="J107" s="103" t="s">
        <v>157</v>
      </c>
      <c r="K107" s="103" t="s">
        <v>157</v>
      </c>
      <c r="L107" s="103" t="s">
        <v>157</v>
      </c>
      <c r="M107" s="103" t="s">
        <v>157</v>
      </c>
      <c r="N107" s="104">
        <f>IF(P$68=O$68,O107,IF(O107="-",O107,ROUND(O107-((O107-P107)/(P$68-O$68))*(N$68-O$68),3)))</f>
        <v>1.37</v>
      </c>
      <c r="O107" s="104">
        <f>IF(O$68=10,C107,HLOOKUP($O$68,$D$68:$M$133,40,TRUE))</f>
        <v>1.37</v>
      </c>
      <c r="P107" s="104">
        <f>IF(P$68=10,C107,HLOOKUP($P$68,$D$68:$M$133,40,TRUE))</f>
        <v>1.37</v>
      </c>
    </row>
    <row r="108" spans="1:16" s="92" customFormat="1">
      <c r="A108" s="97">
        <v>4</v>
      </c>
      <c r="B108" s="98" t="s">
        <v>124</v>
      </c>
      <c r="C108" s="105"/>
      <c r="D108" s="105"/>
      <c r="E108" s="105"/>
      <c r="F108" s="105"/>
      <c r="G108" s="105"/>
      <c r="H108" s="105"/>
      <c r="I108" s="105"/>
      <c r="J108" s="105"/>
      <c r="K108" s="105"/>
      <c r="L108" s="105"/>
      <c r="M108" s="106"/>
      <c r="N108" s="103"/>
      <c r="O108" s="103"/>
      <c r="P108" s="103"/>
    </row>
    <row r="109" spans="1:16" s="92" customFormat="1">
      <c r="A109" s="97" t="s">
        <v>45</v>
      </c>
      <c r="B109" s="98" t="s">
        <v>148</v>
      </c>
      <c r="C109" s="105"/>
      <c r="D109" s="105"/>
      <c r="E109" s="105"/>
      <c r="F109" s="105"/>
      <c r="G109" s="105"/>
      <c r="H109" s="105"/>
      <c r="I109" s="105"/>
      <c r="J109" s="105"/>
      <c r="K109" s="105"/>
      <c r="L109" s="105"/>
      <c r="M109" s="106"/>
      <c r="N109" s="103"/>
      <c r="O109" s="103"/>
      <c r="P109" s="103"/>
    </row>
    <row r="110" spans="1:16" s="92" customFormat="1">
      <c r="A110" s="97" t="s">
        <v>184</v>
      </c>
      <c r="B110" s="101" t="s">
        <v>149</v>
      </c>
      <c r="C110" s="103">
        <v>2.98</v>
      </c>
      <c r="D110" s="103">
        <v>2.6</v>
      </c>
      <c r="E110" s="103">
        <v>2.2000000000000002</v>
      </c>
      <c r="F110" s="103">
        <v>1.98</v>
      </c>
      <c r="G110" s="103">
        <v>1.83</v>
      </c>
      <c r="H110" s="103">
        <v>1.54</v>
      </c>
      <c r="I110" s="103">
        <v>1.3</v>
      </c>
      <c r="J110" s="103">
        <v>1.1299999999999999</v>
      </c>
      <c r="K110" s="103">
        <v>0.85</v>
      </c>
      <c r="L110" s="103">
        <v>0.66</v>
      </c>
      <c r="M110" s="103">
        <v>0.57999999999999996</v>
      </c>
      <c r="N110" s="104">
        <f>IF(P$68=O$68,O110,IF(O110="-",O110,ROUND(O110-((O110-P110)/(P$68-O$68))*(N$68-O$68),3)))</f>
        <v>2.98</v>
      </c>
      <c r="O110" s="104">
        <f>IF(O$68=10,C110,HLOOKUP($O$68,$D$68:$M$133,43,TRUE))</f>
        <v>2.98</v>
      </c>
      <c r="P110" s="104">
        <f>IF(P$68=10,C110,HLOOKUP($P$68,$D$68:$M$133,43,TRUE))</f>
        <v>2.98</v>
      </c>
    </row>
    <row r="111" spans="1:16" s="92" customFormat="1">
      <c r="A111" s="97" t="s">
        <v>185</v>
      </c>
      <c r="B111" s="101" t="s">
        <v>150</v>
      </c>
      <c r="C111" s="103">
        <v>2.7</v>
      </c>
      <c r="D111" s="103">
        <v>2.36</v>
      </c>
      <c r="E111" s="103">
        <v>1.99</v>
      </c>
      <c r="F111" s="103">
        <v>1.78</v>
      </c>
      <c r="G111" s="103">
        <v>1.66</v>
      </c>
      <c r="H111" s="103">
        <v>1.39</v>
      </c>
      <c r="I111" s="103">
        <v>1.17</v>
      </c>
      <c r="J111" s="103">
        <v>1.02</v>
      </c>
      <c r="K111" s="103">
        <v>0.77</v>
      </c>
      <c r="L111" s="103">
        <v>0.59</v>
      </c>
      <c r="M111" s="103">
        <v>0.52</v>
      </c>
      <c r="N111" s="104">
        <f>IF(P$68=O$68,O111,IF(O111="-",O111,ROUND(O111-((O111-P111)/(P$68-O$68))*(N$68-O$68),3)))</f>
        <v>2.7</v>
      </c>
      <c r="O111" s="104">
        <f>IF(O$68=10,C111,HLOOKUP($O$68,$D$68:$M$133,44,TRUE))</f>
        <v>2.7</v>
      </c>
      <c r="P111" s="104">
        <f>IF(P$68=10,C111,HLOOKUP($P$68,$D$68:$M$133,44,TRUE))</f>
        <v>2.7</v>
      </c>
    </row>
    <row r="112" spans="1:16" s="92" customFormat="1">
      <c r="A112" s="97" t="s">
        <v>186</v>
      </c>
      <c r="B112" s="101" t="s">
        <v>152</v>
      </c>
      <c r="C112" s="103">
        <v>2.48</v>
      </c>
      <c r="D112" s="103">
        <v>2.14</v>
      </c>
      <c r="E112" s="103">
        <v>1.8</v>
      </c>
      <c r="F112" s="103">
        <v>1.61</v>
      </c>
      <c r="G112" s="103">
        <v>1.51</v>
      </c>
      <c r="H112" s="103">
        <v>1.22</v>
      </c>
      <c r="I112" s="103">
        <v>1.05</v>
      </c>
      <c r="J112" s="103">
        <v>0.87</v>
      </c>
      <c r="K112" s="103">
        <v>0.67</v>
      </c>
      <c r="L112" s="103">
        <v>0.49</v>
      </c>
      <c r="M112" s="103">
        <v>0.42</v>
      </c>
      <c r="N112" s="104">
        <f>IF(P$68=O$68,O112,IF(O112="-",O112,ROUND(O112-((O112-P112)/(P$68-O$68))*(N$68-O$68),3)))</f>
        <v>2.48</v>
      </c>
      <c r="O112" s="104">
        <f>IF(O$68=10,C112,HLOOKUP($O$68,$D$68:$M$133,45,TRUE))</f>
        <v>2.48</v>
      </c>
      <c r="P112" s="104">
        <f>IF(P$68=10,C112,HLOOKUP($P$68,$D$68:$M$133,45,TRUE))</f>
        <v>2.48</v>
      </c>
    </row>
    <row r="113" spans="1:16" s="92" customFormat="1">
      <c r="A113" s="97" t="s">
        <v>187</v>
      </c>
      <c r="B113" s="101" t="s">
        <v>154</v>
      </c>
      <c r="C113" s="103">
        <v>2.2000000000000002</v>
      </c>
      <c r="D113" s="103">
        <v>1.9</v>
      </c>
      <c r="E113" s="103">
        <v>1.6</v>
      </c>
      <c r="F113" s="103">
        <v>1.43</v>
      </c>
      <c r="G113" s="103">
        <v>1.24</v>
      </c>
      <c r="H113" s="103">
        <v>1.06</v>
      </c>
      <c r="I113" s="103">
        <v>0.9</v>
      </c>
      <c r="J113" s="103">
        <v>0.77</v>
      </c>
      <c r="K113" s="103">
        <v>0.59</v>
      </c>
      <c r="L113" s="103">
        <v>0.43</v>
      </c>
      <c r="M113" s="103">
        <v>0.37</v>
      </c>
      <c r="N113" s="104">
        <f>IF(P$68=O$68,O113,IF(O113="-",O113,ROUND(O113-((O113-P113)/(P$68-O$68))*(N$68-O$68),3)))</f>
        <v>2.2000000000000002</v>
      </c>
      <c r="O113" s="104">
        <f>IF(O$68=10,C113,HLOOKUP($O$68,$D$68:$M$133,46,TRUE))</f>
        <v>2.2000000000000002</v>
      </c>
      <c r="P113" s="104">
        <f>IF(P$68=10,C113,HLOOKUP($P$68,$D$68:$M$133,46,TRUE))</f>
        <v>2.2000000000000002</v>
      </c>
    </row>
    <row r="114" spans="1:16" s="92" customFormat="1">
      <c r="A114" s="97" t="s">
        <v>188</v>
      </c>
      <c r="B114" s="101" t="s">
        <v>156</v>
      </c>
      <c r="C114" s="103">
        <v>1.74</v>
      </c>
      <c r="D114" s="103">
        <v>1.52</v>
      </c>
      <c r="E114" s="103">
        <v>1.27</v>
      </c>
      <c r="F114" s="103">
        <v>1.1200000000000001</v>
      </c>
      <c r="G114" s="103">
        <v>1.01</v>
      </c>
      <c r="H114" s="103">
        <v>0.8</v>
      </c>
      <c r="I114" s="103">
        <v>0.64</v>
      </c>
      <c r="J114" s="103" t="s">
        <v>157</v>
      </c>
      <c r="K114" s="103" t="s">
        <v>157</v>
      </c>
      <c r="L114" s="103" t="s">
        <v>157</v>
      </c>
      <c r="M114" s="103" t="s">
        <v>157</v>
      </c>
      <c r="N114" s="104">
        <f>IF(P$68=O$68,O114,IF(O114="-",O114,ROUND(O114-((O114-P114)/(P$68-O$68))*(N$68-O$68),3)))</f>
        <v>1.74</v>
      </c>
      <c r="O114" s="104">
        <f>IF(O$68=10,C114,HLOOKUP($O$68,$D$68:$M$133,47,TRUE))</f>
        <v>1.74</v>
      </c>
      <c r="P114" s="104">
        <f>IF(P$68=10,C114,HLOOKUP($P$68,$D$68:$M$133,47,TRUE))</f>
        <v>1.74</v>
      </c>
    </row>
    <row r="115" spans="1:16" s="92" customFormat="1">
      <c r="A115" s="97" t="s">
        <v>44</v>
      </c>
      <c r="B115" s="98" t="s">
        <v>158</v>
      </c>
      <c r="C115" s="105"/>
      <c r="D115" s="105"/>
      <c r="E115" s="105"/>
      <c r="F115" s="105"/>
      <c r="G115" s="105"/>
      <c r="H115" s="105"/>
      <c r="I115" s="105"/>
      <c r="J115" s="105"/>
      <c r="K115" s="105"/>
      <c r="L115" s="105"/>
      <c r="M115" s="106"/>
      <c r="N115" s="103"/>
      <c r="O115" s="103"/>
      <c r="P115" s="103"/>
    </row>
    <row r="116" spans="1:16" s="92" customFormat="1">
      <c r="A116" s="97" t="s">
        <v>189</v>
      </c>
      <c r="B116" s="101" t="s">
        <v>149</v>
      </c>
      <c r="C116" s="103">
        <v>4.29</v>
      </c>
      <c r="D116" s="103">
        <v>3.75</v>
      </c>
      <c r="E116" s="103">
        <v>3.17</v>
      </c>
      <c r="F116" s="103">
        <v>2.85</v>
      </c>
      <c r="G116" s="103">
        <v>2.6</v>
      </c>
      <c r="H116" s="103">
        <v>2.21</v>
      </c>
      <c r="I116" s="103">
        <v>1.87</v>
      </c>
      <c r="J116" s="103">
        <v>1.58</v>
      </c>
      <c r="K116" s="103">
        <v>1.22</v>
      </c>
      <c r="L116" s="103">
        <v>0.95</v>
      </c>
      <c r="M116" s="103">
        <v>0.83</v>
      </c>
      <c r="N116" s="104">
        <f>IF(P$68=O$68,O116,IF(O116="-",O116,ROUND(O116-((O116-P116)/(P$68-O$68))*(N$68-O$68),3)))</f>
        <v>4.29</v>
      </c>
      <c r="O116" s="104">
        <f>IF(O$68=10,C116,HLOOKUP($O$68,$D$68:$M$133,49,TRUE))</f>
        <v>4.29</v>
      </c>
      <c r="P116" s="104">
        <f>IF(P$68=10,C116,HLOOKUP($P$68,$D$68:$M$133,49,TRUE))</f>
        <v>4.29</v>
      </c>
    </row>
    <row r="117" spans="1:16" s="92" customFormat="1">
      <c r="A117" s="97" t="s">
        <v>190</v>
      </c>
      <c r="B117" s="101" t="s">
        <v>150</v>
      </c>
      <c r="C117" s="103">
        <v>3.89</v>
      </c>
      <c r="D117" s="103">
        <v>3.4</v>
      </c>
      <c r="E117" s="103">
        <v>2.87</v>
      </c>
      <c r="F117" s="103">
        <v>2.57</v>
      </c>
      <c r="G117" s="103">
        <v>2.36</v>
      </c>
      <c r="H117" s="103">
        <v>2</v>
      </c>
      <c r="I117" s="103">
        <v>1.69</v>
      </c>
      <c r="J117" s="103">
        <v>1.43</v>
      </c>
      <c r="K117" s="103">
        <v>1.1000000000000001</v>
      </c>
      <c r="L117" s="103">
        <v>0.85</v>
      </c>
      <c r="M117" s="103">
        <v>0.74</v>
      </c>
      <c r="N117" s="104">
        <f>IF(P$68=O$68,O117,IF(O117="-",O117,ROUND(O117-((O117-P117)/(P$68-O$68))*(N$68-O$68),3)))</f>
        <v>3.89</v>
      </c>
      <c r="O117" s="104">
        <f>IF(O$68=10,C117,HLOOKUP($O$68,$D$68:$M$133,50,TRUE))</f>
        <v>3.89</v>
      </c>
      <c r="P117" s="104">
        <f>IF(P$68=10,C117,HLOOKUP($P$68,$D$68:$M$133,50,TRUE))</f>
        <v>3.89</v>
      </c>
    </row>
    <row r="118" spans="1:16" s="92" customFormat="1">
      <c r="A118" s="97" t="s">
        <v>191</v>
      </c>
      <c r="B118" s="101" t="s">
        <v>152</v>
      </c>
      <c r="C118" s="103">
        <v>3.53</v>
      </c>
      <c r="D118" s="103">
        <v>3.11</v>
      </c>
      <c r="E118" s="103">
        <v>2.62</v>
      </c>
      <c r="F118" s="103">
        <v>2.34</v>
      </c>
      <c r="G118" s="103">
        <v>2.15</v>
      </c>
      <c r="H118" s="103">
        <v>1.73</v>
      </c>
      <c r="I118" s="103">
        <v>1.48</v>
      </c>
      <c r="J118" s="103">
        <v>1.25</v>
      </c>
      <c r="K118" s="103">
        <v>0.96</v>
      </c>
      <c r="L118" s="103">
        <v>0.69</v>
      </c>
      <c r="M118" s="103">
        <v>0.57999999999999996</v>
      </c>
      <c r="N118" s="104">
        <f>IF(P$68=O$68,O118,IF(O118="-",O118,ROUND(O118-((O118-P118)/(P$68-O$68))*(N$68-O$68),3)))</f>
        <v>3.53</v>
      </c>
      <c r="O118" s="104">
        <f>IF(O$68=10,C118,HLOOKUP($O$68,$D$68:$M$133,51,TRUE))</f>
        <v>3.53</v>
      </c>
      <c r="P118" s="104">
        <f>IF(P$68=10,C118,HLOOKUP($P$68,$D$68:$M$133,51,TRUE))</f>
        <v>3.53</v>
      </c>
    </row>
    <row r="119" spans="1:16" s="92" customFormat="1">
      <c r="A119" s="97" t="s">
        <v>192</v>
      </c>
      <c r="B119" s="101" t="s">
        <v>154</v>
      </c>
      <c r="C119" s="103">
        <v>3.13</v>
      </c>
      <c r="D119" s="103">
        <v>2.76</v>
      </c>
      <c r="E119" s="103">
        <v>2.31</v>
      </c>
      <c r="F119" s="103">
        <v>2.0699999999999998</v>
      </c>
      <c r="G119" s="103">
        <v>1.79</v>
      </c>
      <c r="H119" s="103">
        <v>1.52</v>
      </c>
      <c r="I119" s="103">
        <v>1.29</v>
      </c>
      <c r="J119" s="103">
        <v>1.1000000000000001</v>
      </c>
      <c r="K119" s="103">
        <v>0.83</v>
      </c>
      <c r="L119" s="103">
        <v>0.6</v>
      </c>
      <c r="M119" s="103">
        <v>0.51</v>
      </c>
      <c r="N119" s="104">
        <f>IF(P$68=O$68,O119,IF(O119="-",O119,ROUND(O119-((O119-P119)/(P$68-O$68))*(N$68-O$68),3)))</f>
        <v>3.13</v>
      </c>
      <c r="O119" s="104">
        <f>IF(O$68=10,C119,HLOOKUP($O$68,$D$68:$M$133,52,TRUE))</f>
        <v>3.13</v>
      </c>
      <c r="P119" s="104">
        <f>IF(P$68=10,C119,HLOOKUP($P$68,$D$68:$M$133,52,TRUE))</f>
        <v>3.13</v>
      </c>
    </row>
    <row r="120" spans="1:16" s="92" customFormat="1">
      <c r="A120" s="97" t="s">
        <v>193</v>
      </c>
      <c r="B120" s="101" t="s">
        <v>156</v>
      </c>
      <c r="C120" s="103">
        <v>2.48</v>
      </c>
      <c r="D120" s="103">
        <v>2.19</v>
      </c>
      <c r="E120" s="103">
        <v>1.82</v>
      </c>
      <c r="F120" s="103">
        <v>1.61</v>
      </c>
      <c r="G120" s="103">
        <v>1.41</v>
      </c>
      <c r="H120" s="103">
        <v>1.1399999999999999</v>
      </c>
      <c r="I120" s="103" t="s">
        <v>157</v>
      </c>
      <c r="J120" s="103" t="s">
        <v>157</v>
      </c>
      <c r="K120" s="103" t="s">
        <v>157</v>
      </c>
      <c r="L120" s="103" t="s">
        <v>157</v>
      </c>
      <c r="M120" s="103" t="s">
        <v>157</v>
      </c>
      <c r="N120" s="104">
        <f>IF(P$68=O$68,O120,IF(O120="-",O120,ROUND(O120-((O120-P120)/(P$68-O$68))*(N$68-O$68),3)))</f>
        <v>2.48</v>
      </c>
      <c r="O120" s="104">
        <f>IF(O$68=10,C120,HLOOKUP($O$68,$D$68:$M$133,53,TRUE))</f>
        <v>2.48</v>
      </c>
      <c r="P120" s="104">
        <f>IF(P$68=10,C120,HLOOKUP($P$68,$D$68:$M$133,53,TRUE))</f>
        <v>2.48</v>
      </c>
    </row>
    <row r="121" spans="1:16" s="92" customFormat="1">
      <c r="A121" s="97">
        <v>5</v>
      </c>
      <c r="B121" s="98" t="s">
        <v>125</v>
      </c>
      <c r="C121" s="105"/>
      <c r="D121" s="105"/>
      <c r="E121" s="105"/>
      <c r="F121" s="105"/>
      <c r="G121" s="105"/>
      <c r="H121" s="105"/>
      <c r="I121" s="105"/>
      <c r="J121" s="105"/>
      <c r="K121" s="105"/>
      <c r="L121" s="105"/>
      <c r="M121" s="106"/>
      <c r="N121" s="103"/>
      <c r="O121" s="103"/>
      <c r="P121" s="103"/>
    </row>
    <row r="122" spans="1:16" s="92" customFormat="1">
      <c r="A122" s="97" t="s">
        <v>194</v>
      </c>
      <c r="B122" s="98" t="s">
        <v>148</v>
      </c>
      <c r="C122" s="105"/>
      <c r="D122" s="105"/>
      <c r="E122" s="105"/>
      <c r="F122" s="105"/>
      <c r="G122" s="105"/>
      <c r="H122" s="105"/>
      <c r="I122" s="105"/>
      <c r="J122" s="105"/>
      <c r="K122" s="105"/>
      <c r="L122" s="105"/>
      <c r="M122" s="106"/>
      <c r="N122" s="103"/>
      <c r="O122" s="103"/>
      <c r="P122" s="103"/>
    </row>
    <row r="123" spans="1:16" s="92" customFormat="1">
      <c r="A123" s="97" t="s">
        <v>195</v>
      </c>
      <c r="B123" s="101" t="s">
        <v>149</v>
      </c>
      <c r="C123" s="103">
        <v>2.2200000000000002</v>
      </c>
      <c r="D123" s="103">
        <v>1.94</v>
      </c>
      <c r="E123" s="103">
        <v>1.63</v>
      </c>
      <c r="F123" s="103">
        <v>1.48</v>
      </c>
      <c r="G123" s="103">
        <v>1.36</v>
      </c>
      <c r="H123" s="103">
        <v>1.1399999999999999</v>
      </c>
      <c r="I123" s="103">
        <v>0.97</v>
      </c>
      <c r="J123" s="103">
        <v>0.83</v>
      </c>
      <c r="K123" s="103">
        <v>0.61</v>
      </c>
      <c r="L123" s="103">
        <v>0.48</v>
      </c>
      <c r="M123" s="103">
        <v>0.43</v>
      </c>
      <c r="N123" s="104">
        <f>IF(P$68=O$68,O123,IF(O123="-",O123,ROUND(O123-((O123-P123)/(P$68-O$68))*(N$68-O$68),3)))</f>
        <v>2.2200000000000002</v>
      </c>
      <c r="O123" s="104">
        <f>IF(O$68=10,C123,HLOOKUP($O$68,$D$68:$M$133,56,TRUE))</f>
        <v>2.2200000000000002</v>
      </c>
      <c r="P123" s="104">
        <f>IF(P$68=10,C123,HLOOKUP($P$68,$D$68:$M$133,56,TRUE))</f>
        <v>2.2200000000000002</v>
      </c>
    </row>
    <row r="124" spans="1:16" s="92" customFormat="1">
      <c r="A124" s="97" t="s">
        <v>196</v>
      </c>
      <c r="B124" s="101" t="s">
        <v>150</v>
      </c>
      <c r="C124" s="103">
        <v>2.09</v>
      </c>
      <c r="D124" s="103">
        <v>1.83</v>
      </c>
      <c r="E124" s="103">
        <v>1.53</v>
      </c>
      <c r="F124" s="103">
        <v>1.38</v>
      </c>
      <c r="G124" s="103">
        <v>1.28</v>
      </c>
      <c r="H124" s="103">
        <v>1.04</v>
      </c>
      <c r="I124" s="103">
        <v>0.9</v>
      </c>
      <c r="J124" s="103">
        <v>0.75</v>
      </c>
      <c r="K124" s="103">
        <v>0.53</v>
      </c>
      <c r="L124" s="103">
        <v>0.39</v>
      </c>
      <c r="M124" s="103">
        <v>0.33</v>
      </c>
      <c r="N124" s="104">
        <f>IF(P$68=O$68,O124,IF(O124="-",O124,ROUND(O124-((O124-P124)/(P$68-O$68))*(N$68-O$68),3)))</f>
        <v>2.09</v>
      </c>
      <c r="O124" s="104">
        <f>IF(O$68=10,C124,HLOOKUP($O$68,$D$68:$M$133,57,TRUE))</f>
        <v>2.09</v>
      </c>
      <c r="P124" s="104">
        <f>IF(P$68=10,C124,HLOOKUP($P$68,$D$68:$M$133,57,TRUE))</f>
        <v>2.09</v>
      </c>
    </row>
    <row r="125" spans="1:16" s="92" customFormat="1">
      <c r="A125" s="97" t="s">
        <v>197</v>
      </c>
      <c r="B125" s="101" t="s">
        <v>152</v>
      </c>
      <c r="C125" s="103">
        <v>1.86</v>
      </c>
      <c r="D125" s="103">
        <v>1.62</v>
      </c>
      <c r="E125" s="103">
        <v>1.36</v>
      </c>
      <c r="F125" s="103">
        <v>1.22</v>
      </c>
      <c r="G125" s="103">
        <v>1.1299999999999999</v>
      </c>
      <c r="H125" s="103">
        <v>0.91</v>
      </c>
      <c r="I125" s="103">
        <v>0.78</v>
      </c>
      <c r="J125" s="103">
        <v>0.66</v>
      </c>
      <c r="K125" s="103">
        <v>0.47</v>
      </c>
      <c r="L125" s="103">
        <v>0.34</v>
      </c>
      <c r="M125" s="103">
        <v>0.28999999999999998</v>
      </c>
      <c r="N125" s="104">
        <f>IF(P$68=O$68,O125,IF(O125="-",O125,ROUND(O125-((O125-P125)/(P$68-O$68))*(N$68-O$68),3)))</f>
        <v>1.86</v>
      </c>
      <c r="O125" s="104">
        <f>IF(O$68=10,C125,HLOOKUP($O$68,$D$68:$M$133,58,TRUE))</f>
        <v>1.86</v>
      </c>
      <c r="P125" s="104">
        <f>IF(P$68=10,C125,HLOOKUP($P$68,$D$68:$M$133,58,TRUE))</f>
        <v>1.86</v>
      </c>
    </row>
    <row r="126" spans="1:16" s="92" customFormat="1">
      <c r="A126" s="97" t="s">
        <v>198</v>
      </c>
      <c r="B126" s="101" t="s">
        <v>154</v>
      </c>
      <c r="C126" s="103">
        <v>1.62</v>
      </c>
      <c r="D126" s="103">
        <v>1.39</v>
      </c>
      <c r="E126" s="103">
        <v>1.19</v>
      </c>
      <c r="F126" s="103">
        <v>1.07</v>
      </c>
      <c r="G126" s="103">
        <v>0.97</v>
      </c>
      <c r="H126" s="103">
        <v>0.8</v>
      </c>
      <c r="I126" s="103">
        <v>0.7</v>
      </c>
      <c r="J126" s="103">
        <v>0.56000000000000005</v>
      </c>
      <c r="K126" s="103">
        <v>0.41</v>
      </c>
      <c r="L126" s="103">
        <v>0.28999999999999998</v>
      </c>
      <c r="M126" s="103">
        <v>0.25</v>
      </c>
      <c r="N126" s="104">
        <f>IF(P$68=O$68,O126,IF(O126="-",O126,ROUND(O126-((O126-P126)/(P$68-O$68))*(N$68-O$68),3)))</f>
        <v>1.62</v>
      </c>
      <c r="O126" s="104">
        <f>IF(O$68=10,C126,HLOOKUP($O$68,$D$68:$M$133,59,TRUE))</f>
        <v>1.62</v>
      </c>
      <c r="P126" s="104">
        <f>IF(P$68=10,C126,HLOOKUP($P$68,$D$68:$M$133,59,TRUE))</f>
        <v>1.62</v>
      </c>
    </row>
    <row r="127" spans="1:16" s="92" customFormat="1">
      <c r="A127" s="97" t="s">
        <v>199</v>
      </c>
      <c r="B127" s="101" t="s">
        <v>156</v>
      </c>
      <c r="C127" s="103">
        <v>1.45</v>
      </c>
      <c r="D127" s="103">
        <v>1.23</v>
      </c>
      <c r="E127" s="103">
        <v>1.01</v>
      </c>
      <c r="F127" s="103">
        <v>0.92</v>
      </c>
      <c r="G127" s="103">
        <v>0.8</v>
      </c>
      <c r="H127" s="103">
        <v>0.7</v>
      </c>
      <c r="I127" s="103">
        <v>0.57999999999999996</v>
      </c>
      <c r="J127" s="103" t="s">
        <v>157</v>
      </c>
      <c r="K127" s="103" t="s">
        <v>157</v>
      </c>
      <c r="L127" s="103" t="s">
        <v>157</v>
      </c>
      <c r="M127" s="103" t="s">
        <v>157</v>
      </c>
      <c r="N127" s="104">
        <f>IF(P$68=O$68,O127,IF(O127="-",O127,ROUND(O127-((O127-P127)/(P$68-O$68))*(N$68-O$68),3)))</f>
        <v>1.45</v>
      </c>
      <c r="O127" s="104">
        <f>IF(O$68=10,C127,HLOOKUP($O$68,$D$68:$M$133,60,TRUE))</f>
        <v>1.45</v>
      </c>
      <c r="P127" s="104">
        <f>IF(P$68=10,C127,HLOOKUP($P$68,$D$68:$M$133,60,TRUE))</f>
        <v>1.45</v>
      </c>
    </row>
    <row r="128" spans="1:16" s="92" customFormat="1">
      <c r="A128" s="97" t="s">
        <v>200</v>
      </c>
      <c r="B128" s="98" t="s">
        <v>158</v>
      </c>
      <c r="C128" s="105"/>
      <c r="D128" s="105"/>
      <c r="E128" s="105"/>
      <c r="F128" s="105"/>
      <c r="G128" s="105"/>
      <c r="H128" s="105"/>
      <c r="I128" s="105"/>
      <c r="J128" s="105"/>
      <c r="K128" s="105"/>
      <c r="L128" s="105"/>
      <c r="M128" s="106"/>
      <c r="N128" s="103"/>
      <c r="O128" s="103"/>
      <c r="P128" s="103"/>
    </row>
    <row r="129" spans="1:17" s="92" customFormat="1">
      <c r="A129" s="97" t="s">
        <v>201</v>
      </c>
      <c r="B129" s="101" t="s">
        <v>149</v>
      </c>
      <c r="C129" s="103">
        <v>3.23</v>
      </c>
      <c r="D129" s="103">
        <v>2.79</v>
      </c>
      <c r="E129" s="103">
        <v>2.35</v>
      </c>
      <c r="F129" s="103">
        <v>2.13</v>
      </c>
      <c r="G129" s="103">
        <v>1.95</v>
      </c>
      <c r="H129" s="103">
        <v>1.64</v>
      </c>
      <c r="I129" s="103">
        <v>1.39</v>
      </c>
      <c r="J129" s="103">
        <v>1.19</v>
      </c>
      <c r="K129" s="103">
        <v>0.9</v>
      </c>
      <c r="L129" s="103">
        <v>0.7</v>
      </c>
      <c r="M129" s="103">
        <v>0.63</v>
      </c>
      <c r="N129" s="104">
        <f>IF(P$68=O$68,O129,IF(O129="-",O129,ROUND(O129-((O129-P129)/(P$68-O$68))*(N$68-O$68),3)))</f>
        <v>3.23</v>
      </c>
      <c r="O129" s="104">
        <f>IF(O$68=10,C129,HLOOKUP($O$68,$D$68:$M$133,62,TRUE))</f>
        <v>3.23</v>
      </c>
      <c r="P129" s="104">
        <f>IF(P$68=10,C129,HLOOKUP($P$68,$D$68:$M$133,62,TRUE))</f>
        <v>3.23</v>
      </c>
    </row>
    <row r="130" spans="1:17" s="92" customFormat="1">
      <c r="A130" s="97" t="s">
        <v>202</v>
      </c>
      <c r="B130" s="101" t="s">
        <v>150</v>
      </c>
      <c r="C130" s="103">
        <v>3.01</v>
      </c>
      <c r="D130" s="103">
        <v>2.63</v>
      </c>
      <c r="E130" s="103">
        <v>2.21</v>
      </c>
      <c r="F130" s="103">
        <v>1.99</v>
      </c>
      <c r="G130" s="103">
        <v>1.82</v>
      </c>
      <c r="H130" s="103">
        <v>1.49</v>
      </c>
      <c r="I130" s="103">
        <v>1.28</v>
      </c>
      <c r="J130" s="103">
        <v>1.07</v>
      </c>
      <c r="K130" s="103">
        <v>0.79</v>
      </c>
      <c r="L130" s="103">
        <v>0.57999999999999996</v>
      </c>
      <c r="M130" s="103">
        <v>0.49</v>
      </c>
      <c r="N130" s="104">
        <f>IF(P$68=O$68,O130,IF(O130="-",O130,ROUND(O130-((O130-P130)/(P$68-O$68))*(N$68-O$68),3)))</f>
        <v>3.01</v>
      </c>
      <c r="O130" s="104">
        <f>IF(O$68=10,C130,HLOOKUP($O$68,$D$68:$M$133,63,TRUE))</f>
        <v>3.01</v>
      </c>
      <c r="P130" s="104">
        <f>IF(P$68=10,C130,HLOOKUP($P$68,$D$68:$M$133,63,TRUE))</f>
        <v>3.01</v>
      </c>
    </row>
    <row r="131" spans="1:17" s="92" customFormat="1">
      <c r="A131" s="97" t="s">
        <v>203</v>
      </c>
      <c r="B131" s="101" t="s">
        <v>152</v>
      </c>
      <c r="C131" s="103">
        <v>2.68</v>
      </c>
      <c r="D131" s="103">
        <v>2.33</v>
      </c>
      <c r="E131" s="103">
        <v>1.97</v>
      </c>
      <c r="F131" s="103">
        <v>1.77</v>
      </c>
      <c r="G131" s="103">
        <v>1.58</v>
      </c>
      <c r="H131" s="103">
        <v>1.32</v>
      </c>
      <c r="I131" s="103">
        <v>1.1399999999999999</v>
      </c>
      <c r="J131" s="103">
        <v>0.92</v>
      </c>
      <c r="K131" s="103">
        <v>0.7</v>
      </c>
      <c r="L131" s="103">
        <v>0.51</v>
      </c>
      <c r="M131" s="103">
        <v>0.43</v>
      </c>
      <c r="N131" s="104">
        <f>IF(P$68=O$68,O131,IF(O131="-",O131,ROUND(O131-((O131-P131)/(P$68-O$68))*(N$68-O$68),3)))</f>
        <v>2.68</v>
      </c>
      <c r="O131" s="104">
        <f>IF(O$68=10,C131,HLOOKUP($O$68,$D$68:$M$133,64,TRUE))</f>
        <v>2.68</v>
      </c>
      <c r="P131" s="104">
        <f>IF(P$68=10,C131,HLOOKUP($P$68,$D$68:$M$133,64,TRUE))</f>
        <v>2.68</v>
      </c>
    </row>
    <row r="132" spans="1:17" s="92" customFormat="1">
      <c r="A132" s="97" t="s">
        <v>204</v>
      </c>
      <c r="B132" s="101" t="s">
        <v>154</v>
      </c>
      <c r="C132" s="103">
        <v>2.36</v>
      </c>
      <c r="D132" s="103">
        <v>2.0099999999999998</v>
      </c>
      <c r="E132" s="103">
        <v>1.72</v>
      </c>
      <c r="F132" s="103">
        <v>1.55</v>
      </c>
      <c r="G132" s="103">
        <v>1.39</v>
      </c>
      <c r="H132" s="103">
        <v>1.1599999999999999</v>
      </c>
      <c r="I132" s="103">
        <v>1.02</v>
      </c>
      <c r="J132" s="103">
        <v>0.81</v>
      </c>
      <c r="K132" s="103">
        <v>0.61</v>
      </c>
      <c r="L132" s="103">
        <v>0.44</v>
      </c>
      <c r="M132" s="103">
        <v>0.36</v>
      </c>
      <c r="N132" s="104">
        <f>IF(P$68=O$68,O132,IF(O132="-",O132,ROUND(O132-((O132-P132)/(P$68-O$68))*(N$68-O$68),3)))</f>
        <v>2.36</v>
      </c>
      <c r="O132" s="104">
        <f>IF(O$68=10,C132,HLOOKUP($O$68,$D$68:$M$133,65,TRUE))</f>
        <v>2.36</v>
      </c>
      <c r="P132" s="104">
        <f>IF(P$68=10,C132,HLOOKUP($P$68,$D$68:$M$133,65,TRUE))</f>
        <v>2.36</v>
      </c>
    </row>
    <row r="133" spans="1:17" s="92" customFormat="1">
      <c r="A133" s="97" t="s">
        <v>205</v>
      </c>
      <c r="B133" s="101" t="s">
        <v>156</v>
      </c>
      <c r="C133" s="103">
        <v>2.0699999999999998</v>
      </c>
      <c r="D133" s="103">
        <v>1.76</v>
      </c>
      <c r="E133" s="103">
        <v>1.49</v>
      </c>
      <c r="F133" s="103">
        <v>1.35</v>
      </c>
      <c r="G133" s="103">
        <v>1.1499999999999999</v>
      </c>
      <c r="H133" s="103">
        <v>0.98</v>
      </c>
      <c r="I133" s="103" t="s">
        <v>157</v>
      </c>
      <c r="J133" s="103" t="s">
        <v>157</v>
      </c>
      <c r="K133" s="103" t="s">
        <v>157</v>
      </c>
      <c r="L133" s="103" t="s">
        <v>157</v>
      </c>
      <c r="M133" s="103" t="s">
        <v>157</v>
      </c>
      <c r="N133" s="104">
        <f>IF(P$68=O$68,O133,IF(O133="-",O133,ROUND(O133-((O133-P133)/(P$68-O$68))*(N$68-O$68),3)))</f>
        <v>2.0699999999999998</v>
      </c>
      <c r="O133" s="104">
        <f>IF(O$68=10,C133,HLOOKUP($O$68,$D$68:$M$133,66,TRUE))</f>
        <v>2.0699999999999998</v>
      </c>
      <c r="P133" s="104">
        <f>IF(P$68=10,C133,HLOOKUP($P$68,$D$68:$M$133,66,TRUE))</f>
        <v>2.0699999999999998</v>
      </c>
    </row>
    <row r="134" spans="1:17" s="38" customFormat="1" hidden="1">
      <c r="A134" s="38" t="s">
        <v>206</v>
      </c>
      <c r="N134" s="45"/>
      <c r="O134" s="45"/>
      <c r="P134" s="45"/>
    </row>
    <row r="135" spans="1:17" s="38" customFormat="1"/>
    <row r="136" spans="1:17" s="38" customFormat="1">
      <c r="A136" s="248" t="s">
        <v>345</v>
      </c>
      <c r="B136" s="248"/>
      <c r="C136" s="248"/>
      <c r="D136" s="248"/>
      <c r="E136" s="248"/>
      <c r="F136" s="248"/>
      <c r="G136" s="248"/>
      <c r="H136" s="248"/>
      <c r="I136" s="248"/>
      <c r="J136" s="248"/>
      <c r="K136" s="248"/>
      <c r="L136" s="248"/>
      <c r="M136" s="248"/>
    </row>
    <row r="137" spans="1:17" s="38" customFormat="1">
      <c r="K137" s="249" t="s">
        <v>112</v>
      </c>
      <c r="L137" s="249"/>
      <c r="M137" s="249"/>
      <c r="N137" s="249"/>
    </row>
    <row r="138" spans="1:17" s="38" customFormat="1" hidden="1">
      <c r="A138" s="38" t="s">
        <v>207</v>
      </c>
      <c r="N138" s="38" t="s">
        <v>114</v>
      </c>
    </row>
    <row r="139" spans="1:17" s="38" customFormat="1" ht="15.75" thickBot="1">
      <c r="A139" s="250" t="s">
        <v>1</v>
      </c>
      <c r="B139" s="250" t="s">
        <v>115</v>
      </c>
      <c r="C139" s="250" t="s">
        <v>208</v>
      </c>
      <c r="D139" s="250"/>
      <c r="E139" s="250"/>
      <c r="F139" s="250"/>
      <c r="G139" s="250"/>
      <c r="H139" s="250"/>
      <c r="I139" s="250"/>
      <c r="J139" s="250"/>
      <c r="K139" s="250"/>
      <c r="L139" s="250"/>
      <c r="M139" s="250"/>
      <c r="N139" s="250"/>
      <c r="O139" s="39" t="s">
        <v>117</v>
      </c>
      <c r="P139" s="39" t="s">
        <v>118</v>
      </c>
      <c r="Q139" s="39" t="s">
        <v>119</v>
      </c>
    </row>
    <row r="140" spans="1:17" s="38" customFormat="1" ht="15.75" thickBot="1">
      <c r="A140" s="250"/>
      <c r="B140" s="250"/>
      <c r="C140" s="40" t="s">
        <v>128</v>
      </c>
      <c r="D140" s="87">
        <v>20</v>
      </c>
      <c r="E140" s="88">
        <v>50</v>
      </c>
      <c r="F140" s="88">
        <v>100</v>
      </c>
      <c r="G140" s="88">
        <v>200</v>
      </c>
      <c r="H140" s="88">
        <v>500</v>
      </c>
      <c r="I140" s="89">
        <v>1000</v>
      </c>
      <c r="J140" s="89">
        <v>2000</v>
      </c>
      <c r="K140" s="89">
        <v>5000</v>
      </c>
      <c r="L140" s="89">
        <v>10000</v>
      </c>
      <c r="M140" s="89">
        <v>20000</v>
      </c>
      <c r="N140" s="89">
        <v>30000</v>
      </c>
      <c r="O140" s="39">
        <f>$C$4+$C$5</f>
        <v>1.5559819002089998</v>
      </c>
      <c r="P140" s="39">
        <f>IF(O140&lt;D140,15,IF(O140&gt;N140,N140,HLOOKUP(O140,D140:N140,1)))</f>
        <v>15</v>
      </c>
      <c r="Q140" s="39">
        <f>IF(O140&lt;15,15,IF(O140&lt;20,20,IF(O140&gt;N140,N140,INDEX(D140:N140,MATCH(O140,D140:N140,1)+1))))</f>
        <v>15</v>
      </c>
    </row>
    <row r="141" spans="1:17" s="38" customFormat="1" ht="15.75" thickBot="1">
      <c r="A141" s="42">
        <v>1</v>
      </c>
      <c r="B141" s="43" t="s">
        <v>121</v>
      </c>
      <c r="C141" s="85">
        <v>7.0999999999999994E-2</v>
      </c>
      <c r="D141" s="86">
        <v>5.8999999999999997E-2</v>
      </c>
      <c r="E141" s="90">
        <v>4.8000000000000001E-2</v>
      </c>
      <c r="F141" s="90">
        <v>3.4000000000000002E-2</v>
      </c>
      <c r="G141" s="90">
        <v>2.5000000000000001E-2</v>
      </c>
      <c r="H141" s="90">
        <v>1.6E-2</v>
      </c>
      <c r="I141" s="90">
        <v>1.4E-2</v>
      </c>
      <c r="J141" s="90">
        <v>1.2E-2</v>
      </c>
      <c r="K141" s="90">
        <v>8.9999999999999993E-3</v>
      </c>
      <c r="L141" s="90">
        <v>7.0000000000000001E-3</v>
      </c>
      <c r="M141" s="90">
        <v>5.0000000000000001E-3</v>
      </c>
      <c r="N141" s="90">
        <v>4.0000000000000001E-3</v>
      </c>
      <c r="O141" s="45">
        <f>IF(Q$140=P$140,P141,ROUND(P141-((P141-Q141)/(Q$140-P$140))*(O$140-P$140),3))</f>
        <v>7.0999999999999994E-2</v>
      </c>
      <c r="P141" s="45">
        <f>IF(P$140=0,0,IF(P$140=15,C141,HLOOKUP($P$140,$D$140:$N$145,2,TRUE)))</f>
        <v>7.0999999999999994E-2</v>
      </c>
      <c r="Q141" s="45">
        <f>IF(Q$140=0,0,IF(Q$140=15,C141,HLOOKUP($Q$140,$D$140:$N$145,2,TRUE)))</f>
        <v>7.0999999999999994E-2</v>
      </c>
    </row>
    <row r="142" spans="1:17" s="38" customFormat="1" ht="15.75" thickBot="1">
      <c r="A142" s="42">
        <v>2</v>
      </c>
      <c r="B142" s="43" t="s">
        <v>122</v>
      </c>
      <c r="C142" s="86">
        <v>9.8000000000000004E-2</v>
      </c>
      <c r="D142" s="86">
        <v>8.3000000000000004E-2</v>
      </c>
      <c r="E142" s="90">
        <v>6.7000000000000004E-2</v>
      </c>
      <c r="F142" s="90">
        <v>4.9000000000000002E-2</v>
      </c>
      <c r="G142" s="90">
        <v>3.6999999999999998E-2</v>
      </c>
      <c r="H142" s="90">
        <v>2.8000000000000001E-2</v>
      </c>
      <c r="I142" s="90">
        <v>2.5000000000000001E-2</v>
      </c>
      <c r="J142" s="90">
        <v>0.02</v>
      </c>
      <c r="K142" s="90">
        <v>1.4999999999999999E-2</v>
      </c>
      <c r="L142" s="90">
        <v>0.01</v>
      </c>
      <c r="M142" s="90">
        <v>7.0000000000000001E-3</v>
      </c>
      <c r="N142" s="90">
        <v>5.0000000000000001E-3</v>
      </c>
      <c r="O142" s="45">
        <f>IF(Q$140=P$140,P142,ROUND(P142-((P142-Q142)/(Q$140-P$140))*(O$140-P$140),3))</f>
        <v>9.8000000000000004E-2</v>
      </c>
      <c r="P142" s="45">
        <f>IF(P$140=0,0,IF(P$140=15,C142,HLOOKUP($P$140,$D$140:$N$145,3,TRUE)))</f>
        <v>9.8000000000000004E-2</v>
      </c>
      <c r="Q142" s="45">
        <f>IF(Q$140=0,0,IF(Q$140=15,C142,HLOOKUP($Q$140,$D$140:$N$145,3,TRUE)))</f>
        <v>9.8000000000000004E-2</v>
      </c>
    </row>
    <row r="143" spans="1:17" s="38" customFormat="1" ht="15.75" thickBot="1">
      <c r="A143" s="42">
        <v>3</v>
      </c>
      <c r="B143" s="43" t="s">
        <v>123</v>
      </c>
      <c r="C143" s="86">
        <v>5.3999999999999999E-2</v>
      </c>
      <c r="D143" s="86">
        <v>4.9000000000000002E-2</v>
      </c>
      <c r="E143" s="90">
        <v>3.9E-2</v>
      </c>
      <c r="F143" s="90">
        <v>0.03</v>
      </c>
      <c r="G143" s="90">
        <v>0.02</v>
      </c>
      <c r="H143" s="90">
        <v>1.2999999999999999E-2</v>
      </c>
      <c r="I143" s="90">
        <v>1.0999999999999999E-2</v>
      </c>
      <c r="J143" s="90">
        <v>8.9999999999999993E-3</v>
      </c>
      <c r="K143" s="90">
        <v>7.0000000000000001E-3</v>
      </c>
      <c r="L143" s="90">
        <v>5.0000000000000001E-3</v>
      </c>
      <c r="M143" s="90">
        <v>4.0000000000000001E-3</v>
      </c>
      <c r="N143" s="90">
        <v>3.0000000000000001E-3</v>
      </c>
      <c r="O143" s="45">
        <f>IF(Q$140=P$140,P143,ROUND(P143-((P143-Q143)/(Q$140-P$140))*(O$140-P$140),3))</f>
        <v>5.3999999999999999E-2</v>
      </c>
      <c r="P143" s="45">
        <f>IF(P$140=0,0,IF(P$140=15,C143,HLOOKUP($P$140,$D$140:$N$145,4,TRUE)))</f>
        <v>5.3999999999999999E-2</v>
      </c>
      <c r="Q143" s="45">
        <f>IF(Q$140=0,0,IF(Q$140=15,C143,HLOOKUP($Q$140,$D$140:$N$145,4,TRUE)))</f>
        <v>5.3999999999999999E-2</v>
      </c>
    </row>
    <row r="144" spans="1:17" s="38" customFormat="1" ht="15.75" thickBot="1">
      <c r="A144" s="42">
        <v>4</v>
      </c>
      <c r="B144" s="43" t="s">
        <v>124</v>
      </c>
      <c r="C144" s="86">
        <v>6.4000000000000001E-2</v>
      </c>
      <c r="D144" s="86">
        <v>5.8000000000000003E-2</v>
      </c>
      <c r="E144" s="90">
        <v>4.7E-2</v>
      </c>
      <c r="F144" s="90">
        <v>3.3000000000000002E-2</v>
      </c>
      <c r="G144" s="90">
        <v>2.4E-2</v>
      </c>
      <c r="H144" s="90">
        <v>1.4999999999999999E-2</v>
      </c>
      <c r="I144" s="90">
        <v>1.2999999999999999E-2</v>
      </c>
      <c r="J144" s="90">
        <v>1.0999999999999999E-2</v>
      </c>
      <c r="K144" s="90">
        <v>8.9999999999999993E-3</v>
      </c>
      <c r="L144" s="90">
        <v>6.0000000000000001E-3</v>
      </c>
      <c r="M144" s="90">
        <v>5.0000000000000001E-3</v>
      </c>
      <c r="N144" s="90">
        <v>4.0000000000000001E-3</v>
      </c>
      <c r="O144" s="45">
        <f>IF(Q$140=P$140,P144,ROUND(P144-((P144-Q144)/(Q$140-P$140))*(O$140-P$140),3))</f>
        <v>6.4000000000000001E-2</v>
      </c>
      <c r="P144" s="45">
        <f>IF(P$140=0,0,IF(P$140=15,C144,HLOOKUP($P$140,$D$140:$N$145,5,TRUE)))</f>
        <v>6.4000000000000001E-2</v>
      </c>
      <c r="Q144" s="45">
        <f>IF(Q$140=0,0,IF(Q$140=15,C144,HLOOKUP($Q$140,$D$140:$N$145,5,TRUE)))</f>
        <v>6.4000000000000001E-2</v>
      </c>
    </row>
    <row r="145" spans="1:17" s="38" customFormat="1" ht="15.75" thickBot="1">
      <c r="A145" s="42">
        <v>5</v>
      </c>
      <c r="B145" s="43" t="s">
        <v>125</v>
      </c>
      <c r="C145" s="86">
        <v>5.6000000000000001E-2</v>
      </c>
      <c r="D145" s="86">
        <v>5.0999999999999997E-2</v>
      </c>
      <c r="E145" s="90">
        <v>4.1000000000000002E-2</v>
      </c>
      <c r="F145" s="90">
        <v>3.2000000000000001E-2</v>
      </c>
      <c r="G145" s="90">
        <v>2.1000000000000001E-2</v>
      </c>
      <c r="H145" s="90">
        <v>1.2999999999999999E-2</v>
      </c>
      <c r="I145" s="90">
        <v>1.2E-2</v>
      </c>
      <c r="J145" s="90">
        <v>0.01</v>
      </c>
      <c r="K145" s="90">
        <v>8.0000000000000002E-3</v>
      </c>
      <c r="L145" s="90">
        <v>5.0000000000000001E-3</v>
      </c>
      <c r="M145" s="90">
        <v>4.0000000000000001E-3</v>
      </c>
      <c r="N145" s="90">
        <v>3.0000000000000001E-3</v>
      </c>
      <c r="O145" s="45">
        <f>IF(Q$140=P$140,P145,ROUND(P145-((P145-Q145)/(Q$140-P$140))*(O$140-P$140),3))</f>
        <v>5.6000000000000001E-2</v>
      </c>
      <c r="P145" s="45">
        <f>IF(P$140=0,0,IF(P$140=15,C145,HLOOKUP($P$140,$D$140:$N$145,6,TRUE)))</f>
        <v>5.6000000000000001E-2</v>
      </c>
      <c r="Q145" s="45">
        <f>IF(Q$140=0,0,IF(Q$140=15,C145,HLOOKUP($Q$140,$D$140:$N$145,6,TRUE)))</f>
        <v>5.6000000000000001E-2</v>
      </c>
    </row>
    <row r="146" spans="1:17" s="38" customFormat="1" hidden="1">
      <c r="A146" s="38" t="s">
        <v>209</v>
      </c>
    </row>
    <row r="147" spans="1:17" s="38" customFormat="1"/>
    <row r="148" spans="1:17" s="38" customFormat="1">
      <c r="A148" s="248" t="s">
        <v>344</v>
      </c>
      <c r="B148" s="248"/>
      <c r="C148" s="248"/>
      <c r="D148" s="248"/>
      <c r="E148" s="248"/>
      <c r="F148" s="248"/>
      <c r="G148" s="248"/>
      <c r="H148" s="248"/>
      <c r="I148" s="248"/>
      <c r="J148" s="248"/>
      <c r="K148" s="248"/>
      <c r="L148" s="248"/>
      <c r="M148" s="248"/>
    </row>
    <row r="149" spans="1:17" s="38" customFormat="1">
      <c r="K149" s="249" t="s">
        <v>112</v>
      </c>
      <c r="L149" s="249"/>
      <c r="M149" s="249"/>
      <c r="N149" s="249"/>
    </row>
    <row r="150" spans="1:17" s="38" customFormat="1" hidden="1">
      <c r="A150" s="38" t="s">
        <v>210</v>
      </c>
      <c r="N150" s="38" t="s">
        <v>114</v>
      </c>
    </row>
    <row r="151" spans="1:17" s="38" customFormat="1" ht="15.75" thickBot="1">
      <c r="A151" s="250" t="s">
        <v>1</v>
      </c>
      <c r="B151" s="250" t="s">
        <v>115</v>
      </c>
      <c r="C151" s="250" t="s">
        <v>208</v>
      </c>
      <c r="D151" s="250"/>
      <c r="E151" s="250"/>
      <c r="F151" s="250"/>
      <c r="G151" s="250"/>
      <c r="H151" s="250"/>
      <c r="I151" s="250"/>
      <c r="J151" s="250"/>
      <c r="K151" s="250"/>
      <c r="L151" s="250"/>
      <c r="M151" s="250"/>
      <c r="N151" s="250"/>
      <c r="O151" s="39" t="s">
        <v>117</v>
      </c>
      <c r="P151" s="39" t="s">
        <v>118</v>
      </c>
      <c r="Q151" s="39" t="s">
        <v>119</v>
      </c>
    </row>
    <row r="152" spans="1:17" s="38" customFormat="1" ht="15.75" thickBot="1">
      <c r="A152" s="250"/>
      <c r="B152" s="250"/>
      <c r="C152" s="40" t="s">
        <v>128</v>
      </c>
      <c r="D152" s="87">
        <v>20</v>
      </c>
      <c r="E152" s="88">
        <v>50</v>
      </c>
      <c r="F152" s="88">
        <v>100</v>
      </c>
      <c r="G152" s="88">
        <v>200</v>
      </c>
      <c r="H152" s="88">
        <v>500</v>
      </c>
      <c r="I152" s="89">
        <v>1000</v>
      </c>
      <c r="J152" s="89">
        <v>2000</v>
      </c>
      <c r="K152" s="89">
        <v>5000</v>
      </c>
      <c r="L152" s="89">
        <v>10000</v>
      </c>
      <c r="M152" s="89">
        <v>20000</v>
      </c>
      <c r="N152" s="89">
        <v>30000</v>
      </c>
      <c r="O152" s="39">
        <f>$C$4+$C$5</f>
        <v>1.5559819002089998</v>
      </c>
      <c r="P152" s="39">
        <f>IF(O152&lt;D152,15,IF(O152&gt;N152,N152,HLOOKUP(O152,D152:N152,1)))</f>
        <v>15</v>
      </c>
      <c r="Q152" s="39">
        <f>IF(O152&lt;15,15,IF(O152&lt;20,20,IF(O152&gt;N152,N152,INDEX(D152:N152,MATCH(O152,D152:N152,1)+1))))</f>
        <v>15</v>
      </c>
    </row>
    <row r="153" spans="1:17" s="38" customFormat="1" ht="15.75" thickBot="1">
      <c r="A153" s="42">
        <v>1</v>
      </c>
      <c r="B153" s="43" t="s">
        <v>121</v>
      </c>
      <c r="C153" s="85">
        <v>0.20399999999999999</v>
      </c>
      <c r="D153" s="86">
        <v>0.16800000000000001</v>
      </c>
      <c r="E153" s="90">
        <v>0.13800000000000001</v>
      </c>
      <c r="F153" s="90">
        <v>9.7000000000000003E-2</v>
      </c>
      <c r="G153" s="90">
        <v>7.0000000000000007E-2</v>
      </c>
      <c r="H153" s="90">
        <v>4.5999999999999999E-2</v>
      </c>
      <c r="I153" s="90">
        <v>4.1000000000000002E-2</v>
      </c>
      <c r="J153" s="90">
        <v>3.4000000000000002E-2</v>
      </c>
      <c r="K153" s="90">
        <v>2.5999999999999999E-2</v>
      </c>
      <c r="L153" s="90">
        <v>1.9E-2</v>
      </c>
      <c r="M153" s="90">
        <v>1.4999999999999999E-2</v>
      </c>
      <c r="N153" s="90">
        <v>1.2E-2</v>
      </c>
      <c r="O153" s="45">
        <f>IF(Q$152=P$152,P153,ROUND(P153-((P153-Q153)/(Q$152-P$152))*(O$152-P$152),3))</f>
        <v>0.20399999999999999</v>
      </c>
      <c r="P153" s="45">
        <f>IF(P$152=0,0,IF(P$152=15,C153,HLOOKUP($P$152,$D$152:$N$157,2,TRUE)))</f>
        <v>0.20399999999999999</v>
      </c>
      <c r="Q153" s="45">
        <f>IF(Q$152=0,0,IF(Q$152=15,C153,HLOOKUP($Q$152,$D$152:$N$157,2,TRUE)))</f>
        <v>0.20399999999999999</v>
      </c>
    </row>
    <row r="154" spans="1:17" s="38" customFormat="1" ht="15.75" thickBot="1">
      <c r="A154" s="42">
        <v>2</v>
      </c>
      <c r="B154" s="43" t="s">
        <v>122</v>
      </c>
      <c r="C154" s="86">
        <v>0.28100000000000003</v>
      </c>
      <c r="D154" s="86">
        <v>0.23799999999999999</v>
      </c>
      <c r="E154" s="90">
        <v>0.19</v>
      </c>
      <c r="F154" s="90">
        <v>0.14099999999999999</v>
      </c>
      <c r="G154" s="90">
        <v>0.107</v>
      </c>
      <c r="H154" s="90">
        <v>0.08</v>
      </c>
      <c r="I154" s="90">
        <v>7.0000000000000007E-2</v>
      </c>
      <c r="J154" s="90">
        <v>5.6000000000000001E-2</v>
      </c>
      <c r="K154" s="90">
        <v>4.3999999999999997E-2</v>
      </c>
      <c r="L154" s="90">
        <v>2.9000000000000001E-2</v>
      </c>
      <c r="M154" s="90">
        <v>0.02</v>
      </c>
      <c r="N154" s="90">
        <v>1.4999999999999999E-2</v>
      </c>
      <c r="O154" s="45">
        <f>IF(Q$152=P$152,P154,ROUND(P154-((P154-Q154)/(Q$152-P$152))*(O$152-P$152),3))</f>
        <v>0.28100000000000003</v>
      </c>
      <c r="P154" s="45">
        <f>IF(P$152=0,0,IF(P$152=15,C154,HLOOKUP($P$152,$D$152:$N$157,3,TRUE)))</f>
        <v>0.28100000000000003</v>
      </c>
      <c r="Q154" s="45">
        <f>IF(Q$152=0,0,IF(Q$152=15,C154,HLOOKUP($Q$152,$D$152:$N$157,3,TRUE)))</f>
        <v>0.28100000000000003</v>
      </c>
    </row>
    <row r="155" spans="1:17" s="38" customFormat="1" ht="15.75" thickBot="1">
      <c r="A155" s="42">
        <v>3</v>
      </c>
      <c r="B155" s="43" t="s">
        <v>123</v>
      </c>
      <c r="C155" s="86">
        <v>0.153</v>
      </c>
      <c r="D155" s="86">
        <v>0.13900000000000001</v>
      </c>
      <c r="E155" s="90">
        <v>0.112</v>
      </c>
      <c r="F155" s="90">
        <v>8.6999999999999994E-2</v>
      </c>
      <c r="G155" s="90">
        <v>5.8000000000000003E-2</v>
      </c>
      <c r="H155" s="90">
        <v>3.5999999999999997E-2</v>
      </c>
      <c r="I155" s="90">
        <v>3.2000000000000001E-2</v>
      </c>
      <c r="J155" s="90">
        <v>2.5999999999999999E-2</v>
      </c>
      <c r="K155" s="90">
        <v>0.02</v>
      </c>
      <c r="L155" s="90">
        <v>1.4E-2</v>
      </c>
      <c r="M155" s="90">
        <v>0.01</v>
      </c>
      <c r="N155" s="90">
        <v>8.9999999999999993E-3</v>
      </c>
      <c r="O155" s="45">
        <f>IF(Q$152=P$152,P155,ROUND(P155-((P155-Q155)/(Q$152-P$152))*(O$152-P$152),3))</f>
        <v>0.153</v>
      </c>
      <c r="P155" s="45">
        <f>IF(P$152=0,0,IF(P$152=15,C155,HLOOKUP($P$152,$D$152:$N$157,4,TRUE)))</f>
        <v>0.153</v>
      </c>
      <c r="Q155" s="45">
        <f>IF(Q$152=0,0,IF(Q$152=15,C155,HLOOKUP($Q$152,$D$152:$N$157,4,TRUE)))</f>
        <v>0.153</v>
      </c>
    </row>
    <row r="156" spans="1:17" s="38" customFormat="1" ht="15.75" thickBot="1">
      <c r="A156" s="42">
        <v>4</v>
      </c>
      <c r="B156" s="43" t="s">
        <v>124</v>
      </c>
      <c r="C156" s="86">
        <v>0.182</v>
      </c>
      <c r="D156" s="86">
        <v>0.16700000000000001</v>
      </c>
      <c r="E156" s="90">
        <v>0.13300000000000001</v>
      </c>
      <c r="F156" s="90">
        <v>9.4E-2</v>
      </c>
      <c r="G156" s="90">
        <v>6.8000000000000005E-2</v>
      </c>
      <c r="H156" s="90">
        <v>4.3999999999999997E-2</v>
      </c>
      <c r="I156" s="90">
        <v>3.6999999999999998E-2</v>
      </c>
      <c r="J156" s="90">
        <v>3.2000000000000001E-2</v>
      </c>
      <c r="K156" s="90">
        <v>2.5999999999999999E-2</v>
      </c>
      <c r="L156" s="90">
        <v>1.7000000000000001E-2</v>
      </c>
      <c r="M156" s="90">
        <v>1.4E-2</v>
      </c>
      <c r="N156" s="90">
        <v>0.01</v>
      </c>
      <c r="O156" s="45">
        <f>IF(Q$152=P$152,P156,ROUND(P156-((P156-Q156)/(Q$152-P$152))*(O$152-P$152),3))</f>
        <v>0.182</v>
      </c>
      <c r="P156" s="45">
        <f>IF(P$152=0,0,IF(P$152=15,C156,HLOOKUP($P$152,$D$152:$N$157,5,TRUE)))</f>
        <v>0.182</v>
      </c>
      <c r="Q156" s="45">
        <f>IF(Q$152=0,0,IF(Q$152=15,C156,HLOOKUP($Q$152,$D$152:$N$157,5,TRUE)))</f>
        <v>0.182</v>
      </c>
    </row>
    <row r="157" spans="1:17" s="38" customFormat="1" ht="15.75" thickBot="1">
      <c r="A157" s="42">
        <v>5</v>
      </c>
      <c r="B157" s="43" t="s">
        <v>125</v>
      </c>
      <c r="C157" s="86">
        <v>0.16</v>
      </c>
      <c r="D157" s="86">
        <v>0.14499999999999999</v>
      </c>
      <c r="E157" s="90">
        <v>0.11600000000000001</v>
      </c>
      <c r="F157" s="90">
        <v>9.1999999999999998E-2</v>
      </c>
      <c r="G157" s="90">
        <v>0.06</v>
      </c>
      <c r="H157" s="90">
        <v>3.6999999999999998E-2</v>
      </c>
      <c r="I157" s="90">
        <v>3.4000000000000002E-2</v>
      </c>
      <c r="J157" s="90">
        <v>2.9000000000000001E-2</v>
      </c>
      <c r="K157" s="90">
        <v>2.1999999999999999E-2</v>
      </c>
      <c r="L157" s="90">
        <v>1.4999999999999999E-2</v>
      </c>
      <c r="M157" s="90">
        <v>0.01</v>
      </c>
      <c r="N157" s="90">
        <v>8.9999999999999993E-3</v>
      </c>
      <c r="O157" s="45">
        <f>IF(Q$152=P$152,P157,ROUND(P157-((P157-Q157)/(Q$152-P$152))*(O$152-P$152),3))</f>
        <v>0.16</v>
      </c>
      <c r="P157" s="45">
        <f>IF(P$152=0,0,IF(P$152=15,C157,HLOOKUP($P$152,$D$152:$N$157,6,TRUE)))</f>
        <v>0.16</v>
      </c>
      <c r="Q157" s="45">
        <f>IF(Q$152=0,0,IF(Q$152=15,C157,HLOOKUP($Q$152,$D$152:$N$157,6,TRUE)))</f>
        <v>0.16</v>
      </c>
    </row>
    <row r="158" spans="1:17" s="38" customFormat="1" hidden="1">
      <c r="A158" s="38" t="s">
        <v>211</v>
      </c>
    </row>
    <row r="159" spans="1:17" s="38" customFormat="1"/>
    <row r="160" spans="1:17" s="38" customFormat="1">
      <c r="A160" s="259" t="s">
        <v>346</v>
      </c>
      <c r="B160" s="259"/>
      <c r="C160" s="259"/>
      <c r="D160" s="259"/>
      <c r="E160" s="259"/>
      <c r="F160" s="259"/>
      <c r="G160" s="259"/>
      <c r="H160" s="259"/>
      <c r="I160" s="259"/>
      <c r="J160" s="259"/>
      <c r="K160" s="259"/>
      <c r="L160" s="259"/>
      <c r="M160" s="259"/>
      <c r="N160" s="259"/>
    </row>
    <row r="161" spans="1:16" s="38" customFormat="1">
      <c r="I161" s="257" t="s">
        <v>112</v>
      </c>
      <c r="J161" s="257"/>
      <c r="K161" s="257"/>
      <c r="L161" s="257"/>
      <c r="M161" s="257"/>
      <c r="N161" s="50"/>
    </row>
    <row r="162" spans="1:16" s="38" customFormat="1" hidden="1">
      <c r="A162" s="38" t="s">
        <v>212</v>
      </c>
      <c r="M162" s="38" t="s">
        <v>114</v>
      </c>
    </row>
    <row r="163" spans="1:16" s="38" customFormat="1" ht="15.75" thickBot="1">
      <c r="A163" s="250" t="s">
        <v>1</v>
      </c>
      <c r="B163" s="250" t="s">
        <v>115</v>
      </c>
      <c r="C163" s="258" t="s">
        <v>213</v>
      </c>
      <c r="D163" s="258"/>
      <c r="E163" s="258"/>
      <c r="F163" s="258"/>
      <c r="G163" s="258"/>
      <c r="H163" s="258"/>
      <c r="I163" s="258"/>
      <c r="J163" s="258"/>
      <c r="K163" s="258"/>
      <c r="L163" s="258"/>
      <c r="M163" s="258"/>
      <c r="N163" s="39" t="s">
        <v>117</v>
      </c>
      <c r="O163" s="39" t="s">
        <v>118</v>
      </c>
      <c r="P163" s="39" t="s">
        <v>119</v>
      </c>
    </row>
    <row r="164" spans="1:16" s="38" customFormat="1" ht="15.75" thickBot="1">
      <c r="A164" s="250"/>
      <c r="B164" s="250"/>
      <c r="C164" s="40" t="s">
        <v>120</v>
      </c>
      <c r="D164" s="87">
        <v>20</v>
      </c>
      <c r="E164" s="88">
        <v>50</v>
      </c>
      <c r="F164" s="88">
        <v>100</v>
      </c>
      <c r="G164" s="88">
        <v>200</v>
      </c>
      <c r="H164" s="88">
        <v>500</v>
      </c>
      <c r="I164" s="89">
        <v>1000</v>
      </c>
      <c r="J164" s="89">
        <v>2000</v>
      </c>
      <c r="K164" s="89">
        <v>5000</v>
      </c>
      <c r="L164" s="89">
        <v>8000</v>
      </c>
      <c r="M164" s="89">
        <v>10000</v>
      </c>
      <c r="N164" s="39">
        <f>$C$4</f>
        <v>1.5018819002089998</v>
      </c>
      <c r="O164" s="39">
        <f>IF(N164&lt;D164,10,IF(N164&gt;M164,M164,HLOOKUP(N164,D164:M164,1)))</f>
        <v>10</v>
      </c>
      <c r="P164" s="39">
        <f>IF(N164&lt;10,10,IF(N164&lt;20,20,IF(N164&gt;M164,M164,INDEX(D164:M164,MATCH(N164,D164:M164,1)+1))))</f>
        <v>10</v>
      </c>
    </row>
    <row r="165" spans="1:16" s="38" customFormat="1" ht="15.75" thickBot="1">
      <c r="A165" s="42">
        <v>1</v>
      </c>
      <c r="B165" s="43" t="s">
        <v>121</v>
      </c>
      <c r="C165" s="85">
        <v>0.25800000000000001</v>
      </c>
      <c r="D165" s="86">
        <v>0.223</v>
      </c>
      <c r="E165" s="90">
        <v>0.17199999999999999</v>
      </c>
      <c r="F165" s="90">
        <v>0.14299999999999999</v>
      </c>
      <c r="G165" s="90">
        <v>0.108</v>
      </c>
      <c r="H165" s="90">
        <v>8.3000000000000004E-2</v>
      </c>
      <c r="I165" s="90">
        <v>6.8000000000000005E-2</v>
      </c>
      <c r="J165" s="90">
        <v>4.3999999999999997E-2</v>
      </c>
      <c r="K165" s="90">
        <v>3.3000000000000002E-2</v>
      </c>
      <c r="L165" s="90">
        <v>2.8000000000000001E-2</v>
      </c>
      <c r="M165" s="90">
        <v>2.5999999999999999E-2</v>
      </c>
      <c r="N165" s="45">
        <f>IF(P$164=O$164,O165,ROUND(O165-((O165-P165)/(P$164-O$164))*(N$164-O$164),3))</f>
        <v>0.25800000000000001</v>
      </c>
      <c r="O165" s="45">
        <f>IF(O$164=10,C165,HLOOKUP($O$164,$D$164:$M$169,2,TRUE))</f>
        <v>0.25800000000000001</v>
      </c>
      <c r="P165" s="45">
        <f>IF(P$164=10,C165,HLOOKUP($P$164,$D$164:$M$169,2,TRUE))</f>
        <v>0.25800000000000001</v>
      </c>
    </row>
    <row r="166" spans="1:16" s="38" customFormat="1" ht="15.75" thickBot="1">
      <c r="A166" s="42">
        <v>2</v>
      </c>
      <c r="B166" s="43" t="s">
        <v>122</v>
      </c>
      <c r="C166" s="86">
        <v>0.28999999999999998</v>
      </c>
      <c r="D166" s="86">
        <v>0.252</v>
      </c>
      <c r="E166" s="90">
        <v>0.192</v>
      </c>
      <c r="F166" s="90">
        <v>0.14599999999999999</v>
      </c>
      <c r="G166" s="90">
        <v>0.113</v>
      </c>
      <c r="H166" s="90">
        <v>8.6999999999999994E-2</v>
      </c>
      <c r="I166" s="90">
        <v>6.6000000000000003E-2</v>
      </c>
      <c r="J166" s="90">
        <v>5.2999999999999999E-2</v>
      </c>
      <c r="K166" s="90">
        <v>3.7999999999999999E-2</v>
      </c>
      <c r="L166" s="90">
        <v>3.1E-2</v>
      </c>
      <c r="M166" s="90">
        <v>2.8000000000000001E-2</v>
      </c>
      <c r="N166" s="45">
        <f>IF(P$164=O$164,O166,ROUND(O166-((O166-P166)/(P$164-O$164))*(N$164-O$164),3))</f>
        <v>0.28999999999999998</v>
      </c>
      <c r="O166" s="45">
        <f>IF(O$164=10,C166,HLOOKUP($O$164,$D$164:$M$169,3,TRUE))</f>
        <v>0.28999999999999998</v>
      </c>
      <c r="P166" s="45">
        <f>IF(P$164=10,C166,HLOOKUP($P$164,$D$164:$M$169,3,TRUE))</f>
        <v>0.28999999999999998</v>
      </c>
    </row>
    <row r="167" spans="1:16" s="38" customFormat="1" ht="15.75" thickBot="1">
      <c r="A167" s="42">
        <v>3</v>
      </c>
      <c r="B167" s="43" t="s">
        <v>123</v>
      </c>
      <c r="C167" s="86">
        <v>0.17</v>
      </c>
      <c r="D167" s="86">
        <v>0.14699999999999999</v>
      </c>
      <c r="E167" s="90">
        <v>0.113</v>
      </c>
      <c r="F167" s="90">
        <v>8.4000000000000005E-2</v>
      </c>
      <c r="G167" s="90">
        <v>7.2999999999999995E-2</v>
      </c>
      <c r="H167" s="90">
        <v>5.5E-2</v>
      </c>
      <c r="I167" s="90">
        <v>4.2000000000000003E-2</v>
      </c>
      <c r="J167" s="90">
        <v>3.5000000000000003E-2</v>
      </c>
      <c r="K167" s="90">
        <v>2.4E-2</v>
      </c>
      <c r="L167" s="90">
        <v>0.02</v>
      </c>
      <c r="M167" s="90">
        <v>1.7000000000000001E-2</v>
      </c>
      <c r="N167" s="45">
        <f>IF(P$164=O$164,O167,ROUND(O167-((O167-P167)/(P$164-O$164))*(N$164-O$164),3))</f>
        <v>0.17</v>
      </c>
      <c r="O167" s="45">
        <f>IF(O$164=10,C167,HLOOKUP($O$164,$D$164:$M$169,4,TRUE))</f>
        <v>0.17</v>
      </c>
      <c r="P167" s="45">
        <f>IF(P$164=10,C167,HLOOKUP($P$164,$D$164:$M$169,4,TRUE))</f>
        <v>0.17</v>
      </c>
    </row>
    <row r="168" spans="1:16" s="38" customFormat="1" ht="15.75" thickBot="1">
      <c r="A168" s="42">
        <v>4</v>
      </c>
      <c r="B168" s="43" t="s">
        <v>124</v>
      </c>
      <c r="C168" s="86">
        <v>0.189</v>
      </c>
      <c r="D168" s="86">
        <v>0.16300000000000001</v>
      </c>
      <c r="E168" s="90">
        <v>0.125</v>
      </c>
      <c r="F168" s="90">
        <v>9.2999999999999999E-2</v>
      </c>
      <c r="G168" s="90">
        <v>7.2999999999999995E-2</v>
      </c>
      <c r="H168" s="90">
        <v>5.6000000000000001E-2</v>
      </c>
      <c r="I168" s="90">
        <v>4.2999999999999997E-2</v>
      </c>
      <c r="J168" s="90">
        <v>3.5000000000000003E-2</v>
      </c>
      <c r="K168" s="90">
        <v>2.5999999999999999E-2</v>
      </c>
      <c r="L168" s="90">
        <v>2.1999999999999999E-2</v>
      </c>
      <c r="M168" s="90">
        <v>1.9E-2</v>
      </c>
      <c r="N168" s="45">
        <f>IF(P$164=O$164,O168,ROUND(O168-((O168-P168)/(P$164-O$164))*(N$164-O$164),3))</f>
        <v>0.189</v>
      </c>
      <c r="O168" s="45">
        <f>IF(O$164=10,C168,HLOOKUP($O$164,$D$164:$M$169,5,TRUE))</f>
        <v>0.189</v>
      </c>
      <c r="P168" s="45">
        <f>IF(P$164=10,C168,HLOOKUP($P$164,$D$164:$M$169,5,TRUE))</f>
        <v>0.189</v>
      </c>
    </row>
    <row r="169" spans="1:16" s="38" customFormat="1" ht="15.75" thickBot="1">
      <c r="A169" s="42">
        <v>5</v>
      </c>
      <c r="B169" s="43" t="s">
        <v>125</v>
      </c>
      <c r="C169" s="86">
        <v>0.19700000000000001</v>
      </c>
      <c r="D169" s="86">
        <v>0.17199999999999999</v>
      </c>
      <c r="E169" s="90">
        <v>0.13300000000000001</v>
      </c>
      <c r="F169" s="90">
        <v>9.9000000000000005E-2</v>
      </c>
      <c r="G169" s="90">
        <v>7.5999999999999998E-2</v>
      </c>
      <c r="H169" s="90">
        <v>5.8999999999999997E-2</v>
      </c>
      <c r="I169" s="90">
        <v>4.5999999999999999E-2</v>
      </c>
      <c r="J169" s="90">
        <v>0.04</v>
      </c>
      <c r="K169" s="90">
        <v>2.9000000000000001E-2</v>
      </c>
      <c r="L169" s="90">
        <v>2.4E-2</v>
      </c>
      <c r="M169" s="90">
        <v>2.1000000000000001E-2</v>
      </c>
      <c r="N169" s="45">
        <f>IF(P$164=O$164,O169,ROUND(O169-((O169-P169)/(P$164-O$164))*(N$164-O$164),3))</f>
        <v>0.19700000000000001</v>
      </c>
      <c r="O169" s="45">
        <f>IF(O$164=10,C169,HLOOKUP($O$164,$D$164:$M$169,6,TRUE))</f>
        <v>0.19700000000000001</v>
      </c>
      <c r="P169" s="45">
        <f>IF(P$164=10,C169,HLOOKUP($P$164,$D$164:$M$169,6,TRUE))</f>
        <v>0.19700000000000001</v>
      </c>
    </row>
    <row r="170" spans="1:16" s="38" customFormat="1" hidden="1">
      <c r="A170" s="38" t="s">
        <v>214</v>
      </c>
    </row>
    <row r="171" spans="1:16" s="38" customFormat="1"/>
    <row r="172" spans="1:16" s="38" customFormat="1">
      <c r="A172" s="248" t="s">
        <v>347</v>
      </c>
      <c r="B172" s="248"/>
      <c r="C172" s="248"/>
      <c r="D172" s="248"/>
      <c r="E172" s="248"/>
      <c r="F172" s="248"/>
      <c r="G172" s="248"/>
      <c r="H172" s="248"/>
      <c r="I172" s="248"/>
      <c r="J172" s="248"/>
      <c r="K172" s="248"/>
      <c r="L172" s="248"/>
      <c r="M172" s="248"/>
    </row>
    <row r="173" spans="1:16" s="38" customFormat="1">
      <c r="I173" s="257" t="s">
        <v>112</v>
      </c>
      <c r="J173" s="257"/>
      <c r="K173" s="257"/>
      <c r="L173" s="257"/>
      <c r="M173" s="257"/>
      <c r="N173" s="50"/>
    </row>
    <row r="174" spans="1:16" s="38" customFormat="1" hidden="1">
      <c r="A174" s="38" t="s">
        <v>215</v>
      </c>
      <c r="M174" s="38" t="s">
        <v>114</v>
      </c>
    </row>
    <row r="175" spans="1:16" s="38" customFormat="1" ht="15" customHeight="1" thickBot="1">
      <c r="A175" s="250" t="s">
        <v>1</v>
      </c>
      <c r="B175" s="250" t="s">
        <v>115</v>
      </c>
      <c r="C175" s="258" t="s">
        <v>213</v>
      </c>
      <c r="D175" s="258"/>
      <c r="E175" s="258"/>
      <c r="F175" s="258"/>
      <c r="G175" s="258"/>
      <c r="H175" s="258"/>
      <c r="I175" s="258"/>
      <c r="J175" s="258"/>
      <c r="K175" s="258"/>
      <c r="L175" s="258"/>
      <c r="M175" s="258"/>
      <c r="N175" s="39" t="s">
        <v>117</v>
      </c>
      <c r="O175" s="39" t="s">
        <v>118</v>
      </c>
      <c r="P175" s="39" t="s">
        <v>119</v>
      </c>
    </row>
    <row r="176" spans="1:16" s="38" customFormat="1" ht="15.75" thickBot="1">
      <c r="A176" s="250"/>
      <c r="B176" s="250"/>
      <c r="C176" s="40" t="s">
        <v>120</v>
      </c>
      <c r="D176" s="87">
        <v>20</v>
      </c>
      <c r="E176" s="88">
        <v>50</v>
      </c>
      <c r="F176" s="88">
        <v>100</v>
      </c>
      <c r="G176" s="88">
        <v>200</v>
      </c>
      <c r="H176" s="88">
        <v>500</v>
      </c>
      <c r="I176" s="89">
        <v>1000</v>
      </c>
      <c r="J176" s="89">
        <v>2000</v>
      </c>
      <c r="K176" s="89">
        <v>5000</v>
      </c>
      <c r="L176" s="89">
        <v>8000</v>
      </c>
      <c r="M176" s="89">
        <v>10000</v>
      </c>
      <c r="N176" s="39">
        <f>$C$4</f>
        <v>1.5018819002089998</v>
      </c>
      <c r="O176" s="39">
        <f>IF(N176&lt;D176,10,IF(N176&gt;M176,M176,HLOOKUP(N176,D176:M176,1)))</f>
        <v>10</v>
      </c>
      <c r="P176" s="39">
        <f>IF(N176&lt;10,10,IF(N176&lt;20,20,IF(N176&gt;M176,M176,INDEX(D176:M176,MATCH(N176,D176:M176,1)+1))))</f>
        <v>10</v>
      </c>
    </row>
    <row r="177" spans="1:16" s="38" customFormat="1" ht="15.75" thickBot="1">
      <c r="A177" s="42">
        <v>1</v>
      </c>
      <c r="B177" s="43" t="s">
        <v>121</v>
      </c>
      <c r="C177" s="85">
        <v>0.25</v>
      </c>
      <c r="D177" s="86">
        <v>0.219</v>
      </c>
      <c r="E177" s="90">
        <v>0.16600000000000001</v>
      </c>
      <c r="F177" s="90">
        <v>0.14000000000000001</v>
      </c>
      <c r="G177" s="90">
        <v>0.105</v>
      </c>
      <c r="H177" s="90">
        <v>7.6999999999999999E-2</v>
      </c>
      <c r="I177" s="90">
        <v>6.4000000000000001E-2</v>
      </c>
      <c r="J177" s="90">
        <v>4.2999999999999997E-2</v>
      </c>
      <c r="K177" s="90">
        <v>3.2000000000000001E-2</v>
      </c>
      <c r="L177" s="90">
        <v>2.7E-2</v>
      </c>
      <c r="M177" s="90">
        <v>2.5000000000000001E-2</v>
      </c>
      <c r="N177" s="45">
        <f>IF(P$176=O$176,O177,ROUND(O177-((O177-P177)/(P$176-O$176))*(N$176-O$176),3))</f>
        <v>0.25</v>
      </c>
      <c r="O177" s="45">
        <f>IF(O$176=10,C177,HLOOKUP($O$176,$D$176:$M$181,2,TRUE))</f>
        <v>0.25</v>
      </c>
      <c r="P177" s="45">
        <f>IF(P$176=10,C177,HLOOKUP($P$176,$D$176:$M$181,2,TRUE))</f>
        <v>0.25</v>
      </c>
    </row>
    <row r="178" spans="1:16" s="38" customFormat="1" ht="15.75" thickBot="1">
      <c r="A178" s="42">
        <v>2</v>
      </c>
      <c r="B178" s="43" t="s">
        <v>122</v>
      </c>
      <c r="C178" s="86">
        <v>0.28199999999999997</v>
      </c>
      <c r="D178" s="86">
        <v>0.24399999999999999</v>
      </c>
      <c r="E178" s="90">
        <v>0.185</v>
      </c>
      <c r="F178" s="90">
        <v>0.14099999999999999</v>
      </c>
      <c r="G178" s="90">
        <v>0.108</v>
      </c>
      <c r="H178" s="90">
        <v>8.3000000000000004E-2</v>
      </c>
      <c r="I178" s="90">
        <v>6.2E-2</v>
      </c>
      <c r="J178" s="90">
        <v>0.05</v>
      </c>
      <c r="K178" s="90">
        <v>3.4000000000000002E-2</v>
      </c>
      <c r="L178" s="90">
        <v>0.03</v>
      </c>
      <c r="M178" s="90">
        <v>2.7E-2</v>
      </c>
      <c r="N178" s="45">
        <f>IF(P$176=O$176,O178,ROUND(O178-((O178-P178)/(P$176-O$176))*(N$176-O$176),3))</f>
        <v>0.28199999999999997</v>
      </c>
      <c r="O178" s="45">
        <f>IF(O$176=10,C178,HLOOKUP($O$176,$D$176:$M$181,3,TRUE))</f>
        <v>0.28199999999999997</v>
      </c>
      <c r="P178" s="45">
        <f>IF(P$176=10,C178,HLOOKUP($P$176,$D$176:$M$181,3,TRUE))</f>
        <v>0.28199999999999997</v>
      </c>
    </row>
    <row r="179" spans="1:16" s="38" customFormat="1" ht="15.75" thickBot="1">
      <c r="A179" s="42">
        <v>3</v>
      </c>
      <c r="B179" s="43" t="s">
        <v>123</v>
      </c>
      <c r="C179" s="86">
        <v>0.16600000000000001</v>
      </c>
      <c r="D179" s="86">
        <v>0.14199999999999999</v>
      </c>
      <c r="E179" s="90">
        <v>0.106</v>
      </c>
      <c r="F179" s="90">
        <v>8.2000000000000003E-2</v>
      </c>
      <c r="G179" s="90">
        <v>6.9000000000000006E-2</v>
      </c>
      <c r="H179" s="90">
        <v>5.1999999999999998E-2</v>
      </c>
      <c r="I179" s="90">
        <v>4.1000000000000002E-2</v>
      </c>
      <c r="J179" s="90">
        <v>3.4000000000000002E-2</v>
      </c>
      <c r="K179" s="90">
        <v>2.1000000000000001E-2</v>
      </c>
      <c r="L179" s="90">
        <v>1.7999999999999999E-2</v>
      </c>
      <c r="M179" s="90">
        <v>1.6E-2</v>
      </c>
      <c r="N179" s="45">
        <f>IF(P$176=O$176,O179,ROUND(O179-((O179-P179)/(P$176-O$176))*(N$176-O$176),3))</f>
        <v>0.16600000000000001</v>
      </c>
      <c r="O179" s="45">
        <f>IF(O$176=10,C179,HLOOKUP($O$176,$D$176:$M$181,4,TRUE))</f>
        <v>0.16600000000000001</v>
      </c>
      <c r="P179" s="45">
        <f>IF(P$176=10,C179,HLOOKUP($P$176,$D$176:$M$181,4,TRUE))</f>
        <v>0.16600000000000001</v>
      </c>
    </row>
    <row r="180" spans="1:16" s="38" customFormat="1" ht="15.75" thickBot="1">
      <c r="A180" s="42">
        <v>4</v>
      </c>
      <c r="B180" s="43" t="s">
        <v>124</v>
      </c>
      <c r="C180" s="86">
        <v>0.183</v>
      </c>
      <c r="D180" s="86">
        <v>0.158</v>
      </c>
      <c r="E180" s="90">
        <v>0.11899999999999999</v>
      </c>
      <c r="F180" s="90">
        <v>9.1999999999999998E-2</v>
      </c>
      <c r="G180" s="90">
        <v>7.0000000000000007E-2</v>
      </c>
      <c r="H180" s="90">
        <v>5.2999999999999999E-2</v>
      </c>
      <c r="I180" s="90">
        <v>0.04</v>
      </c>
      <c r="J180" s="90">
        <v>3.4000000000000002E-2</v>
      </c>
      <c r="K180" s="90">
        <v>2.4E-2</v>
      </c>
      <c r="L180" s="90">
        <v>2.1000000000000001E-2</v>
      </c>
      <c r="M180" s="90">
        <v>1.7999999999999999E-2</v>
      </c>
      <c r="N180" s="45">
        <f>IF(P$176=O$176,O180,ROUND(O180-((O180-P180)/(P$176-O$176))*(N$176-O$176),3))</f>
        <v>0.183</v>
      </c>
      <c r="O180" s="45">
        <f>IF(O$176=10,C180,HLOOKUP($O$176,$D$176:$M$181,5,TRUE))</f>
        <v>0.183</v>
      </c>
      <c r="P180" s="45">
        <f>IF(P$176=10,C180,HLOOKUP($P$176,$D$176:$M$181,5,TRUE))</f>
        <v>0.183</v>
      </c>
    </row>
    <row r="181" spans="1:16" s="38" customFormat="1" ht="15.75" thickBot="1">
      <c r="A181" s="42">
        <v>5</v>
      </c>
      <c r="B181" s="43" t="s">
        <v>125</v>
      </c>
      <c r="C181" s="86">
        <v>0.191</v>
      </c>
      <c r="D181" s="86">
        <v>0.16600000000000001</v>
      </c>
      <c r="E181" s="90">
        <v>0.128</v>
      </c>
      <c r="F181" s="90">
        <v>9.5000000000000001E-2</v>
      </c>
      <c r="G181" s="90">
        <v>7.1999999999999995E-2</v>
      </c>
      <c r="H181" s="90">
        <v>5.6000000000000001E-2</v>
      </c>
      <c r="I181" s="90">
        <v>4.3999999999999997E-2</v>
      </c>
      <c r="J181" s="90">
        <v>3.6999999999999998E-2</v>
      </c>
      <c r="K181" s="90">
        <v>2.5999999999999999E-2</v>
      </c>
      <c r="L181" s="90">
        <v>2.1999999999999999E-2</v>
      </c>
      <c r="M181" s="90">
        <v>0.02</v>
      </c>
      <c r="N181" s="45">
        <f>IF(P$176=O$176,O181,ROUND(O181-((O181-P181)/(P$176-O$176))*(N$176-O$176),3))</f>
        <v>0.191</v>
      </c>
      <c r="O181" s="45">
        <f>IF(O$176=10,C181,HLOOKUP($O$176,$D$176:$M$181,6,TRUE))</f>
        <v>0.191</v>
      </c>
      <c r="P181" s="45">
        <f>IF(P$176=10,C181,HLOOKUP($P$176,$D$176:$M$181,6,TRUE))</f>
        <v>0.191</v>
      </c>
    </row>
    <row r="182" spans="1:16" s="38" customFormat="1" hidden="1">
      <c r="A182" s="38" t="s">
        <v>216</v>
      </c>
    </row>
    <row r="183" spans="1:16" s="38" customFormat="1"/>
    <row r="184" spans="1:16" s="38" customFormat="1">
      <c r="A184" s="248" t="s">
        <v>348</v>
      </c>
      <c r="B184" s="248"/>
      <c r="C184" s="248"/>
      <c r="D184" s="248"/>
      <c r="E184" s="248"/>
      <c r="F184" s="248"/>
      <c r="G184" s="248"/>
      <c r="H184" s="248"/>
      <c r="I184" s="248"/>
      <c r="J184" s="248"/>
      <c r="K184" s="248"/>
      <c r="L184" s="248"/>
      <c r="M184" s="248"/>
    </row>
    <row r="185" spans="1:16" s="38" customFormat="1">
      <c r="H185" s="257" t="s">
        <v>112</v>
      </c>
      <c r="I185" s="257"/>
      <c r="J185" s="50"/>
      <c r="K185" s="50"/>
      <c r="L185" s="50"/>
      <c r="M185" s="50"/>
      <c r="N185" s="50"/>
    </row>
    <row r="186" spans="1:16" s="38" customFormat="1" hidden="1">
      <c r="A186" s="38" t="s">
        <v>217</v>
      </c>
      <c r="I186" s="38" t="s">
        <v>114</v>
      </c>
    </row>
    <row r="187" spans="1:16" s="38" customFormat="1" ht="15" customHeight="1" thickBot="1">
      <c r="A187" s="250" t="s">
        <v>1</v>
      </c>
      <c r="B187" s="250" t="s">
        <v>115</v>
      </c>
      <c r="C187" s="251" t="s">
        <v>218</v>
      </c>
      <c r="D187" s="252"/>
      <c r="E187" s="252"/>
      <c r="F187" s="252"/>
      <c r="G187" s="252"/>
      <c r="H187" s="252"/>
      <c r="I187" s="252"/>
      <c r="J187" s="39" t="s">
        <v>117</v>
      </c>
      <c r="K187" s="39" t="s">
        <v>118</v>
      </c>
      <c r="L187" s="39" t="s">
        <v>119</v>
      </c>
      <c r="M187" s="51"/>
    </row>
    <row r="188" spans="1:16" s="38" customFormat="1" ht="15.75" thickBot="1">
      <c r="A188" s="250"/>
      <c r="B188" s="250"/>
      <c r="C188" s="40" t="s">
        <v>133</v>
      </c>
      <c r="D188" s="87">
        <v>3</v>
      </c>
      <c r="E188" s="88">
        <v>5</v>
      </c>
      <c r="F188" s="88">
        <v>10</v>
      </c>
      <c r="G188" s="88">
        <v>20</v>
      </c>
      <c r="H188" s="88">
        <v>50</v>
      </c>
      <c r="I188" s="88">
        <v>100</v>
      </c>
      <c r="J188" s="39">
        <f>$C$8</f>
        <v>0</v>
      </c>
      <c r="K188" s="39">
        <f>IF(J188&lt;D188,1,IF(J188&gt;I188,I188,HLOOKUP(J188,D188:I188,1)))</f>
        <v>1</v>
      </c>
      <c r="L188" s="39">
        <f>IF(J188&lt;1,1,IF(J188&lt;3,3,IF(J188&gt;I188,I188,INDEX(D188:I188,MATCH(J188,D188:I188,1)+1))))</f>
        <v>1</v>
      </c>
      <c r="M188" s="52"/>
    </row>
    <row r="189" spans="1:16" s="38" customFormat="1" ht="15.75" thickBot="1">
      <c r="A189" s="42">
        <v>1</v>
      </c>
      <c r="B189" s="43" t="s">
        <v>219</v>
      </c>
      <c r="C189" s="85">
        <v>0.81599999999999995</v>
      </c>
      <c r="D189" s="91">
        <v>0.58299999999999996</v>
      </c>
      <c r="E189" s="91">
        <v>0.505</v>
      </c>
      <c r="F189" s="91">
        <v>0.38900000000000001</v>
      </c>
      <c r="G189" s="91">
        <v>0.311</v>
      </c>
      <c r="H189" s="91">
        <v>0.17599999999999999</v>
      </c>
      <c r="I189" s="91">
        <v>0.114</v>
      </c>
      <c r="J189" s="45">
        <f>IF(L$188=K$188,K189,ROUND(K189-((K189-L189)/(L$188-K$188))*(J$188-K$188),3))</f>
        <v>0.81599999999999995</v>
      </c>
      <c r="K189" s="45">
        <f>IF(K$188=1,C189,HLOOKUP($K$188,$D$188:$I$189,2,TRUE))</f>
        <v>0.81599999999999995</v>
      </c>
      <c r="L189" s="45">
        <f>IF(L$188=1,C189,HLOOKUP($L$188,$D$188:$I$189,2,TRUE))</f>
        <v>0.81599999999999995</v>
      </c>
      <c r="M189" s="53"/>
    </row>
    <row r="190" spans="1:16" s="38" customFormat="1" hidden="1">
      <c r="A190" s="38" t="s">
        <v>220</v>
      </c>
    </row>
    <row r="191" spans="1:16" s="38" customFormat="1"/>
    <row r="192" spans="1:16" s="38" customFormat="1">
      <c r="A192" s="248" t="s">
        <v>349</v>
      </c>
      <c r="B192" s="248"/>
      <c r="C192" s="248"/>
      <c r="D192" s="248"/>
      <c r="E192" s="248"/>
      <c r="F192" s="248"/>
      <c r="G192" s="248"/>
      <c r="H192" s="248"/>
      <c r="I192" s="248"/>
      <c r="J192" s="248"/>
      <c r="K192" s="248"/>
      <c r="L192" s="248"/>
      <c r="M192" s="248"/>
    </row>
    <row r="193" spans="1:24" s="38" customFormat="1" ht="15.75">
      <c r="I193" s="257" t="s">
        <v>112</v>
      </c>
      <c r="J193" s="257"/>
      <c r="K193" s="50"/>
      <c r="L193" s="50"/>
      <c r="M193" s="50"/>
      <c r="N193" s="50"/>
      <c r="R193" s="133" t="s">
        <v>364</v>
      </c>
    </row>
    <row r="194" spans="1:24" s="38" customFormat="1" ht="94.5" hidden="1" customHeight="1">
      <c r="A194" s="38" t="s">
        <v>221</v>
      </c>
      <c r="J194" s="38" t="s">
        <v>114</v>
      </c>
    </row>
    <row r="195" spans="1:24" s="38" customFormat="1" ht="16.5" customHeight="1" thickBot="1">
      <c r="A195" s="250" t="s">
        <v>1</v>
      </c>
      <c r="B195" s="250" t="s">
        <v>115</v>
      </c>
      <c r="C195" s="251" t="s">
        <v>222</v>
      </c>
      <c r="D195" s="252"/>
      <c r="E195" s="252"/>
      <c r="F195" s="252"/>
      <c r="G195" s="252"/>
      <c r="H195" s="252"/>
      <c r="I195" s="252"/>
      <c r="J195" s="252"/>
      <c r="K195" s="39" t="s">
        <v>117</v>
      </c>
      <c r="L195" s="39" t="s">
        <v>118</v>
      </c>
      <c r="M195" s="39" t="s">
        <v>119</v>
      </c>
    </row>
    <row r="196" spans="1:24" s="38" customFormat="1" ht="15.75" thickBot="1">
      <c r="A196" s="250"/>
      <c r="B196" s="250"/>
      <c r="C196" s="40" t="s">
        <v>120</v>
      </c>
      <c r="D196" s="87">
        <v>20</v>
      </c>
      <c r="E196" s="88">
        <v>50</v>
      </c>
      <c r="F196" s="88">
        <v>100</v>
      </c>
      <c r="G196" s="88">
        <v>200</v>
      </c>
      <c r="H196" s="88">
        <v>500</v>
      </c>
      <c r="I196" s="89">
        <v>1000</v>
      </c>
      <c r="J196" s="89">
        <v>2000</v>
      </c>
      <c r="K196" s="39">
        <f>$C$4</f>
        <v>1.5018819002089998</v>
      </c>
      <c r="L196" s="39">
        <f>IF(K196&lt;D196,10,IF(K196&gt;J196,J196,HLOOKUP(K196,D196:J196,1)))</f>
        <v>10</v>
      </c>
      <c r="M196" s="39">
        <f>IF(K196&lt;10,10,IF(K196&lt;20,20,IF(K196&gt;J196,J196,INDEX(D196:J196,MATCH(K196,D196:J196,1)+1))))</f>
        <v>10</v>
      </c>
      <c r="Q196" s="43" t="s">
        <v>359</v>
      </c>
      <c r="R196" s="43"/>
      <c r="S196" s="43"/>
      <c r="T196" s="43"/>
      <c r="U196" s="43"/>
      <c r="V196" s="43"/>
      <c r="W196" s="43"/>
      <c r="X196" s="43"/>
    </row>
    <row r="197" spans="1:24" s="38" customFormat="1" ht="15.75" thickBot="1">
      <c r="A197" s="42">
        <v>1</v>
      </c>
      <c r="B197" s="43" t="s">
        <v>121</v>
      </c>
      <c r="C197" s="85">
        <v>0.432</v>
      </c>
      <c r="D197" s="86">
        <v>0.34599999999999997</v>
      </c>
      <c r="E197" s="90">
        <v>0.19500000000000001</v>
      </c>
      <c r="F197" s="90">
        <v>0.127</v>
      </c>
      <c r="G197" s="90">
        <v>7.8E-2</v>
      </c>
      <c r="H197" s="90">
        <v>5.7000000000000002E-2</v>
      </c>
      <c r="I197" s="90">
        <v>0.04</v>
      </c>
      <c r="J197" s="90">
        <v>3.2000000000000001E-2</v>
      </c>
      <c r="K197" s="111">
        <f>IF(M$196=L$196,L197,ROUND(L197-((L197-M197)/(M$196-L$196))*(K$196-L$196),3))</f>
        <v>0.432</v>
      </c>
      <c r="L197" s="45">
        <f>IF(L$196=10,C197,HLOOKUP($L$196,$D$196:$J$201,2,TRUE))</f>
        <v>0.432</v>
      </c>
      <c r="M197" s="45">
        <f>IF(M$196=10,C197,HLOOKUP($M$196,$D$196:$J$201,2,TRUE))</f>
        <v>0.432</v>
      </c>
      <c r="Q197" s="43" t="s">
        <v>360</v>
      </c>
      <c r="R197" s="46" t="s">
        <v>361</v>
      </c>
      <c r="S197" s="46">
        <v>10</v>
      </c>
      <c r="T197" s="46">
        <v>50</v>
      </c>
      <c r="U197" s="46">
        <v>100</v>
      </c>
      <c r="V197" s="46">
        <v>500</v>
      </c>
      <c r="W197" s="46">
        <v>1000</v>
      </c>
      <c r="X197" s="46" t="s">
        <v>362</v>
      </c>
    </row>
    <row r="198" spans="1:24" s="38" customFormat="1" ht="15.75" thickBot="1">
      <c r="A198" s="42">
        <v>2</v>
      </c>
      <c r="B198" s="43" t="s">
        <v>122</v>
      </c>
      <c r="C198" s="86">
        <v>0.54900000000000004</v>
      </c>
      <c r="D198" s="86">
        <v>0.379</v>
      </c>
      <c r="E198" s="90">
        <v>0.21099999999999999</v>
      </c>
      <c r="F198" s="90">
        <v>0.14399999999999999</v>
      </c>
      <c r="G198" s="90">
        <v>9.6000000000000002E-2</v>
      </c>
      <c r="H198" s="90">
        <v>6.7000000000000004E-2</v>
      </c>
      <c r="I198" s="90">
        <v>5.1999999999999998E-2</v>
      </c>
      <c r="J198" s="90">
        <v>4.1000000000000002E-2</v>
      </c>
      <c r="K198" s="45">
        <f>IF(M$196=L$196,L198,ROUND(L198-((L198-M198)/(M$196-L$196))*(K$196-L$196),3))</f>
        <v>0.54900000000000004</v>
      </c>
      <c r="L198" s="45">
        <f>IF(L$196=10,C198,HLOOKUP($L$196,$D$196:$J$201,3,TRUE))</f>
        <v>0.54900000000000004</v>
      </c>
      <c r="M198" s="45">
        <f>IF(M$196=10,C198,HLOOKUP($M$196,$D$196:$J$201,3,TRUE))</f>
        <v>0.54900000000000004</v>
      </c>
      <c r="Q198" s="43" t="s">
        <v>363</v>
      </c>
      <c r="R198" s="46">
        <v>0.56999999999999995</v>
      </c>
      <c r="S198" s="46">
        <v>0.39</v>
      </c>
      <c r="T198" s="46">
        <v>0.28499999999999998</v>
      </c>
      <c r="U198" s="46">
        <v>0.22500000000000001</v>
      </c>
      <c r="V198" s="46">
        <v>0.13500000000000001</v>
      </c>
      <c r="W198" s="46">
        <v>0.09</v>
      </c>
      <c r="X198" s="46">
        <v>4.8000000000000001E-2</v>
      </c>
    </row>
    <row r="199" spans="1:24" s="38" customFormat="1" ht="15.75" thickBot="1">
      <c r="A199" s="42">
        <v>3</v>
      </c>
      <c r="B199" s="43" t="s">
        <v>123</v>
      </c>
      <c r="C199" s="86">
        <v>0.34599999999999997</v>
      </c>
      <c r="D199" s="86">
        <v>0.23699999999999999</v>
      </c>
      <c r="E199" s="90">
        <v>0.151</v>
      </c>
      <c r="F199" s="90">
        <v>0.09</v>
      </c>
      <c r="G199" s="90">
        <v>5.7000000000000002E-2</v>
      </c>
      <c r="H199" s="90">
        <v>4.2999999999999997E-2</v>
      </c>
      <c r="I199" s="90">
        <v>2.9000000000000001E-2</v>
      </c>
      <c r="J199" s="90">
        <v>2.3E-2</v>
      </c>
      <c r="K199" s="45">
        <f>IF(M$196=L$196,L199,ROUND(L199-((L199-M199)/(M$196-L$196))*(K$196-L$196),3))</f>
        <v>0.34599999999999997</v>
      </c>
      <c r="L199" s="45">
        <f>IF(L$196=10,C199,HLOOKUP($L$196,$D$196:$J$201,4,TRUE))</f>
        <v>0.34599999999999997</v>
      </c>
      <c r="M199" s="45">
        <f>IF(M$196=10,C199,HLOOKUP($M$196,$D$196:$J$201,4,TRUE))</f>
        <v>0.34599999999999997</v>
      </c>
    </row>
    <row r="200" spans="1:24" s="38" customFormat="1" ht="15.75" thickBot="1">
      <c r="A200" s="42">
        <v>4</v>
      </c>
      <c r="B200" s="43" t="s">
        <v>124</v>
      </c>
      <c r="C200" s="86">
        <v>0.36099999999999999</v>
      </c>
      <c r="D200" s="86">
        <v>0.30199999999999999</v>
      </c>
      <c r="E200" s="90">
        <v>0.16600000000000001</v>
      </c>
      <c r="F200" s="90">
        <v>9.4E-2</v>
      </c>
      <c r="G200" s="90">
        <v>6.6000000000000003E-2</v>
      </c>
      <c r="H200" s="90">
        <v>4.5999999999999999E-2</v>
      </c>
      <c r="I200" s="90">
        <v>3.1E-2</v>
      </c>
      <c r="J200" s="90">
        <v>2.5999999999999999E-2</v>
      </c>
      <c r="K200" s="45">
        <f>IF(M$196=L$196,L200,ROUND(L200-((L200-M200)/(M$196-L$196))*(K$196-L$196),3))</f>
        <v>0.36099999999999999</v>
      </c>
      <c r="L200" s="45">
        <f>IF(L$196=10,C200,HLOOKUP($L$196,$D$196:$J$201,5,TRUE))</f>
        <v>0.36099999999999999</v>
      </c>
      <c r="M200" s="45">
        <f>IF(M$196=10,C200,HLOOKUP($M$196,$D$196:$J$201,5,TRUE))</f>
        <v>0.36099999999999999</v>
      </c>
    </row>
    <row r="201" spans="1:24" s="38" customFormat="1" ht="15.75" thickBot="1">
      <c r="A201" s="42">
        <v>5</v>
      </c>
      <c r="B201" s="43" t="s">
        <v>125</v>
      </c>
      <c r="C201" s="86">
        <v>0.38800000000000001</v>
      </c>
      <c r="D201" s="86">
        <v>0.32500000000000001</v>
      </c>
      <c r="E201" s="90">
        <v>0.17199999999999999</v>
      </c>
      <c r="F201" s="90">
        <v>0.106</v>
      </c>
      <c r="G201" s="90">
        <v>6.9000000000000006E-2</v>
      </c>
      <c r="H201" s="90">
        <v>5.1999999999999998E-2</v>
      </c>
      <c r="I201" s="90">
        <v>3.7999999999999999E-2</v>
      </c>
      <c r="J201" s="90">
        <v>2.8000000000000001E-2</v>
      </c>
      <c r="K201" s="45">
        <f>IF(M$196=L$196,L201,ROUND(L201-((L201-M201)/(M$196-L$196))*(K$196-L$196),3))</f>
        <v>0.38800000000000001</v>
      </c>
      <c r="L201" s="45">
        <f>IF(L$196=10,C201,HLOOKUP($L$196,$D$196:$J$201,6,TRUE))</f>
        <v>0.38800000000000001</v>
      </c>
      <c r="M201" s="45">
        <f>IF(M$196=10,C201,HLOOKUP($M$196,$D$196:$J$201,6,TRUE))</f>
        <v>0.38800000000000001</v>
      </c>
    </row>
    <row r="202" spans="1:24" s="38" customFormat="1" hidden="1">
      <c r="A202" s="38" t="s">
        <v>223</v>
      </c>
    </row>
    <row r="203" spans="1:24" s="38" customFormat="1"/>
    <row r="204" spans="1:24" s="38" customFormat="1">
      <c r="A204" s="248" t="s">
        <v>350</v>
      </c>
      <c r="B204" s="248"/>
      <c r="C204" s="248"/>
      <c r="D204" s="248"/>
      <c r="E204" s="248"/>
      <c r="F204" s="248"/>
      <c r="G204" s="248"/>
      <c r="H204" s="248"/>
      <c r="I204" s="248"/>
      <c r="J204" s="248"/>
      <c r="K204" s="248"/>
      <c r="L204" s="248"/>
      <c r="M204" s="248"/>
    </row>
    <row r="205" spans="1:24" s="38" customFormat="1">
      <c r="I205" s="257" t="s">
        <v>112</v>
      </c>
      <c r="J205" s="257"/>
      <c r="K205" s="50"/>
      <c r="L205" s="50"/>
      <c r="M205" s="50"/>
      <c r="N205" s="50"/>
    </row>
    <row r="206" spans="1:24" s="38" customFormat="1" hidden="1">
      <c r="A206" s="38" t="s">
        <v>224</v>
      </c>
      <c r="J206" s="38" t="s">
        <v>114</v>
      </c>
    </row>
    <row r="207" spans="1:24" s="38" customFormat="1" ht="16.5" customHeight="1" thickBot="1">
      <c r="A207" s="250" t="s">
        <v>1</v>
      </c>
      <c r="B207" s="250" t="s">
        <v>115</v>
      </c>
      <c r="C207" s="251" t="s">
        <v>225</v>
      </c>
      <c r="D207" s="252"/>
      <c r="E207" s="252"/>
      <c r="F207" s="252"/>
      <c r="G207" s="252"/>
      <c r="H207" s="252"/>
      <c r="I207" s="252"/>
      <c r="J207" s="252"/>
      <c r="K207" s="39" t="s">
        <v>117</v>
      </c>
      <c r="L207" s="39" t="s">
        <v>118</v>
      </c>
      <c r="M207" s="39" t="s">
        <v>119</v>
      </c>
    </row>
    <row r="208" spans="1:24" s="38" customFormat="1" ht="15.75" thickBot="1">
      <c r="A208" s="250"/>
      <c r="B208" s="250"/>
      <c r="C208" s="40" t="s">
        <v>120</v>
      </c>
      <c r="D208" s="87">
        <v>20</v>
      </c>
      <c r="E208" s="88">
        <v>50</v>
      </c>
      <c r="F208" s="88">
        <v>100</v>
      </c>
      <c r="G208" s="88">
        <v>200</v>
      </c>
      <c r="H208" s="88">
        <v>500</v>
      </c>
      <c r="I208" s="89">
        <v>1000</v>
      </c>
      <c r="J208" s="89">
        <v>2000</v>
      </c>
      <c r="K208" s="39">
        <f>$C$5</f>
        <v>5.4100000000000002E-2</v>
      </c>
      <c r="L208" s="39">
        <f>IF(K208&lt;D208,10,IF(K208&gt;J208,J208,HLOOKUP(K208,D208:J208,1)))</f>
        <v>10</v>
      </c>
      <c r="M208" s="39">
        <f>IF(K208&lt;10,10,IF(K208&lt;20,20,IF(K208&gt;J208,J208,INDEX(D208:J208,MATCH(K208,D208:J208,1)+1))))</f>
        <v>10</v>
      </c>
    </row>
    <row r="209" spans="1:16" s="38" customFormat="1" ht="15.75" thickBot="1">
      <c r="A209" s="42">
        <v>1</v>
      </c>
      <c r="B209" s="43" t="s">
        <v>121</v>
      </c>
      <c r="C209" s="85">
        <v>0.36699999999999999</v>
      </c>
      <c r="D209" s="86">
        <v>0.34599999999999997</v>
      </c>
      <c r="E209" s="90">
        <v>0.18099999999999999</v>
      </c>
      <c r="F209" s="90">
        <v>0.113</v>
      </c>
      <c r="G209" s="90">
        <v>0.10199999999999999</v>
      </c>
      <c r="H209" s="90">
        <v>8.1000000000000003E-2</v>
      </c>
      <c r="I209" s="90">
        <v>5.5E-2</v>
      </c>
      <c r="J209" s="90">
        <v>4.2999999999999997E-2</v>
      </c>
      <c r="K209" s="45">
        <f>IF(M$208=L$208,L209,ROUND(L209-((L209-M209)/(M$208-L$208))*(K$208-L$208),3))</f>
        <v>0.36699999999999999</v>
      </c>
      <c r="L209" s="45">
        <f>IF(L$208=10,C209,HLOOKUP($L$208,$D$208:$J$213,2,TRUE))</f>
        <v>0.36699999999999999</v>
      </c>
      <c r="M209" s="45">
        <f>IF(M$208=10,C209,HLOOKUP($M$208,$D$208:$J$213,2,TRUE))</f>
        <v>0.36699999999999999</v>
      </c>
    </row>
    <row r="210" spans="1:16" s="38" customFormat="1" ht="15.75" thickBot="1">
      <c r="A210" s="42">
        <v>2</v>
      </c>
      <c r="B210" s="43" t="s">
        <v>122</v>
      </c>
      <c r="C210" s="86">
        <v>0.54900000000000004</v>
      </c>
      <c r="D210" s="86">
        <v>0.49399999999999999</v>
      </c>
      <c r="E210" s="90">
        <v>0.28000000000000003</v>
      </c>
      <c r="F210" s="90">
        <v>0.17699999999999999</v>
      </c>
      <c r="G210" s="90">
        <v>0.152</v>
      </c>
      <c r="H210" s="90">
        <v>0.123</v>
      </c>
      <c r="I210" s="90">
        <v>8.4000000000000005E-2</v>
      </c>
      <c r="J210" s="90">
        <v>6.6000000000000003E-2</v>
      </c>
      <c r="K210" s="45">
        <f>IF(M$208=L$208,L210,ROUND(L210-((L210-M210)/(M$208-L$208))*(K$208-L$208),3))</f>
        <v>0.54900000000000004</v>
      </c>
      <c r="L210" s="45">
        <f>IF(L$208=10,C210,HLOOKUP($L$208,$D$208:$J$213,3,TRUE))</f>
        <v>0.54900000000000004</v>
      </c>
      <c r="M210" s="45">
        <f>IF(M$208=10,C210,HLOOKUP($M$208,$D$208:$J$213,3,TRUE))</f>
        <v>0.54900000000000004</v>
      </c>
    </row>
    <row r="211" spans="1:16" s="38" customFormat="1" ht="15.75" thickBot="1">
      <c r="A211" s="42">
        <v>3</v>
      </c>
      <c r="B211" s="43" t="s">
        <v>123</v>
      </c>
      <c r="C211" s="86">
        <v>0.26100000000000001</v>
      </c>
      <c r="D211" s="86">
        <v>0.23</v>
      </c>
      <c r="E211" s="90">
        <v>0.13100000000000001</v>
      </c>
      <c r="F211" s="90">
        <v>8.4000000000000005E-2</v>
      </c>
      <c r="G211" s="90">
        <v>7.3999999999999996E-2</v>
      </c>
      <c r="H211" s="90">
        <v>5.6000000000000001E-2</v>
      </c>
      <c r="I211" s="90">
        <v>0.04</v>
      </c>
      <c r="J211" s="90">
        <v>3.2000000000000001E-2</v>
      </c>
      <c r="K211" s="45">
        <f>IF(M$208=L$208,L211,ROUND(L211-((L211-M211)/(M$208-L$208))*(K$208-L$208),3))</f>
        <v>0.26100000000000001</v>
      </c>
      <c r="L211" s="45">
        <f>IF(L$208=10,C211,HLOOKUP($L$208,$D$208:$J$213,4,TRUE))</f>
        <v>0.26100000000000001</v>
      </c>
      <c r="M211" s="45">
        <f>IF(M$208=10,C211,HLOOKUP($M$208,$D$208:$J$213,4,TRUE))</f>
        <v>0.26100000000000001</v>
      </c>
    </row>
    <row r="212" spans="1:16" s="38" customFormat="1" ht="15.75" thickBot="1">
      <c r="A212" s="42">
        <v>4</v>
      </c>
      <c r="B212" s="43" t="s">
        <v>124</v>
      </c>
      <c r="C212" s="86">
        <v>0.28100000000000003</v>
      </c>
      <c r="D212" s="86">
        <v>0.245</v>
      </c>
      <c r="E212" s="90">
        <v>0.14000000000000001</v>
      </c>
      <c r="F212" s="90">
        <v>0.09</v>
      </c>
      <c r="G212" s="90">
        <v>7.8E-2</v>
      </c>
      <c r="H212" s="90">
        <v>6.0999999999999999E-2</v>
      </c>
      <c r="I212" s="90">
        <v>0.05</v>
      </c>
      <c r="J212" s="90">
        <v>3.6999999999999998E-2</v>
      </c>
      <c r="K212" s="45">
        <f>IF(M$208=L$208,L212,ROUND(L212-((L212-M212)/(M$208-L$208))*(K$208-L$208),3))</f>
        <v>0.28100000000000003</v>
      </c>
      <c r="L212" s="45">
        <f>IF(L$208=10,C212,HLOOKUP($L$208,$D$208:$J$213,5,TRUE))</f>
        <v>0.28100000000000003</v>
      </c>
      <c r="M212" s="45">
        <f>IF(M$208=10,C212,HLOOKUP($M$208,$D$208:$J$213,5,TRUE))</f>
        <v>0.28100000000000003</v>
      </c>
    </row>
    <row r="213" spans="1:16" s="38" customFormat="1" ht="15.75" thickBot="1">
      <c r="A213" s="42">
        <v>5</v>
      </c>
      <c r="B213" s="43" t="s">
        <v>125</v>
      </c>
      <c r="C213" s="86">
        <v>0.30199999999999999</v>
      </c>
      <c r="D213" s="86">
        <v>0.26</v>
      </c>
      <c r="E213" s="90">
        <v>0.156</v>
      </c>
      <c r="F213" s="90">
        <v>0.10199999999999999</v>
      </c>
      <c r="G213" s="90">
        <v>8.6999999999999994E-2</v>
      </c>
      <c r="H213" s="90">
        <v>6.9000000000000006E-2</v>
      </c>
      <c r="I213" s="90">
        <v>5.3999999999999999E-2</v>
      </c>
      <c r="J213" s="90">
        <v>4.1000000000000002E-2</v>
      </c>
      <c r="K213" s="45">
        <f>IF(M$208=L$208,L213,ROUND(L213-((L213-M213)/(M$208-L$208))*(K$208-L$208),3))</f>
        <v>0.30199999999999999</v>
      </c>
      <c r="L213" s="45">
        <f>IF(L$208=10,C213,HLOOKUP($L$208,$D$208:$J$213,6,TRUE))</f>
        <v>0.30199999999999999</v>
      </c>
      <c r="M213" s="45">
        <f>IF(M$208=10,C213,HLOOKUP($M$208,$D$208:$J$213,6,TRUE))</f>
        <v>0.30199999999999999</v>
      </c>
    </row>
    <row r="214" spans="1:16" s="38" customFormat="1" hidden="1">
      <c r="A214" s="38" t="s">
        <v>226</v>
      </c>
    </row>
    <row r="215" spans="1:16" s="38" customFormat="1"/>
    <row r="216" spans="1:16" s="38" customFormat="1">
      <c r="A216" s="248" t="s">
        <v>351</v>
      </c>
      <c r="B216" s="248"/>
      <c r="C216" s="248"/>
      <c r="D216" s="248"/>
      <c r="E216" s="248"/>
      <c r="F216" s="248"/>
      <c r="G216" s="248"/>
      <c r="H216" s="248"/>
      <c r="I216" s="248"/>
      <c r="J216" s="248"/>
      <c r="K216" s="248"/>
      <c r="L216" s="248"/>
      <c r="M216" s="248"/>
    </row>
    <row r="217" spans="1:16" s="38" customFormat="1">
      <c r="I217" s="257" t="s">
        <v>112</v>
      </c>
      <c r="J217" s="257"/>
      <c r="K217" s="257"/>
      <c r="L217" s="257"/>
      <c r="M217" s="257"/>
      <c r="N217" s="50"/>
    </row>
    <row r="218" spans="1:16" s="38" customFormat="1" hidden="1">
      <c r="A218" s="38" t="s">
        <v>227</v>
      </c>
      <c r="M218" s="38" t="s">
        <v>114</v>
      </c>
    </row>
    <row r="219" spans="1:16" s="38" customFormat="1" ht="16.5" customHeight="1" thickBot="1">
      <c r="A219" s="250" t="s">
        <v>1</v>
      </c>
      <c r="B219" s="250" t="s">
        <v>115</v>
      </c>
      <c r="C219" s="258" t="s">
        <v>228</v>
      </c>
      <c r="D219" s="258"/>
      <c r="E219" s="258"/>
      <c r="F219" s="258"/>
      <c r="G219" s="258"/>
      <c r="H219" s="258"/>
      <c r="I219" s="258"/>
      <c r="J219" s="258"/>
      <c r="K219" s="258"/>
      <c r="L219" s="258"/>
      <c r="M219" s="258"/>
      <c r="N219" s="39" t="s">
        <v>117</v>
      </c>
      <c r="O219" s="39" t="s">
        <v>118</v>
      </c>
      <c r="P219" s="39" t="s">
        <v>119</v>
      </c>
    </row>
    <row r="220" spans="1:16" s="38" customFormat="1" ht="15.75" thickBot="1">
      <c r="A220" s="250"/>
      <c r="B220" s="250"/>
      <c r="C220" s="40" t="s">
        <v>120</v>
      </c>
      <c r="D220" s="87">
        <v>20</v>
      </c>
      <c r="E220" s="88">
        <v>50</v>
      </c>
      <c r="F220" s="88">
        <v>100</v>
      </c>
      <c r="G220" s="88">
        <v>200</v>
      </c>
      <c r="H220" s="88">
        <v>500</v>
      </c>
      <c r="I220" s="89">
        <v>1000</v>
      </c>
      <c r="J220" s="89">
        <v>2000</v>
      </c>
      <c r="K220" s="89">
        <v>5000</v>
      </c>
      <c r="L220" s="89">
        <v>8000</v>
      </c>
      <c r="M220" s="89">
        <v>10000</v>
      </c>
      <c r="N220" s="39">
        <f>$C$4</f>
        <v>1.5018819002089998</v>
      </c>
      <c r="O220" s="39">
        <f>IF(N220&lt;D220,10,IF(N220&gt;M220,M220,HLOOKUP(N220,D220:M220,1)))</f>
        <v>10</v>
      </c>
      <c r="P220" s="39">
        <f>IF(N220&lt;10,10,IF(N220&lt;20,20,IF(N220&gt;M220,M220,INDEX(D220:M220,MATCH(N220,D220:M220,1)+1))))</f>
        <v>10</v>
      </c>
    </row>
    <row r="221" spans="1:16" s="38" customFormat="1" ht="15.75" thickBot="1">
      <c r="A221" s="42">
        <v>1</v>
      </c>
      <c r="B221" s="43" t="s">
        <v>121</v>
      </c>
      <c r="C221" s="85">
        <v>3.2850000000000001</v>
      </c>
      <c r="D221" s="86">
        <v>2.8530000000000002</v>
      </c>
      <c r="E221" s="90">
        <v>2.4350000000000001</v>
      </c>
      <c r="F221" s="90">
        <v>1.845</v>
      </c>
      <c r="G221" s="90">
        <v>1.546</v>
      </c>
      <c r="H221" s="90">
        <v>1.1879999999999999</v>
      </c>
      <c r="I221" s="90">
        <v>0.79700000000000004</v>
      </c>
      <c r="J221" s="90">
        <v>0.69399999999999995</v>
      </c>
      <c r="K221" s="90">
        <v>0.62</v>
      </c>
      <c r="L221" s="90">
        <v>0.53</v>
      </c>
      <c r="M221" s="90">
        <v>0.47799999999999998</v>
      </c>
      <c r="N221" s="111">
        <f>IF(P$220=O$220,O221,ROUND(O221-((O221-P221)/(P$220-O$220))*(N$220-O$220),3))</f>
        <v>3.2850000000000001</v>
      </c>
      <c r="O221" s="45">
        <f>IF(O$220=10,C221,HLOOKUP($O$220,$D$220:$M$225,2,TRUE))</f>
        <v>3.2850000000000001</v>
      </c>
      <c r="P221" s="45">
        <f>IF(P$220=10,C221,HLOOKUP($P$220,$D$220:$M$225,2,TRUE))</f>
        <v>3.2850000000000001</v>
      </c>
    </row>
    <row r="222" spans="1:16" s="38" customFormat="1" ht="15.75" thickBot="1">
      <c r="A222" s="42">
        <v>2</v>
      </c>
      <c r="B222" s="43" t="s">
        <v>122</v>
      </c>
      <c r="C222" s="86">
        <v>3.508</v>
      </c>
      <c r="D222" s="86">
        <v>3.137</v>
      </c>
      <c r="E222" s="90">
        <v>2.5590000000000002</v>
      </c>
      <c r="F222" s="90">
        <v>2.0739999999999998</v>
      </c>
      <c r="G222" s="90">
        <v>1.6040000000000001</v>
      </c>
      <c r="H222" s="90">
        <v>1.3009999999999999</v>
      </c>
      <c r="I222" s="90">
        <v>0.82299999999999995</v>
      </c>
      <c r="J222" s="90">
        <v>0.71599999999999997</v>
      </c>
      <c r="K222" s="90">
        <v>0.64</v>
      </c>
      <c r="L222" s="90">
        <v>0.55000000000000004</v>
      </c>
      <c r="M222" s="90">
        <v>0.49299999999999999</v>
      </c>
      <c r="N222" s="45">
        <f>IF(P$220=O$220,O222,ROUND(O222-((O222-P222)/(P$220-O$220))*(N$220-O$220),3))</f>
        <v>3.508</v>
      </c>
      <c r="O222" s="45">
        <f>IF(O$220=10,C222,HLOOKUP($O$220,$D$220:$M$225,3,TRUE))</f>
        <v>3.508</v>
      </c>
      <c r="P222" s="45">
        <f>IF(P$220=10,C222,HLOOKUP($P$220,$D$220:$M$225,3,TRUE))</f>
        <v>3.508</v>
      </c>
    </row>
    <row r="223" spans="1:16" s="38" customFormat="1" ht="15.75" thickBot="1">
      <c r="A223" s="42">
        <v>3</v>
      </c>
      <c r="B223" s="43" t="s">
        <v>123</v>
      </c>
      <c r="C223" s="86">
        <v>3.2029999999999998</v>
      </c>
      <c r="D223" s="86">
        <v>2.7</v>
      </c>
      <c r="E223" s="90">
        <v>2.3559999999999999</v>
      </c>
      <c r="F223" s="90">
        <v>1.714</v>
      </c>
      <c r="G223" s="90">
        <v>1.272</v>
      </c>
      <c r="H223" s="90">
        <v>1.0029999999999999</v>
      </c>
      <c r="I223" s="90">
        <v>0.73099999999999998</v>
      </c>
      <c r="J223" s="90">
        <v>0.63600000000000001</v>
      </c>
      <c r="K223" s="90">
        <v>0.55000000000000004</v>
      </c>
      <c r="L223" s="90">
        <v>0.48</v>
      </c>
      <c r="M223" s="90">
        <v>0.438</v>
      </c>
      <c r="N223" s="45">
        <f>IF(P$220=O$220,O223,ROUND(O223-((O223-P223)/(P$220-O$220))*(N$220-O$220),3))</f>
        <v>3.2029999999999998</v>
      </c>
      <c r="O223" s="45">
        <f>IF(O$220=10,C223,HLOOKUP($O$220,$D$220:$M$225,4,TRUE))</f>
        <v>3.2029999999999998</v>
      </c>
      <c r="P223" s="45">
        <f>IF(P$220=10,C223,HLOOKUP($P$220,$D$220:$M$225,4,TRUE))</f>
        <v>3.2029999999999998</v>
      </c>
    </row>
    <row r="224" spans="1:16" s="38" customFormat="1" ht="15.75" thickBot="1">
      <c r="A224" s="42">
        <v>4</v>
      </c>
      <c r="B224" s="43" t="s">
        <v>124</v>
      </c>
      <c r="C224" s="86">
        <v>2.5979999999999999</v>
      </c>
      <c r="D224" s="86">
        <v>2.2919999999999998</v>
      </c>
      <c r="E224" s="90">
        <v>2.0750000000000002</v>
      </c>
      <c r="F224" s="90">
        <v>1.5449999999999999</v>
      </c>
      <c r="G224" s="90">
        <v>1.1890000000000001</v>
      </c>
      <c r="H224" s="90">
        <v>0.95</v>
      </c>
      <c r="I224" s="90">
        <v>0.63100000000000001</v>
      </c>
      <c r="J224" s="90">
        <v>0.55000000000000004</v>
      </c>
      <c r="K224" s="90">
        <v>0.49</v>
      </c>
      <c r="L224" s="90">
        <v>0.42</v>
      </c>
      <c r="M224" s="90">
        <v>0.378</v>
      </c>
      <c r="N224" s="45">
        <f>IF(P$220=O$220,O224,ROUND(O224-((O224-P224)/(P$220-O$220))*(N$220-O$220),3))</f>
        <v>2.5979999999999999</v>
      </c>
      <c r="O224" s="45">
        <f>IF(O$220=10,C224,HLOOKUP($O$220,$D$220:$M$225,5,TRUE))</f>
        <v>2.5979999999999999</v>
      </c>
      <c r="P224" s="45">
        <f>IF(P$220=10,C224,HLOOKUP($P$220,$D$220:$M$225,5,TRUE))</f>
        <v>2.5979999999999999</v>
      </c>
    </row>
    <row r="225" spans="1:16" s="38" customFormat="1" ht="15.75" thickBot="1">
      <c r="A225" s="42">
        <v>5</v>
      </c>
      <c r="B225" s="43" t="s">
        <v>125</v>
      </c>
      <c r="C225" s="86">
        <v>2.5659999999999998</v>
      </c>
      <c r="D225" s="86">
        <v>2.2559999999999998</v>
      </c>
      <c r="E225" s="90">
        <v>1.984</v>
      </c>
      <c r="F225" s="90">
        <v>1.4610000000000001</v>
      </c>
      <c r="G225" s="90">
        <v>1.1419999999999999</v>
      </c>
      <c r="H225" s="90">
        <v>0.91200000000000003</v>
      </c>
      <c r="I225" s="90">
        <v>0.58399999999999996</v>
      </c>
      <c r="J225" s="90">
        <v>0.50900000000000001</v>
      </c>
      <c r="K225" s="90">
        <v>0.45200000000000001</v>
      </c>
      <c r="L225" s="90">
        <v>0.39</v>
      </c>
      <c r="M225" s="90">
        <v>0.35</v>
      </c>
      <c r="N225" s="45">
        <f>IF(P$220=O$220,O225,ROUND(O225-((O225-P225)/(P$220-O$220))*(N$220-O$220),3))</f>
        <v>2.5659999999999998</v>
      </c>
      <c r="O225" s="45">
        <f>IF(O$220=10,C225,HLOOKUP($O$220,$D$220:$M$225,6,TRUE))</f>
        <v>2.5659999999999998</v>
      </c>
      <c r="P225" s="45">
        <f>IF(P$220=10,C225,HLOOKUP($P$220,$D$220:$M$225,6,TRUE))</f>
        <v>2.5659999999999998</v>
      </c>
    </row>
    <row r="226" spans="1:16" s="38" customFormat="1" hidden="1">
      <c r="A226" s="38" t="s">
        <v>229</v>
      </c>
    </row>
    <row r="227" spans="1:16" s="38" customFormat="1"/>
    <row r="228" spans="1:16" s="38" customFormat="1">
      <c r="A228" s="248" t="s">
        <v>352</v>
      </c>
      <c r="B228" s="248"/>
      <c r="C228" s="248"/>
      <c r="D228" s="248"/>
      <c r="E228" s="248"/>
      <c r="F228" s="248"/>
      <c r="G228" s="248"/>
      <c r="H228" s="248"/>
      <c r="I228" s="248"/>
      <c r="J228" s="248"/>
      <c r="K228" s="248"/>
      <c r="L228" s="248"/>
      <c r="M228" s="248"/>
    </row>
    <row r="229" spans="1:16" s="38" customFormat="1">
      <c r="I229" s="257" t="s">
        <v>112</v>
      </c>
      <c r="J229" s="257"/>
      <c r="K229" s="257"/>
      <c r="L229" s="257"/>
      <c r="M229" s="257"/>
      <c r="N229" s="50"/>
    </row>
    <row r="230" spans="1:16" s="38" customFormat="1" hidden="1">
      <c r="A230" s="38" t="s">
        <v>230</v>
      </c>
      <c r="M230" s="38" t="s">
        <v>114</v>
      </c>
    </row>
    <row r="231" spans="1:16" s="38" customFormat="1" ht="16.5" customHeight="1" thickBot="1">
      <c r="A231" s="250" t="s">
        <v>1</v>
      </c>
      <c r="B231" s="250" t="s">
        <v>115</v>
      </c>
      <c r="C231" s="258" t="s">
        <v>231</v>
      </c>
      <c r="D231" s="258"/>
      <c r="E231" s="258"/>
      <c r="F231" s="258"/>
      <c r="G231" s="258"/>
      <c r="H231" s="258"/>
      <c r="I231" s="258"/>
      <c r="J231" s="258"/>
      <c r="K231" s="258"/>
      <c r="L231" s="258"/>
      <c r="M231" s="258"/>
      <c r="N231" s="39" t="s">
        <v>117</v>
      </c>
      <c r="O231" s="39" t="s">
        <v>118</v>
      </c>
      <c r="P231" s="39" t="s">
        <v>119</v>
      </c>
    </row>
    <row r="232" spans="1:16" s="38" customFormat="1" ht="15.75" thickBot="1">
      <c r="A232" s="250"/>
      <c r="B232" s="250"/>
      <c r="C232" s="40" t="s">
        <v>120</v>
      </c>
      <c r="D232" s="87">
        <v>20</v>
      </c>
      <c r="E232" s="88">
        <v>50</v>
      </c>
      <c r="F232" s="88">
        <v>100</v>
      </c>
      <c r="G232" s="88">
        <v>200</v>
      </c>
      <c r="H232" s="88">
        <v>500</v>
      </c>
      <c r="I232" s="89">
        <v>1000</v>
      </c>
      <c r="J232" s="89">
        <v>2000</v>
      </c>
      <c r="K232" s="89">
        <v>5000</v>
      </c>
      <c r="L232" s="89">
        <v>8000</v>
      </c>
      <c r="M232" s="89">
        <v>10000</v>
      </c>
      <c r="N232" s="39">
        <f>$C$5</f>
        <v>5.4100000000000002E-2</v>
      </c>
      <c r="O232" s="39">
        <f>IF(N232&lt;D232,10,IF(N232&gt;M232,M232,HLOOKUP(N232,D232:M232,1)))</f>
        <v>10</v>
      </c>
      <c r="P232" s="39">
        <f>IF(N232&lt;10,10,IF(N232&lt;20,20,IF(N232&gt;M232,M232,INDEX(D232:M232,MATCH(N232,D232:M232,1)+1))))</f>
        <v>10</v>
      </c>
    </row>
    <row r="233" spans="1:16" s="38" customFormat="1" ht="15.75" thickBot="1">
      <c r="A233" s="42">
        <v>1</v>
      </c>
      <c r="B233" s="43" t="s">
        <v>121</v>
      </c>
      <c r="C233" s="85">
        <v>0.84399999999999997</v>
      </c>
      <c r="D233" s="86">
        <v>0.71499999999999997</v>
      </c>
      <c r="E233" s="90">
        <v>0.59599999999999997</v>
      </c>
      <c r="F233" s="90">
        <v>0.39400000000000002</v>
      </c>
      <c r="G233" s="90">
        <v>0.30499999999999999</v>
      </c>
      <c r="H233" s="90">
        <v>0.26100000000000001</v>
      </c>
      <c r="I233" s="90">
        <v>0.17599999999999999</v>
      </c>
      <c r="J233" s="90">
        <v>0.153</v>
      </c>
      <c r="K233" s="90">
        <v>0.13200000000000001</v>
      </c>
      <c r="L233" s="90">
        <v>0.112</v>
      </c>
      <c r="M233" s="90">
        <v>0.11</v>
      </c>
      <c r="N233" s="45">
        <f>IF(P$232=O$232,O233,ROUND(O233-((O233-P233)/(P$232-O$232))*(N$232-O$232),3))</f>
        <v>0.84399999999999997</v>
      </c>
      <c r="O233" s="45">
        <f>IF(O$232=10,C233,HLOOKUP($O$232,$D$232:$M$237,2,TRUE))</f>
        <v>0.84399999999999997</v>
      </c>
      <c r="P233" s="45">
        <f>IF(P$232=10,C233,HLOOKUP($P$232,$D$232:$M$237,2,TRUE))</f>
        <v>0.84399999999999997</v>
      </c>
    </row>
    <row r="234" spans="1:16" s="38" customFormat="1" ht="15.75" thickBot="1">
      <c r="A234" s="42">
        <v>2</v>
      </c>
      <c r="B234" s="43" t="s">
        <v>122</v>
      </c>
      <c r="C234" s="86">
        <v>1.147</v>
      </c>
      <c r="D234" s="86">
        <v>1.0049999999999999</v>
      </c>
      <c r="E234" s="90">
        <v>0.95799999999999996</v>
      </c>
      <c r="F234" s="90">
        <v>0.81100000000000005</v>
      </c>
      <c r="G234" s="90">
        <v>0.49</v>
      </c>
      <c r="H234" s="90">
        <v>0.42199999999999999</v>
      </c>
      <c r="I234" s="90">
        <v>0.35599999999999998</v>
      </c>
      <c r="J234" s="90">
        <v>0.309</v>
      </c>
      <c r="K234" s="90">
        <v>0.27</v>
      </c>
      <c r="L234" s="90">
        <v>0.23</v>
      </c>
      <c r="M234" s="90">
        <v>0.21</v>
      </c>
      <c r="N234" s="45">
        <f>IF(P$232=O$232,O234,ROUND(O234-((O234-P234)/(P$232-O$232))*(N$232-O$232),3))</f>
        <v>1.147</v>
      </c>
      <c r="O234" s="45">
        <f>IF(O$232=10,C234,HLOOKUP($O$232,$D$232:$M$237,3,TRUE))</f>
        <v>1.147</v>
      </c>
      <c r="P234" s="45">
        <f>IF(P$232=10,C234,HLOOKUP($P$232,$D$232:$M$237,3,TRUE))</f>
        <v>1.147</v>
      </c>
    </row>
    <row r="235" spans="1:16" s="38" customFormat="1" ht="15.75" thickBot="1">
      <c r="A235" s="42">
        <v>3</v>
      </c>
      <c r="B235" s="43" t="s">
        <v>123</v>
      </c>
      <c r="C235" s="86">
        <v>0.67700000000000005</v>
      </c>
      <c r="D235" s="86">
        <v>0.57999999999999996</v>
      </c>
      <c r="E235" s="90">
        <v>0.48599999999999999</v>
      </c>
      <c r="F235" s="90">
        <v>0.32</v>
      </c>
      <c r="G235" s="90">
        <v>0.26100000000000001</v>
      </c>
      <c r="H235" s="90">
        <v>0.217</v>
      </c>
      <c r="I235" s="90">
        <v>0.14599999999999999</v>
      </c>
      <c r="J235" s="90">
        <v>0.127</v>
      </c>
      <c r="K235" s="90">
        <v>0.11</v>
      </c>
      <c r="L235" s="90">
        <v>9.1999999999999998E-2</v>
      </c>
      <c r="M235" s="90">
        <v>8.5000000000000006E-2</v>
      </c>
      <c r="N235" s="45">
        <f>IF(P$232=O$232,O235,ROUND(O235-((O235-P235)/(P$232-O$232))*(N$232-O$232),3))</f>
        <v>0.67700000000000005</v>
      </c>
      <c r="O235" s="45">
        <f>IF(O$232=10,C235,HLOOKUP($O$232,$D$232:$M$237,4,TRUE))</f>
        <v>0.67700000000000005</v>
      </c>
      <c r="P235" s="45">
        <f>IF(P$232=10,C235,HLOOKUP($P$232,$D$232:$M$237,4,TRUE))</f>
        <v>0.67700000000000005</v>
      </c>
    </row>
    <row r="236" spans="1:16" s="38" customFormat="1" ht="15.75" thickBot="1">
      <c r="A236" s="42">
        <v>4</v>
      </c>
      <c r="B236" s="43" t="s">
        <v>124</v>
      </c>
      <c r="C236" s="86">
        <v>0.71799999999999997</v>
      </c>
      <c r="D236" s="86">
        <v>0.58499999999999996</v>
      </c>
      <c r="E236" s="90">
        <v>0.52</v>
      </c>
      <c r="F236" s="90">
        <v>0.34399999999999997</v>
      </c>
      <c r="G236" s="90">
        <v>0.27600000000000002</v>
      </c>
      <c r="H236" s="90">
        <v>0.23200000000000001</v>
      </c>
      <c r="I236" s="90">
        <v>0.159</v>
      </c>
      <c r="J236" s="90">
        <v>0.13800000000000001</v>
      </c>
      <c r="K236" s="90">
        <v>0.12</v>
      </c>
      <c r="L236" s="90">
        <v>9.8000000000000004E-2</v>
      </c>
      <c r="M236" s="90">
        <v>9.0999999999999998E-2</v>
      </c>
      <c r="N236" s="45">
        <f>IF(P$232=O$232,O236,ROUND(O236-((O236-P236)/(P$232-O$232))*(N$232-O$232),3))</f>
        <v>0.71799999999999997</v>
      </c>
      <c r="O236" s="45">
        <f>IF(O$232=10,C236,HLOOKUP($O$232,$D$232:$M$237,5,TRUE))</f>
        <v>0.71799999999999997</v>
      </c>
      <c r="P236" s="45">
        <f>IF(P$232=10,C236,HLOOKUP($P$232,$D$232:$M$237,5,TRUE))</f>
        <v>0.71799999999999997</v>
      </c>
    </row>
    <row r="237" spans="1:16" s="38" customFormat="1" ht="15.75" thickBot="1">
      <c r="A237" s="42">
        <v>5</v>
      </c>
      <c r="B237" s="43" t="s">
        <v>125</v>
      </c>
      <c r="C237" s="86">
        <v>0.80300000000000005</v>
      </c>
      <c r="D237" s="86">
        <v>0.69</v>
      </c>
      <c r="E237" s="90">
        <v>0.57499999999999996</v>
      </c>
      <c r="F237" s="90">
        <v>0.38300000000000001</v>
      </c>
      <c r="G237" s="90">
        <v>0.3</v>
      </c>
      <c r="H237" s="90">
        <v>0.26100000000000001</v>
      </c>
      <c r="I237" s="90">
        <v>0.17299999999999999</v>
      </c>
      <c r="J237" s="90">
        <v>0.15</v>
      </c>
      <c r="K237" s="90">
        <v>0.126</v>
      </c>
      <c r="L237" s="90">
        <v>0.105</v>
      </c>
      <c r="M237" s="90">
        <v>9.5000000000000001E-2</v>
      </c>
      <c r="N237" s="45">
        <f>IF(P$232=O$232,O237,ROUND(O237-((O237-P237)/(P$232-O$232))*(N$232-O$232),3))</f>
        <v>0.80300000000000005</v>
      </c>
      <c r="O237" s="45">
        <f>IF(O$232=10,C237,HLOOKUP($O$232,$D$232:$M$237,6,TRUE))</f>
        <v>0.80300000000000005</v>
      </c>
      <c r="P237" s="45">
        <f>IF(P$232=10,C237,HLOOKUP($P$232,$D$232:$M$237,6,TRUE))</f>
        <v>0.80300000000000005</v>
      </c>
    </row>
    <row r="238" spans="1:16" s="38" customFormat="1" hidden="1">
      <c r="A238" s="38" t="s">
        <v>232</v>
      </c>
    </row>
    <row r="239" spans="1:16" s="38" customFormat="1"/>
    <row r="240" spans="1:16" s="38" customFormat="1">
      <c r="A240" s="248" t="s">
        <v>353</v>
      </c>
      <c r="B240" s="248"/>
      <c r="C240" s="248"/>
      <c r="D240" s="248"/>
      <c r="E240" s="248"/>
      <c r="F240" s="248"/>
      <c r="G240" s="248"/>
      <c r="H240" s="248"/>
      <c r="I240" s="248"/>
      <c r="J240" s="248"/>
      <c r="K240" s="248"/>
      <c r="L240" s="248"/>
      <c r="M240" s="248"/>
    </row>
    <row r="241" spans="1:15" s="38" customFormat="1">
      <c r="F241" s="257" t="s">
        <v>112</v>
      </c>
      <c r="G241" s="257"/>
      <c r="I241" s="50"/>
      <c r="J241" s="50"/>
      <c r="K241" s="50"/>
      <c r="L241" s="50"/>
      <c r="M241" s="50"/>
      <c r="N241" s="50"/>
    </row>
    <row r="242" spans="1:15" s="38" customFormat="1" hidden="1">
      <c r="A242" s="38" t="s">
        <v>233</v>
      </c>
      <c r="G242" s="38" t="s">
        <v>114</v>
      </c>
    </row>
    <row r="243" spans="1:15" s="38" customFormat="1" ht="33" customHeight="1" thickBot="1">
      <c r="A243" s="250" t="s">
        <v>1</v>
      </c>
      <c r="B243" s="250" t="s">
        <v>115</v>
      </c>
      <c r="C243" s="251" t="s">
        <v>234</v>
      </c>
      <c r="D243" s="252"/>
      <c r="E243" s="252"/>
      <c r="F243" s="252"/>
      <c r="G243" s="252"/>
      <c r="H243" s="39" t="s">
        <v>117</v>
      </c>
      <c r="I243" s="39" t="s">
        <v>118</v>
      </c>
      <c r="J243" s="39" t="s">
        <v>119</v>
      </c>
      <c r="K243" s="51"/>
      <c r="L243" s="51"/>
      <c r="M243" s="51"/>
    </row>
    <row r="244" spans="1:15" s="38" customFormat="1" ht="15.75" thickBot="1">
      <c r="A244" s="250"/>
      <c r="B244" s="250"/>
      <c r="C244" s="40" t="s">
        <v>133</v>
      </c>
      <c r="D244" s="87">
        <v>5</v>
      </c>
      <c r="E244" s="88">
        <v>10</v>
      </c>
      <c r="F244" s="88">
        <v>20</v>
      </c>
      <c r="G244" s="88">
        <v>50</v>
      </c>
      <c r="H244" s="39">
        <f>$C$11</f>
        <v>0</v>
      </c>
      <c r="I244" s="39">
        <f>IF(H244&lt;D244,1,IF(H244&gt;G244,G244,HLOOKUP(H244,D244:G244,1)))</f>
        <v>1</v>
      </c>
      <c r="J244" s="39">
        <f>IF(H244&lt;1,1,IF(H244&lt;5,5,IF(H244&gt;G244,G244,INDEX(D244:G244,MATCH(H244,D244:G244,1)+1))))</f>
        <v>1</v>
      </c>
      <c r="K244" s="52"/>
      <c r="L244" s="52"/>
      <c r="M244" s="52"/>
    </row>
    <row r="245" spans="1:15" s="38" customFormat="1" ht="15.75" thickBot="1">
      <c r="A245" s="42">
        <v>1</v>
      </c>
      <c r="B245" s="43" t="s">
        <v>219</v>
      </c>
      <c r="C245" s="85">
        <v>4.0720000000000001</v>
      </c>
      <c r="D245" s="91">
        <v>3.5409999999999999</v>
      </c>
      <c r="E245" s="91">
        <v>3.0790000000000002</v>
      </c>
      <c r="F245" s="91">
        <v>2.7069999999999999</v>
      </c>
      <c r="G245" s="91">
        <v>2.3809999999999998</v>
      </c>
      <c r="H245" s="45">
        <f>IF(J$244=I$244,I245,ROUND(I245-((I245-J245)/(J$244-I$244))*(H$244-I$244),3))</f>
        <v>4.0720000000000001</v>
      </c>
      <c r="I245" s="45">
        <f>IF(I$244=1,C245,HLOOKUP($I$244,$D$244:$G$245,2,TRUE))</f>
        <v>4.0720000000000001</v>
      </c>
      <c r="J245" s="45">
        <f>IF(J$244=1,C245,HLOOKUP($J$244,$D$244:$G$245,2,TRUE))</f>
        <v>4.0720000000000001</v>
      </c>
      <c r="K245" s="54"/>
      <c r="L245" s="54"/>
      <c r="M245" s="54"/>
    </row>
    <row r="246" spans="1:15" s="38" customFormat="1" ht="22.5">
      <c r="A246" s="254" t="s">
        <v>235</v>
      </c>
      <c r="B246" s="254"/>
      <c r="C246" s="254"/>
      <c r="D246" s="254"/>
      <c r="E246" s="254"/>
      <c r="F246" s="254"/>
      <c r="G246" s="254"/>
      <c r="H246" s="254"/>
      <c r="I246" s="254"/>
      <c r="J246" s="254"/>
      <c r="K246" s="254"/>
      <c r="L246" s="254"/>
      <c r="M246" s="254"/>
      <c r="N246" s="254"/>
    </row>
    <row r="247" spans="1:15" s="38" customFormat="1" ht="22.5">
      <c r="A247" s="254" t="s">
        <v>236</v>
      </c>
      <c r="B247" s="254"/>
      <c r="C247" s="254"/>
      <c r="D247" s="254"/>
      <c r="E247" s="254"/>
      <c r="F247" s="254"/>
      <c r="G247" s="254"/>
      <c r="H247" s="254"/>
      <c r="I247" s="254"/>
      <c r="J247" s="254"/>
      <c r="K247" s="254"/>
      <c r="L247" s="254"/>
      <c r="M247" s="254"/>
      <c r="N247" s="254"/>
    </row>
    <row r="248" spans="1:15" s="38" customFormat="1" ht="18.75">
      <c r="A248" s="55"/>
      <c r="B248" s="55"/>
      <c r="C248" s="55"/>
      <c r="D248" s="55"/>
      <c r="E248" s="55"/>
      <c r="F248" s="55"/>
      <c r="G248" s="55"/>
      <c r="H248" s="55"/>
      <c r="I248" s="55"/>
      <c r="J248" s="55"/>
      <c r="K248" s="55"/>
      <c r="L248" s="55"/>
      <c r="M248" s="55"/>
      <c r="N248" s="55"/>
    </row>
    <row r="249" spans="1:15" s="38" customFormat="1">
      <c r="A249" s="248" t="s">
        <v>237</v>
      </c>
      <c r="B249" s="248"/>
      <c r="C249" s="248"/>
      <c r="D249" s="248"/>
      <c r="E249" s="248"/>
      <c r="F249" s="248"/>
      <c r="G249" s="248"/>
      <c r="H249" s="248"/>
      <c r="I249" s="248"/>
      <c r="J249" s="248"/>
      <c r="K249" s="248"/>
      <c r="L249" s="248"/>
      <c r="M249" s="248"/>
    </row>
    <row r="250" spans="1:15" s="38" customFormat="1" hidden="1">
      <c r="A250" s="38" t="s">
        <v>238</v>
      </c>
      <c r="K250" s="50"/>
      <c r="L250" s="38" t="s">
        <v>114</v>
      </c>
      <c r="M250" s="50"/>
    </row>
    <row r="251" spans="1:15" s="38" customFormat="1">
      <c r="M251" s="39" t="s">
        <v>117</v>
      </c>
      <c r="N251" s="39" t="s">
        <v>118</v>
      </c>
      <c r="O251" s="39" t="s">
        <v>119</v>
      </c>
    </row>
    <row r="252" spans="1:15" s="38" customFormat="1" ht="30.75" customHeight="1">
      <c r="A252" s="40" t="s">
        <v>1</v>
      </c>
      <c r="B252" s="56" t="s">
        <v>239</v>
      </c>
      <c r="C252" s="40" t="s">
        <v>240</v>
      </c>
      <c r="D252" s="40">
        <v>25</v>
      </c>
      <c r="E252" s="40">
        <v>50</v>
      </c>
      <c r="F252" s="40">
        <v>100</v>
      </c>
      <c r="G252" s="40">
        <v>200</v>
      </c>
      <c r="H252" s="40">
        <v>500</v>
      </c>
      <c r="I252" s="40">
        <v>1000</v>
      </c>
      <c r="J252" s="40">
        <v>2000</v>
      </c>
      <c r="K252" s="40">
        <v>5000</v>
      </c>
      <c r="L252" s="40" t="s">
        <v>241</v>
      </c>
      <c r="M252" s="40">
        <f>$C$9</f>
        <v>1.927386</v>
      </c>
      <c r="N252" s="40">
        <f>IF(M252&lt;D252,15,IF(M252&gt;L252,L252,HLOOKUP(M252,D252:L252,1)))</f>
        <v>15</v>
      </c>
      <c r="O252" s="40">
        <f>IF(M252&lt;15,15,IF(M252&lt;25,25,IF(M252&gt;L252,L252,INDEX(D252:L252,MATCH(M252,D252:L252,1)+1))))</f>
        <v>15</v>
      </c>
    </row>
    <row r="253" spans="1:15" s="38" customFormat="1">
      <c r="A253" s="42">
        <v>1</v>
      </c>
      <c r="B253" s="43" t="s">
        <v>219</v>
      </c>
      <c r="C253" s="57">
        <v>1.9E-2</v>
      </c>
      <c r="D253" s="57">
        <v>1.7000000000000001E-2</v>
      </c>
      <c r="E253" s="57">
        <v>1.4999999999999999E-2</v>
      </c>
      <c r="F253" s="57">
        <v>1.2500000000000001E-2</v>
      </c>
      <c r="G253" s="57">
        <v>0.01</v>
      </c>
      <c r="H253" s="57">
        <v>7.4999999999999997E-3</v>
      </c>
      <c r="I253" s="57">
        <v>4.7000000000000002E-3</v>
      </c>
      <c r="J253" s="57">
        <v>2.5000000000000001E-3</v>
      </c>
      <c r="K253" s="57">
        <v>2E-3</v>
      </c>
      <c r="L253" s="57">
        <v>1E-3</v>
      </c>
      <c r="M253" s="45">
        <f>IF(O$252=N$252,N253,ROUND(N253-((N253-O253)/(O$252-N$252))*(M$252-N$252),3))</f>
        <v>1.9E-2</v>
      </c>
      <c r="N253" s="45">
        <f>IF(N$252=15,C253,HLOOKUP($N$252,$D$252:$L$253,2,TRUE))</f>
        <v>1.9E-2</v>
      </c>
      <c r="O253" s="45">
        <f>IF(O$252=15,C253,HLOOKUP($O$252,$D$252:$L$253,2,TRUE))</f>
        <v>1.9E-2</v>
      </c>
    </row>
    <row r="254" spans="1:15" s="38" customFormat="1" hidden="1">
      <c r="A254" s="38" t="s">
        <v>242</v>
      </c>
    </row>
    <row r="255" spans="1:15" s="38" customFormat="1"/>
    <row r="256" spans="1:15" s="38" customFormat="1" ht="22.5">
      <c r="A256" s="254" t="s">
        <v>243</v>
      </c>
      <c r="B256" s="254"/>
      <c r="C256" s="254"/>
      <c r="D256" s="254"/>
      <c r="E256" s="254"/>
      <c r="F256" s="254"/>
      <c r="G256" s="254"/>
      <c r="H256" s="254"/>
      <c r="I256" s="254"/>
      <c r="J256" s="254"/>
      <c r="K256" s="254"/>
      <c r="L256" s="254"/>
      <c r="M256" s="254"/>
      <c r="N256" s="254"/>
      <c r="O256" s="67" t="s">
        <v>299</v>
      </c>
    </row>
    <row r="257" spans="1:14" s="38" customFormat="1" ht="22.5">
      <c r="A257" s="254" t="s">
        <v>244</v>
      </c>
      <c r="B257" s="254"/>
      <c r="C257" s="254"/>
      <c r="D257" s="254"/>
      <c r="E257" s="254"/>
      <c r="F257" s="254"/>
      <c r="G257" s="254"/>
      <c r="H257" s="254"/>
      <c r="I257" s="254"/>
      <c r="J257" s="254"/>
      <c r="K257" s="254"/>
      <c r="L257" s="254"/>
      <c r="M257" s="254"/>
      <c r="N257" s="254"/>
    </row>
    <row r="258" spans="1:14" s="38" customFormat="1"/>
    <row r="259" spans="1:14" s="38" customFormat="1">
      <c r="A259" s="248" t="s">
        <v>245</v>
      </c>
      <c r="B259" s="248"/>
      <c r="C259" s="248"/>
      <c r="D259" s="248"/>
      <c r="E259" s="248"/>
      <c r="F259" s="248"/>
      <c r="G259" s="248"/>
      <c r="H259" s="248"/>
      <c r="I259" s="248"/>
      <c r="J259" s="248"/>
      <c r="K259" s="248"/>
      <c r="L259" s="248"/>
      <c r="M259" s="248"/>
    </row>
    <row r="260" spans="1:14" s="38" customFormat="1" hidden="1">
      <c r="A260" s="38" t="s">
        <v>246</v>
      </c>
      <c r="I260" s="38" t="s">
        <v>114</v>
      </c>
      <c r="K260" s="50"/>
      <c r="M260" s="50"/>
    </row>
    <row r="261" spans="1:14" s="38" customFormat="1">
      <c r="J261" s="39" t="s">
        <v>117</v>
      </c>
      <c r="K261" s="39" t="s">
        <v>118</v>
      </c>
      <c r="L261" s="39" t="s">
        <v>119</v>
      </c>
    </row>
    <row r="262" spans="1:14" s="38" customFormat="1" ht="30.75" customHeight="1">
      <c r="A262" s="40" t="s">
        <v>1</v>
      </c>
      <c r="B262" s="56" t="s">
        <v>247</v>
      </c>
      <c r="C262" s="40" t="s">
        <v>248</v>
      </c>
      <c r="D262" s="40">
        <v>10</v>
      </c>
      <c r="E262" s="40">
        <v>50</v>
      </c>
      <c r="F262" s="40">
        <v>100</v>
      </c>
      <c r="G262" s="40">
        <v>500</v>
      </c>
      <c r="H262" s="40">
        <v>1000</v>
      </c>
      <c r="I262" s="40" t="s">
        <v>249</v>
      </c>
      <c r="J262" s="40">
        <f>$C$9</f>
        <v>1.927386</v>
      </c>
      <c r="K262" s="40">
        <f>IF(J262&lt;D262,5,IF(J262&gt;I262,I262,HLOOKUP(J262,D262:I262,1)))</f>
        <v>5</v>
      </c>
      <c r="L262" s="40">
        <f>IF(J262&lt;5,5,IF(J262&lt;10,10,IF(J262&gt;I262,I262,INDEX(D262:I262,MATCH(J262,D262:I262,1)+1))))</f>
        <v>5</v>
      </c>
      <c r="M262" s="58"/>
      <c r="N262" s="52"/>
    </row>
    <row r="263" spans="1:14" s="38" customFormat="1">
      <c r="A263" s="42">
        <v>1</v>
      </c>
      <c r="B263" s="43" t="s">
        <v>250</v>
      </c>
      <c r="C263" s="44">
        <v>0.38</v>
      </c>
      <c r="D263" s="44">
        <v>0.26</v>
      </c>
      <c r="E263" s="44">
        <v>0.19</v>
      </c>
      <c r="F263" s="44">
        <v>0.15</v>
      </c>
      <c r="G263" s="44">
        <v>0.09</v>
      </c>
      <c r="H263" s="44">
        <v>0.06</v>
      </c>
      <c r="I263" s="44">
        <v>3.2000000000000001E-2</v>
      </c>
      <c r="J263" s="45">
        <f>IF(L$262=K$262,K263,ROUND(K263-((K263-L263)/(L$262-K$262))*(J$262-K$262),3))</f>
        <v>0.38</v>
      </c>
      <c r="K263" s="45">
        <f>IF(K$262=5,C263,HLOOKUP($K$262,$D$262:$I$263,2,TRUE))</f>
        <v>0.38</v>
      </c>
      <c r="L263" s="45">
        <f>IF(L$262=5,C263,HLOOKUP($L$262,$D$262:$I$263,2,TRUE))</f>
        <v>0.38</v>
      </c>
      <c r="M263" s="54"/>
      <c r="N263" s="54"/>
    </row>
    <row r="264" spans="1:14" s="38" customFormat="1" hidden="1">
      <c r="A264" s="59" t="s">
        <v>251</v>
      </c>
    </row>
    <row r="265" spans="1:14" s="38" customFormat="1"/>
    <row r="266" spans="1:14" s="38" customFormat="1">
      <c r="A266" s="248" t="s">
        <v>252</v>
      </c>
      <c r="B266" s="248"/>
      <c r="C266" s="248"/>
      <c r="D266" s="248"/>
      <c r="E266" s="248"/>
      <c r="F266" s="248"/>
      <c r="G266" s="248"/>
      <c r="H266" s="248"/>
      <c r="I266" s="248"/>
      <c r="J266" s="248"/>
      <c r="K266" s="248"/>
      <c r="L266" s="248"/>
      <c r="M266" s="248"/>
    </row>
    <row r="267" spans="1:14" s="38" customFormat="1" hidden="1">
      <c r="A267" s="38" t="s">
        <v>253</v>
      </c>
      <c r="I267" s="38" t="s">
        <v>114</v>
      </c>
      <c r="K267" s="50"/>
      <c r="M267" s="50"/>
    </row>
    <row r="268" spans="1:14" s="38" customFormat="1">
      <c r="J268" s="39" t="s">
        <v>117</v>
      </c>
      <c r="K268" s="39" t="s">
        <v>118</v>
      </c>
      <c r="L268" s="39" t="s">
        <v>119</v>
      </c>
    </row>
    <row r="269" spans="1:14" s="38" customFormat="1" ht="30.75" customHeight="1">
      <c r="A269" s="40" t="s">
        <v>1</v>
      </c>
      <c r="B269" s="56" t="s">
        <v>247</v>
      </c>
      <c r="C269" s="40" t="s">
        <v>248</v>
      </c>
      <c r="D269" s="40">
        <v>10</v>
      </c>
      <c r="E269" s="40">
        <v>50</v>
      </c>
      <c r="F269" s="40">
        <v>100</v>
      </c>
      <c r="G269" s="40">
        <v>500</v>
      </c>
      <c r="H269" s="40">
        <v>1000</v>
      </c>
      <c r="I269" s="40" t="s">
        <v>249</v>
      </c>
      <c r="J269" s="40">
        <f>$C$9</f>
        <v>1.927386</v>
      </c>
      <c r="K269" s="40">
        <f>IF(J269&lt;D269,5,IF(J269&gt;I269,I269,HLOOKUP(J269,D269:I269,1)))</f>
        <v>5</v>
      </c>
      <c r="L269" s="40">
        <f>IF(J269&lt;5,5,IF(J269&lt;10,10,IF(J269&gt;I269,I269,INDEX(D269:I269,MATCH(J269,D269:I269,1)+1))))</f>
        <v>5</v>
      </c>
      <c r="M269" s="58"/>
      <c r="N269" s="52"/>
    </row>
    <row r="270" spans="1:14" s="38" customFormat="1">
      <c r="A270" s="42">
        <v>1</v>
      </c>
      <c r="B270" s="43" t="s">
        <v>254</v>
      </c>
      <c r="C270" s="44">
        <v>0.64</v>
      </c>
      <c r="D270" s="44">
        <v>0.43</v>
      </c>
      <c r="E270" s="44">
        <v>0.3</v>
      </c>
      <c r="F270" s="44">
        <v>0.23</v>
      </c>
      <c r="G270" s="44">
        <v>0.13</v>
      </c>
      <c r="H270" s="44">
        <v>8.5999999999999993E-2</v>
      </c>
      <c r="I270" s="44">
        <v>4.5999999999999999E-2</v>
      </c>
      <c r="J270" s="45">
        <f>IF(L$269=K$269,K270,ROUND(K270-((K270-L270)/(L$269-K$269))*(J$269-K$269),3))</f>
        <v>0.64</v>
      </c>
      <c r="K270" s="45">
        <f>IF(K$269=5,C270,HLOOKUP($K$269,$D$269:$I$270,2,TRUE))</f>
        <v>0.64</v>
      </c>
      <c r="L270" s="45">
        <f>IF(L$269=5,C270,HLOOKUP($L$269,$D$269:$I$270,2,TRUE))</f>
        <v>0.64</v>
      </c>
    </row>
    <row r="271" spans="1:14" s="38" customFormat="1" hidden="1">
      <c r="A271" s="59" t="s">
        <v>255</v>
      </c>
    </row>
    <row r="272" spans="1:14" s="38" customFormat="1"/>
    <row r="273" spans="1:15" s="38" customFormat="1" ht="22.5">
      <c r="A273" s="254" t="s">
        <v>256</v>
      </c>
      <c r="B273" s="254"/>
      <c r="C273" s="254"/>
      <c r="D273" s="254"/>
      <c r="E273" s="254"/>
      <c r="F273" s="254"/>
      <c r="G273" s="254"/>
      <c r="H273" s="254"/>
      <c r="I273" s="254"/>
      <c r="J273" s="254"/>
      <c r="K273" s="254"/>
      <c r="L273" s="254"/>
      <c r="M273" s="254"/>
      <c r="N273" s="254"/>
      <c r="O273" s="67" t="s">
        <v>299</v>
      </c>
    </row>
    <row r="274" spans="1:15" s="38" customFormat="1" ht="22.5">
      <c r="A274" s="254" t="s">
        <v>257</v>
      </c>
      <c r="B274" s="254"/>
      <c r="C274" s="254"/>
      <c r="D274" s="254"/>
      <c r="E274" s="254"/>
      <c r="F274" s="254"/>
      <c r="G274" s="254"/>
      <c r="H274" s="254"/>
      <c r="I274" s="254"/>
      <c r="J274" s="254"/>
      <c r="K274" s="254"/>
      <c r="L274" s="254"/>
      <c r="M274" s="254"/>
      <c r="N274" s="254"/>
    </row>
    <row r="275" spans="1:15" s="38" customFormat="1"/>
    <row r="276" spans="1:15" s="38" customFormat="1">
      <c r="A276" s="248"/>
      <c r="B276" s="248"/>
      <c r="C276" s="248"/>
      <c r="D276" s="248"/>
      <c r="E276" s="248"/>
      <c r="F276" s="248"/>
      <c r="G276" s="248"/>
      <c r="H276" s="248"/>
      <c r="I276" s="248"/>
      <c r="J276" s="248"/>
      <c r="K276" s="248"/>
      <c r="L276" s="248"/>
      <c r="M276" s="248"/>
      <c r="N276" s="248"/>
      <c r="O276" s="248"/>
    </row>
    <row r="277" spans="1:15" s="38" customFormat="1">
      <c r="A277" s="248" t="s">
        <v>258</v>
      </c>
      <c r="B277" s="248"/>
      <c r="C277" s="60"/>
      <c r="D277" s="60"/>
      <c r="E277" s="60"/>
      <c r="F277" s="60"/>
      <c r="G277" s="60"/>
      <c r="H277" s="60"/>
      <c r="I277" s="60"/>
      <c r="J277" s="60"/>
      <c r="K277" s="60"/>
      <c r="L277" s="60"/>
      <c r="M277" s="60"/>
      <c r="N277" s="60"/>
      <c r="O277" s="60"/>
    </row>
    <row r="278" spans="1:15" s="38" customFormat="1">
      <c r="I278" s="249" t="s">
        <v>112</v>
      </c>
      <c r="J278" s="249"/>
      <c r="K278" s="249"/>
      <c r="L278" s="249"/>
      <c r="M278" s="50"/>
      <c r="N278" s="50"/>
    </row>
    <row r="279" spans="1:15" s="38" customFormat="1" hidden="1">
      <c r="A279" s="38" t="s">
        <v>259</v>
      </c>
      <c r="K279" s="38" t="s">
        <v>114</v>
      </c>
    </row>
    <row r="280" spans="1:15" s="38" customFormat="1" ht="33" customHeight="1">
      <c r="A280" s="250" t="s">
        <v>1</v>
      </c>
      <c r="B280" s="250" t="s">
        <v>115</v>
      </c>
      <c r="C280" s="251" t="s">
        <v>260</v>
      </c>
      <c r="D280" s="252"/>
      <c r="E280" s="252"/>
      <c r="F280" s="252"/>
      <c r="G280" s="252"/>
      <c r="H280" s="252"/>
      <c r="I280" s="252"/>
      <c r="J280" s="252"/>
      <c r="K280" s="252"/>
      <c r="L280" s="39" t="s">
        <v>117</v>
      </c>
      <c r="M280" s="39" t="s">
        <v>118</v>
      </c>
      <c r="N280" s="39" t="s">
        <v>119</v>
      </c>
    </row>
    <row r="281" spans="1:15" s="38" customFormat="1">
      <c r="A281" s="250"/>
      <c r="B281" s="250"/>
      <c r="C281" s="40" t="s">
        <v>128</v>
      </c>
      <c r="D281" s="40">
        <v>50</v>
      </c>
      <c r="E281" s="40">
        <v>100</v>
      </c>
      <c r="F281" s="40">
        <v>200</v>
      </c>
      <c r="G281" s="40">
        <v>500</v>
      </c>
      <c r="H281" s="41">
        <v>1000</v>
      </c>
      <c r="I281" s="41">
        <v>2000</v>
      </c>
      <c r="J281" s="41">
        <v>5000</v>
      </c>
      <c r="K281" s="41">
        <v>8000</v>
      </c>
      <c r="L281" s="39">
        <f>$C$4</f>
        <v>1.5018819002089998</v>
      </c>
      <c r="M281" s="39">
        <f>IF(L281&lt;D281,15,IF(L281&gt;K281,K281,HLOOKUP(L281,D281:K281,1)))</f>
        <v>15</v>
      </c>
      <c r="N281" s="39">
        <f>IF(L281&lt;15,15,IF(L281&lt;50,50,IF(L281&gt;K281,K281,INDEX(D281:K281,MATCH(L281,D281:K281,1)+1))))</f>
        <v>15</v>
      </c>
    </row>
    <row r="282" spans="1:15" s="38" customFormat="1" ht="30.75" customHeight="1">
      <c r="A282" s="245" t="s">
        <v>261</v>
      </c>
      <c r="B282" s="246"/>
      <c r="C282" s="246"/>
      <c r="D282" s="246"/>
      <c r="E282" s="246"/>
      <c r="F282" s="246"/>
      <c r="G282" s="246"/>
      <c r="H282" s="246"/>
      <c r="I282" s="246"/>
      <c r="J282" s="246"/>
      <c r="K282" s="247"/>
      <c r="L282" s="43"/>
      <c r="M282" s="43"/>
      <c r="N282" s="43"/>
    </row>
    <row r="283" spans="1:15" s="38" customFormat="1">
      <c r="A283" s="42" t="s">
        <v>19</v>
      </c>
      <c r="B283" s="43" t="s">
        <v>121</v>
      </c>
      <c r="C283" s="44">
        <v>0.16500000000000001</v>
      </c>
      <c r="D283" s="44">
        <v>0.11</v>
      </c>
      <c r="E283" s="44">
        <v>8.5000000000000006E-2</v>
      </c>
      <c r="F283" s="44">
        <v>6.5000000000000002E-2</v>
      </c>
      <c r="G283" s="44">
        <v>0.05</v>
      </c>
      <c r="H283" s="44">
        <v>4.1000000000000002E-2</v>
      </c>
      <c r="I283" s="44">
        <v>2.9000000000000001E-2</v>
      </c>
      <c r="J283" s="44">
        <v>2.1999999999999999E-2</v>
      </c>
      <c r="K283" s="44">
        <v>1.9E-2</v>
      </c>
      <c r="L283" s="45">
        <f>IF(N$281=M$281,M283,ROUND(M283-((M283-N283)/(N$281-M$281))*(L$281-M$281),3))</f>
        <v>0.16500000000000001</v>
      </c>
      <c r="M283" s="45">
        <f>IF(M$281=15,C283,HLOOKUP($M$281,$D$281:$K$299,3,TRUE))</f>
        <v>0.16500000000000001</v>
      </c>
      <c r="N283" s="45">
        <f>IF(N$281=15,C283,HLOOKUP($N$281,$D$281:$K$299,3,TRUE))</f>
        <v>0.16500000000000001</v>
      </c>
    </row>
    <row r="284" spans="1:15" s="38" customFormat="1">
      <c r="A284" s="42" t="s">
        <v>20</v>
      </c>
      <c r="B284" s="43" t="s">
        <v>122</v>
      </c>
      <c r="C284" s="44">
        <v>0.19</v>
      </c>
      <c r="D284" s="44">
        <v>0.126</v>
      </c>
      <c r="E284" s="44">
        <v>9.7000000000000003E-2</v>
      </c>
      <c r="F284" s="44">
        <v>7.4999999999999997E-2</v>
      </c>
      <c r="G284" s="44">
        <v>5.8000000000000003E-2</v>
      </c>
      <c r="H284" s="44">
        <v>4.3999999999999997E-2</v>
      </c>
      <c r="I284" s="44">
        <v>3.5000000000000003E-2</v>
      </c>
      <c r="J284" s="44">
        <v>2.5999999999999999E-2</v>
      </c>
      <c r="K284" s="44">
        <v>2.1999999999999999E-2</v>
      </c>
      <c r="L284" s="45">
        <f>IF(N$281=M$281,M284,ROUND(M284-((M284-N284)/(N$281-M$281))*(L$281-M$281),3))</f>
        <v>0.19</v>
      </c>
      <c r="M284" s="45">
        <f>IF(M$281=15,C284,HLOOKUP($M$281,$D$281:$K$299,4,TRUE))</f>
        <v>0.19</v>
      </c>
      <c r="N284" s="45">
        <f>IF(N$281=15,C284,HLOOKUP($N$281,$D$281:$K$299,4,TRUE))</f>
        <v>0.19</v>
      </c>
    </row>
    <row r="285" spans="1:15" s="38" customFormat="1">
      <c r="A285" s="42" t="s">
        <v>56</v>
      </c>
      <c r="B285" s="43" t="s">
        <v>123</v>
      </c>
      <c r="C285" s="44">
        <v>0.109</v>
      </c>
      <c r="D285" s="44">
        <v>7.1999999999999995E-2</v>
      </c>
      <c r="E285" s="44">
        <v>5.5E-2</v>
      </c>
      <c r="F285" s="44">
        <v>4.2999999999999997E-2</v>
      </c>
      <c r="G285" s="44">
        <v>3.3000000000000002E-2</v>
      </c>
      <c r="H285" s="44">
        <v>2.5000000000000001E-2</v>
      </c>
      <c r="I285" s="44">
        <v>2.1000000000000001E-2</v>
      </c>
      <c r="J285" s="44">
        <v>1.6E-2</v>
      </c>
      <c r="K285" s="44">
        <v>1.4E-2</v>
      </c>
      <c r="L285" s="45">
        <f>IF(N$281=M$281,M285,ROUND(M285-((M285-N285)/(N$281-M$281))*(L$281-M$281),3))</f>
        <v>0.109</v>
      </c>
      <c r="M285" s="45">
        <f>IF(M$281=15,C285,HLOOKUP($M$281,$D$281:$K$299,5,TRUE))</f>
        <v>0.109</v>
      </c>
      <c r="N285" s="45">
        <f>IF(N$281=15,C285,HLOOKUP($N$281,$D$281:$K$299,5,TRUE))</f>
        <v>0.109</v>
      </c>
    </row>
    <row r="286" spans="1:15" s="38" customFormat="1" ht="30">
      <c r="A286" s="42" t="s">
        <v>100</v>
      </c>
      <c r="B286" s="61" t="s">
        <v>124</v>
      </c>
      <c r="C286" s="44">
        <v>0.121</v>
      </c>
      <c r="D286" s="44">
        <v>0.08</v>
      </c>
      <c r="E286" s="44">
        <v>6.0999999999999999E-2</v>
      </c>
      <c r="F286" s="44">
        <v>4.8000000000000001E-2</v>
      </c>
      <c r="G286" s="44">
        <v>3.6999999999999998E-2</v>
      </c>
      <c r="H286" s="44">
        <v>2.8000000000000001E-2</v>
      </c>
      <c r="I286" s="44">
        <v>2.3E-2</v>
      </c>
      <c r="J286" s="44">
        <v>1.7000000000000001E-2</v>
      </c>
      <c r="K286" s="44">
        <v>1.4999999999999999E-2</v>
      </c>
      <c r="L286" s="45">
        <f>IF(N$281=M$281,M286,ROUND(M286-((M286-N286)/(N$281-M$281))*(L$281-M$281),3))</f>
        <v>0.121</v>
      </c>
      <c r="M286" s="45">
        <f>IF(M$281=15,C286,HLOOKUP($M$281,$D$281:$K$299,6,TRUE))</f>
        <v>0.121</v>
      </c>
      <c r="N286" s="45">
        <f>IF(N$281=15,C286,HLOOKUP($N$281,$D$281:$K$299,6,TRUE))</f>
        <v>0.121</v>
      </c>
    </row>
    <row r="287" spans="1:15" s="38" customFormat="1">
      <c r="A287" s="42" t="s">
        <v>262</v>
      </c>
      <c r="B287" s="43" t="s">
        <v>125</v>
      </c>
      <c r="C287" s="44">
        <v>0.126</v>
      </c>
      <c r="D287" s="44">
        <v>8.5000000000000006E-2</v>
      </c>
      <c r="E287" s="44">
        <v>6.5000000000000002E-2</v>
      </c>
      <c r="F287" s="44">
        <v>0.05</v>
      </c>
      <c r="G287" s="44">
        <v>3.9E-2</v>
      </c>
      <c r="H287" s="44">
        <v>0.03</v>
      </c>
      <c r="I287" s="44">
        <v>2.5999999999999999E-2</v>
      </c>
      <c r="J287" s="44">
        <v>1.9E-2</v>
      </c>
      <c r="K287" s="44">
        <v>1.7000000000000001E-2</v>
      </c>
      <c r="L287" s="45">
        <f>IF(N$281=M$281,M287,ROUND(M287-((M287-N287)/(N$281-M$281))*(L$281-M$281),3))</f>
        <v>0.126</v>
      </c>
      <c r="M287" s="45">
        <f>IF(M$281=15,C287,HLOOKUP($M$281,$D$281:$K$299,7,TRUE))</f>
        <v>0.126</v>
      </c>
      <c r="N287" s="45">
        <f>IF(N$281=15,C287,HLOOKUP($N$281,$D$281:$K$299,7,TRUE))</f>
        <v>0.126</v>
      </c>
    </row>
    <row r="288" spans="1:15" s="38" customFormat="1" ht="31.5" customHeight="1">
      <c r="A288" s="255" t="s">
        <v>263</v>
      </c>
      <c r="B288" s="255"/>
      <c r="C288" s="255"/>
      <c r="D288" s="255"/>
      <c r="E288" s="255"/>
      <c r="F288" s="255"/>
      <c r="G288" s="255"/>
      <c r="H288" s="255"/>
      <c r="I288" s="255"/>
      <c r="J288" s="255"/>
      <c r="K288" s="255"/>
      <c r="L288" s="43"/>
      <c r="M288" s="43"/>
      <c r="N288" s="43"/>
    </row>
    <row r="289" spans="1:15" s="38" customFormat="1">
      <c r="A289" s="42" t="s">
        <v>23</v>
      </c>
      <c r="B289" s="43" t="s">
        <v>121</v>
      </c>
      <c r="C289" s="57">
        <v>4.9500000000000002E-2</v>
      </c>
      <c r="D289" s="57">
        <v>3.3000000000000002E-2</v>
      </c>
      <c r="E289" s="57">
        <v>2.5499999999999998E-2</v>
      </c>
      <c r="F289" s="57">
        <v>1.95E-2</v>
      </c>
      <c r="G289" s="57">
        <v>1.4999999999999999E-2</v>
      </c>
      <c r="H289" s="57">
        <v>1.23E-2</v>
      </c>
      <c r="I289" s="57">
        <v>8.6999999999999994E-3</v>
      </c>
      <c r="J289" s="57">
        <v>6.6E-3</v>
      </c>
      <c r="K289" s="57">
        <v>5.7000000000000002E-3</v>
      </c>
      <c r="L289" s="62">
        <f>IF(N$281=M$281,M289,ROUND(M289-((M289-N289)/(N$281-M$281))*(L$281-M$281),4))</f>
        <v>4.9500000000000002E-2</v>
      </c>
      <c r="M289" s="62">
        <f>IF(M$281=15,C289,HLOOKUP($M$281,$D$281:$K$299,9,TRUE))</f>
        <v>4.9500000000000002E-2</v>
      </c>
      <c r="N289" s="62">
        <f>IF(N$281=15,C289,HLOOKUP($N$281,$D$281:$K$299,9,TRUE))</f>
        <v>4.9500000000000002E-2</v>
      </c>
    </row>
    <row r="290" spans="1:15" s="38" customFormat="1">
      <c r="A290" s="42" t="s">
        <v>168</v>
      </c>
      <c r="B290" s="43" t="s">
        <v>122</v>
      </c>
      <c r="C290" s="57">
        <v>5.7000000000000002E-2</v>
      </c>
      <c r="D290" s="57">
        <v>3.78E-2</v>
      </c>
      <c r="E290" s="57">
        <v>2.9100000000000001E-2</v>
      </c>
      <c r="F290" s="57">
        <v>2.5499999999999998E-2</v>
      </c>
      <c r="G290" s="57">
        <v>1.7399999999999999E-2</v>
      </c>
      <c r="H290" s="57">
        <v>1.32E-2</v>
      </c>
      <c r="I290" s="57">
        <v>1.0500000000000001E-2</v>
      </c>
      <c r="J290" s="57">
        <v>7.7999999999999996E-3</v>
      </c>
      <c r="K290" s="57">
        <v>6.6E-3</v>
      </c>
      <c r="L290" s="62">
        <f>IF(N$281=M$281,M290,ROUND(M290-((M290-N290)/(N$281-M$281))*(L$281-M$281),4))</f>
        <v>5.7000000000000002E-2</v>
      </c>
      <c r="M290" s="62">
        <f>IF(M$281=15,C290,HLOOKUP($M$281,$D$281:$K$299,10,TRUE))</f>
        <v>5.7000000000000002E-2</v>
      </c>
      <c r="N290" s="62">
        <f>IF(N$281=15,C290,HLOOKUP($N$281,$D$281:$K$299,10,TRUE))</f>
        <v>5.7000000000000002E-2</v>
      </c>
    </row>
    <row r="291" spans="1:15" s="38" customFormat="1">
      <c r="A291" s="42" t="s">
        <v>162</v>
      </c>
      <c r="B291" s="43" t="s">
        <v>123</v>
      </c>
      <c r="C291" s="57">
        <v>3.27E-2</v>
      </c>
      <c r="D291" s="57">
        <v>2.1600000000000001E-2</v>
      </c>
      <c r="E291" s="57">
        <v>1.6500000000000001E-2</v>
      </c>
      <c r="F291" s="57">
        <v>1.29E-2</v>
      </c>
      <c r="G291" s="57">
        <v>9.9000000000000008E-3</v>
      </c>
      <c r="H291" s="57">
        <v>7.4999999999999997E-3</v>
      </c>
      <c r="I291" s="57">
        <v>6.3E-3</v>
      </c>
      <c r="J291" s="57">
        <v>4.7999999999999996E-3</v>
      </c>
      <c r="K291" s="57">
        <v>4.1999999999999997E-3</v>
      </c>
      <c r="L291" s="62">
        <f>IF(N$281=M$281,M291,ROUND(M291-((M291-N291)/(N$281-M$281))*(L$281-M$281),4))</f>
        <v>3.27E-2</v>
      </c>
      <c r="M291" s="62">
        <f>IF(M$281=15,C291,HLOOKUP($M$281,$D$281:$K$299,11,TRUE))</f>
        <v>3.27E-2</v>
      </c>
      <c r="N291" s="62">
        <f>IF(N$281=15,C291,HLOOKUP($N$281,$D$281:$K$299,11,TRUE))</f>
        <v>3.27E-2</v>
      </c>
    </row>
    <row r="292" spans="1:15" s="38" customFormat="1" ht="30">
      <c r="A292" s="42" t="s">
        <v>264</v>
      </c>
      <c r="B292" s="61" t="s">
        <v>124</v>
      </c>
      <c r="C292" s="57">
        <v>3.6299999999999999E-2</v>
      </c>
      <c r="D292" s="57">
        <v>2.4E-2</v>
      </c>
      <c r="E292" s="57">
        <v>1.83E-2</v>
      </c>
      <c r="F292" s="57">
        <v>1.44E-2</v>
      </c>
      <c r="G292" s="57">
        <v>1.11E-2</v>
      </c>
      <c r="H292" s="57">
        <v>8.3999999999999995E-3</v>
      </c>
      <c r="I292" s="57">
        <v>6.8999999999999999E-3</v>
      </c>
      <c r="J292" s="57">
        <v>5.1000000000000004E-3</v>
      </c>
      <c r="K292" s="57">
        <v>4.3E-3</v>
      </c>
      <c r="L292" s="62">
        <f>IF(N$281=M$281,M292,ROUND(M292-((M292-N292)/(N$281-M$281))*(L$281-M$281),4))</f>
        <v>3.6299999999999999E-2</v>
      </c>
      <c r="M292" s="62">
        <f>IF(M$281=15,C292,HLOOKUP($M$281,$D$281:$K$299,12,TRUE))</f>
        <v>3.6299999999999999E-2</v>
      </c>
      <c r="N292" s="62">
        <f>IF(N$281=15,C292,HLOOKUP($N$281,$D$281:$K$299,12,TRUE))</f>
        <v>3.6299999999999999E-2</v>
      </c>
    </row>
    <row r="293" spans="1:15" s="38" customFormat="1">
      <c r="A293" s="42" t="s">
        <v>265</v>
      </c>
      <c r="B293" s="43" t="s">
        <v>125</v>
      </c>
      <c r="C293" s="57">
        <v>3.78E-2</v>
      </c>
      <c r="D293" s="57">
        <v>2.5499999999999998E-2</v>
      </c>
      <c r="E293" s="57">
        <v>1.95E-2</v>
      </c>
      <c r="F293" s="57">
        <v>1.4999999999999999E-2</v>
      </c>
      <c r="G293" s="57">
        <v>1.17E-2</v>
      </c>
      <c r="H293" s="57">
        <v>8.9999999999999993E-3</v>
      </c>
      <c r="I293" s="57">
        <v>7.8E-2</v>
      </c>
      <c r="J293" s="57">
        <v>5.7000000000000002E-3</v>
      </c>
      <c r="K293" s="57">
        <v>5.1000000000000004E-3</v>
      </c>
      <c r="L293" s="62">
        <f>IF(N$281=M$281,M293,ROUND(M293-((M293-N293)/(N$281-M$281))*(L$281-M$281),4))</f>
        <v>3.78E-2</v>
      </c>
      <c r="M293" s="62">
        <f>IF(M$281=15,C293,HLOOKUP($M$281,$D$281:$K$299,13,TRUE))</f>
        <v>3.78E-2</v>
      </c>
      <c r="N293" s="62">
        <f>IF(N$281=15,C293,HLOOKUP($N$281,$D$281:$K$299,13,TRUE))</f>
        <v>3.78E-2</v>
      </c>
    </row>
    <row r="294" spans="1:15" s="38" customFormat="1">
      <c r="A294" s="255" t="s">
        <v>266</v>
      </c>
      <c r="B294" s="255"/>
      <c r="C294" s="255"/>
      <c r="D294" s="255"/>
      <c r="E294" s="255"/>
      <c r="F294" s="255"/>
      <c r="G294" s="255"/>
      <c r="H294" s="255"/>
      <c r="I294" s="255"/>
      <c r="J294" s="255"/>
      <c r="K294" s="255"/>
      <c r="L294" s="43"/>
      <c r="M294" s="43"/>
      <c r="N294" s="43"/>
    </row>
    <row r="295" spans="1:15" s="38" customFormat="1">
      <c r="A295" s="42" t="s">
        <v>28</v>
      </c>
      <c r="B295" s="43" t="s">
        <v>121</v>
      </c>
      <c r="C295" s="44">
        <v>9.9000000000000005E-2</v>
      </c>
      <c r="D295" s="44">
        <v>6.6000000000000003E-2</v>
      </c>
      <c r="E295" s="44">
        <v>5.0999999999999997E-2</v>
      </c>
      <c r="F295" s="44">
        <v>3.9E-2</v>
      </c>
      <c r="G295" s="44">
        <v>0.03</v>
      </c>
      <c r="H295" s="44">
        <v>2.4E-2</v>
      </c>
      <c r="I295" s="44">
        <v>1.7000000000000001E-2</v>
      </c>
      <c r="J295" s="44">
        <v>1.2999999999999999E-2</v>
      </c>
      <c r="K295" s="44">
        <v>1.2E-2</v>
      </c>
      <c r="L295" s="62">
        <f>IF(N$281=M$281,M295,ROUND(M295-((M295-N295)/(N$281-M$281))*(L$281-M$281),4))</f>
        <v>9.9000000000000005E-2</v>
      </c>
      <c r="M295" s="62">
        <f>IF(M$281=15,C295,HLOOKUP($M$281,$D$281:$K$299,15,TRUE))</f>
        <v>9.9000000000000005E-2</v>
      </c>
      <c r="N295" s="62">
        <f>IF(N$281=15,C295,HLOOKUP($N$281,$D$281:$K$299,15,TRUE))</f>
        <v>9.9000000000000005E-2</v>
      </c>
    </row>
    <row r="296" spans="1:15" s="38" customFormat="1">
      <c r="A296" s="42" t="s">
        <v>31</v>
      </c>
      <c r="B296" s="43" t="s">
        <v>122</v>
      </c>
      <c r="C296" s="44">
        <v>0.114</v>
      </c>
      <c r="D296" s="44">
        <v>7.5999999999999998E-2</v>
      </c>
      <c r="E296" s="44">
        <v>5.8000000000000003E-2</v>
      </c>
      <c r="F296" s="44">
        <v>4.4999999999999998E-2</v>
      </c>
      <c r="G296" s="44">
        <v>3.5000000000000003E-2</v>
      </c>
      <c r="H296" s="44">
        <v>2.5999999999999999E-2</v>
      </c>
      <c r="I296" s="44">
        <v>2.1000000000000001E-2</v>
      </c>
      <c r="J296" s="44">
        <v>1.6E-2</v>
      </c>
      <c r="K296" s="44">
        <v>1.2999999999999999E-2</v>
      </c>
      <c r="L296" s="62">
        <f>IF(N$281=M$281,M296,ROUND(M296-((M296-N296)/(N$281-M$281))*(L$281-M$281),4))</f>
        <v>0.114</v>
      </c>
      <c r="M296" s="62">
        <f>IF(M$281=15,C296,HLOOKUP($M$281,$D$281:$K$299,16,TRUE))</f>
        <v>0.114</v>
      </c>
      <c r="N296" s="62">
        <f>IF(N$281=15,C296,HLOOKUP($N$281,$D$281:$K$299,16,TRUE))</f>
        <v>0.114</v>
      </c>
    </row>
    <row r="297" spans="1:15" s="38" customFormat="1">
      <c r="A297" s="42" t="s">
        <v>33</v>
      </c>
      <c r="B297" s="43" t="s">
        <v>123</v>
      </c>
      <c r="C297" s="44">
        <v>6.5000000000000002E-2</v>
      </c>
      <c r="D297" s="44">
        <v>4.2999999999999997E-2</v>
      </c>
      <c r="E297" s="44">
        <v>3.3000000000000002E-2</v>
      </c>
      <c r="F297" s="44">
        <v>2.5999999999999999E-2</v>
      </c>
      <c r="G297" s="44">
        <v>0.02</v>
      </c>
      <c r="H297" s="44">
        <v>1.4999999999999999E-2</v>
      </c>
      <c r="I297" s="44">
        <v>1.2E-2</v>
      </c>
      <c r="J297" s="44">
        <v>0.01</v>
      </c>
      <c r="K297" s="44">
        <v>8.0000000000000002E-3</v>
      </c>
      <c r="L297" s="62">
        <f>IF(N$281=M$281,M297,ROUND(M297-((M297-N297)/(N$281-M$281))*(L$281-M$281),4))</f>
        <v>6.5000000000000002E-2</v>
      </c>
      <c r="M297" s="62">
        <f>IF(M$281=15,C297,HLOOKUP($M$281,$D$281:$K$299,17,TRUE))</f>
        <v>6.5000000000000002E-2</v>
      </c>
      <c r="N297" s="62">
        <f>IF(N$281=15,C297,HLOOKUP($N$281,$D$281:$K$299,17,TRUE))</f>
        <v>6.5000000000000002E-2</v>
      </c>
    </row>
    <row r="298" spans="1:15" s="38" customFormat="1" ht="30">
      <c r="A298" s="42" t="s">
        <v>36</v>
      </c>
      <c r="B298" s="61" t="s">
        <v>124</v>
      </c>
      <c r="C298" s="44">
        <v>7.1999999999999995E-2</v>
      </c>
      <c r="D298" s="44">
        <v>4.8000000000000001E-2</v>
      </c>
      <c r="E298" s="44">
        <v>3.5999999999999997E-2</v>
      </c>
      <c r="F298" s="44">
        <v>2.9000000000000001E-2</v>
      </c>
      <c r="G298" s="44">
        <v>2.1999999999999999E-2</v>
      </c>
      <c r="H298" s="44">
        <v>1.7000000000000001E-2</v>
      </c>
      <c r="I298" s="44">
        <v>1.4E-2</v>
      </c>
      <c r="J298" s="44">
        <v>0.01</v>
      </c>
      <c r="K298" s="44">
        <v>8.9999999999999993E-3</v>
      </c>
      <c r="L298" s="62">
        <f>IF(N$281=M$281,M298,ROUND(M298-((M298-N298)/(N$281-M$281))*(L$281-M$281),4))</f>
        <v>7.1999999999999995E-2</v>
      </c>
      <c r="M298" s="62">
        <f>IF(M$281=15,C298,HLOOKUP($M$281,$D$281:$K$299,18,TRUE))</f>
        <v>7.1999999999999995E-2</v>
      </c>
      <c r="N298" s="62">
        <f>IF(N$281=15,C298,HLOOKUP($N$281,$D$281:$K$299,18,TRUE))</f>
        <v>7.1999999999999995E-2</v>
      </c>
    </row>
    <row r="299" spans="1:15" s="38" customFormat="1">
      <c r="A299" s="42" t="s">
        <v>39</v>
      </c>
      <c r="B299" s="43" t="s">
        <v>125</v>
      </c>
      <c r="C299" s="44">
        <v>7.5999999999999998E-2</v>
      </c>
      <c r="D299" s="44">
        <v>5.0999999999999997E-2</v>
      </c>
      <c r="E299" s="44">
        <v>3.9E-2</v>
      </c>
      <c r="F299" s="44">
        <v>0.03</v>
      </c>
      <c r="G299" s="44">
        <v>2.4E-2</v>
      </c>
      <c r="H299" s="44">
        <v>1.7999999999999999E-2</v>
      </c>
      <c r="I299" s="44">
        <v>1.6E-2</v>
      </c>
      <c r="J299" s="44">
        <v>1.2E-2</v>
      </c>
      <c r="K299" s="44">
        <v>0.01</v>
      </c>
      <c r="L299" s="62">
        <f>IF(N$281=M$281,M299,ROUND(M299-((M299-N299)/(N$281-M$281))*(L$281-M$281),4))</f>
        <v>7.5999999999999998E-2</v>
      </c>
      <c r="M299" s="62">
        <f>IF(M$281=15,C299,HLOOKUP($M$281,$D$281:$K$299,19,TRUE))</f>
        <v>7.5999999999999998E-2</v>
      </c>
      <c r="N299" s="62">
        <f>IF(N$281=15,C299,HLOOKUP($N$281,$D$281:$K$299,19,TRUE))</f>
        <v>7.5999999999999998E-2</v>
      </c>
    </row>
    <row r="300" spans="1:15" s="38" customFormat="1" hidden="1">
      <c r="A300" s="38" t="s">
        <v>267</v>
      </c>
      <c r="L300" s="45">
        <f>IF(N$281=M$281,M300,ROUND(M300-((M300-N300)/(N$281-M$281))*(L$281-M$281),3))</f>
        <v>0</v>
      </c>
      <c r="M300" s="45">
        <f>IF(M$281=15,C300,HLOOKUP($M$281,$D$281:$K$287,6,TRUE))</f>
        <v>0</v>
      </c>
    </row>
    <row r="301" spans="1:15" s="38" customFormat="1"/>
    <row r="302" spans="1:15" s="38" customFormat="1">
      <c r="A302" s="248" t="s">
        <v>268</v>
      </c>
      <c r="B302" s="248"/>
      <c r="C302" s="60"/>
      <c r="D302" s="60"/>
      <c r="E302" s="60"/>
      <c r="F302" s="60"/>
      <c r="G302" s="60"/>
      <c r="H302" s="60"/>
      <c r="I302" s="60"/>
      <c r="J302" s="60"/>
      <c r="K302" s="60"/>
      <c r="L302" s="60"/>
      <c r="M302" s="60"/>
      <c r="N302" s="60"/>
      <c r="O302" s="60"/>
    </row>
    <row r="303" spans="1:15" s="38" customFormat="1">
      <c r="I303" s="249" t="s">
        <v>112</v>
      </c>
      <c r="J303" s="249"/>
      <c r="K303" s="249"/>
      <c r="L303" s="249"/>
      <c r="M303" s="50"/>
      <c r="N303" s="50"/>
    </row>
    <row r="304" spans="1:15" s="38" customFormat="1" hidden="1">
      <c r="A304" s="38" t="s">
        <v>269</v>
      </c>
      <c r="K304" s="38" t="s">
        <v>114</v>
      </c>
    </row>
    <row r="305" spans="1:14" s="38" customFormat="1" ht="33" customHeight="1">
      <c r="A305" s="250" t="s">
        <v>1</v>
      </c>
      <c r="B305" s="250" t="s">
        <v>115</v>
      </c>
      <c r="C305" s="251" t="s">
        <v>260</v>
      </c>
      <c r="D305" s="252"/>
      <c r="E305" s="252"/>
      <c r="F305" s="252"/>
      <c r="G305" s="252"/>
      <c r="H305" s="252"/>
      <c r="I305" s="252"/>
      <c r="J305" s="252"/>
      <c r="K305" s="252"/>
      <c r="L305" s="39" t="s">
        <v>117</v>
      </c>
      <c r="M305" s="39" t="s">
        <v>118</v>
      </c>
      <c r="N305" s="39" t="s">
        <v>119</v>
      </c>
    </row>
    <row r="306" spans="1:14" s="38" customFormat="1">
      <c r="A306" s="250"/>
      <c r="B306" s="250"/>
      <c r="C306" s="40" t="s">
        <v>128</v>
      </c>
      <c r="D306" s="40">
        <v>50</v>
      </c>
      <c r="E306" s="40">
        <v>100</v>
      </c>
      <c r="F306" s="40">
        <v>200</v>
      </c>
      <c r="G306" s="40">
        <v>500</v>
      </c>
      <c r="H306" s="41">
        <v>1000</v>
      </c>
      <c r="I306" s="41">
        <v>2000</v>
      </c>
      <c r="J306" s="41">
        <v>5000</v>
      </c>
      <c r="K306" s="41">
        <v>8000</v>
      </c>
      <c r="L306" s="39">
        <f>$C$4</f>
        <v>1.5018819002089998</v>
      </c>
      <c r="M306" s="39">
        <f>IF(L306&lt;D306,15,IF(L306&gt;K306,K306,HLOOKUP(L306,D306:K306,1)))</f>
        <v>15</v>
      </c>
      <c r="N306" s="39">
        <f>IF(L306&lt;15,15,IF(L306&lt;50,50,IF(L306&gt;K306,K306,INDEX(D306:K306,MATCH(L306,D306:K306,1)+1))))</f>
        <v>15</v>
      </c>
    </row>
    <row r="307" spans="1:14" s="38" customFormat="1" ht="32.25" customHeight="1">
      <c r="A307" s="245" t="s">
        <v>261</v>
      </c>
      <c r="B307" s="246"/>
      <c r="C307" s="246"/>
      <c r="D307" s="246"/>
      <c r="E307" s="246"/>
      <c r="F307" s="246"/>
      <c r="G307" s="246"/>
      <c r="H307" s="246"/>
      <c r="I307" s="246"/>
      <c r="J307" s="246"/>
      <c r="K307" s="247"/>
      <c r="L307" s="43"/>
      <c r="M307" s="43"/>
      <c r="N307" s="43"/>
    </row>
    <row r="308" spans="1:14" s="38" customFormat="1">
      <c r="A308" s="42" t="s">
        <v>19</v>
      </c>
      <c r="B308" s="43" t="s">
        <v>121</v>
      </c>
      <c r="C308" s="44">
        <v>0.16</v>
      </c>
      <c r="D308" s="44">
        <v>0.106</v>
      </c>
      <c r="E308" s="44">
        <v>8.3000000000000004E-2</v>
      </c>
      <c r="F308" s="44">
        <v>6.2E-2</v>
      </c>
      <c r="G308" s="44">
        <v>4.5999999999999999E-2</v>
      </c>
      <c r="H308" s="44">
        <v>3.7999999999999999E-2</v>
      </c>
      <c r="I308" s="44">
        <v>2.8000000000000001E-2</v>
      </c>
      <c r="J308" s="44">
        <v>2.1000000000000001E-2</v>
      </c>
      <c r="K308" s="44">
        <v>1.7999999999999999E-2</v>
      </c>
      <c r="L308" s="45">
        <f>IF(N$306=M$306,M308,ROUND(M308-((M308-N308)/(N$306-M$306))*(L$306-M$306),3))</f>
        <v>0.16</v>
      </c>
      <c r="M308" s="45">
        <f>IF(M$306=15,C308,HLOOKUP($M$306,$D$306:$K$318,3,TRUE))</f>
        <v>0.16</v>
      </c>
      <c r="N308" s="45">
        <f>IF(N$306=15,C308,HLOOKUP($N$306,$D$306:$K$318,3,TRUE))</f>
        <v>0.16</v>
      </c>
    </row>
    <row r="309" spans="1:14" s="38" customFormat="1">
      <c r="A309" s="42" t="s">
        <v>20</v>
      </c>
      <c r="B309" s="43" t="s">
        <v>122</v>
      </c>
      <c r="C309" s="44">
        <v>0.185</v>
      </c>
      <c r="D309" s="44">
        <v>0.121</v>
      </c>
      <c r="E309" s="44">
        <v>9.4E-2</v>
      </c>
      <c r="F309" s="44">
        <v>7.1999999999999995E-2</v>
      </c>
      <c r="G309" s="44">
        <v>5.5E-2</v>
      </c>
      <c r="H309" s="44">
        <v>4.1000000000000002E-2</v>
      </c>
      <c r="I309" s="44">
        <v>3.3000000000000002E-2</v>
      </c>
      <c r="J309" s="44">
        <v>2.3E-2</v>
      </c>
      <c r="K309" s="44">
        <v>0.02</v>
      </c>
      <c r="L309" s="45">
        <f>IF(N$306=M$306,M309,ROUND(M309-((M309-N309)/(N$306-M$306))*(L$306-M$306),3))</f>
        <v>0.185</v>
      </c>
      <c r="M309" s="45">
        <f>IF(M$306=15,C309,HLOOKUP($M$306,$D$306:$K$318,4,TRUE))</f>
        <v>0.185</v>
      </c>
      <c r="N309" s="45">
        <f>IF(N$306=15,C309,HLOOKUP($N$306,$D$306:$K$318,4,TRUE))</f>
        <v>0.185</v>
      </c>
    </row>
    <row r="310" spans="1:14" s="38" customFormat="1">
      <c r="A310" s="42" t="s">
        <v>56</v>
      </c>
      <c r="B310" s="43" t="s">
        <v>123</v>
      </c>
      <c r="C310" s="44">
        <v>0.106</v>
      </c>
      <c r="D310" s="44">
        <v>6.8000000000000005E-2</v>
      </c>
      <c r="E310" s="44">
        <v>5.3999999999999999E-2</v>
      </c>
      <c r="F310" s="44">
        <v>4.1000000000000002E-2</v>
      </c>
      <c r="G310" s="44">
        <v>3.1E-2</v>
      </c>
      <c r="H310" s="44">
        <v>2.4E-2</v>
      </c>
      <c r="I310" s="44">
        <v>0.02</v>
      </c>
      <c r="J310" s="44">
        <v>1.4E-2</v>
      </c>
      <c r="K310" s="44">
        <v>1.2E-2</v>
      </c>
      <c r="L310" s="45">
        <f>IF(N$306=M$306,M310,ROUND(M310-((M310-N310)/(N$306-M$306))*(L$306-M$306),3))</f>
        <v>0.106</v>
      </c>
      <c r="M310" s="45">
        <f>IF(M$306=15,C310,HLOOKUP($M$306,$D$306:$K$318,5,TRUE))</f>
        <v>0.106</v>
      </c>
      <c r="N310" s="45">
        <f>IF(N$306=15,C310,HLOOKUP($N$306,$D$306:$K$318,5,TRUE))</f>
        <v>0.106</v>
      </c>
    </row>
    <row r="311" spans="1:14" s="38" customFormat="1" ht="30">
      <c r="A311" s="42" t="s">
        <v>100</v>
      </c>
      <c r="B311" s="61" t="s">
        <v>124</v>
      </c>
      <c r="C311" s="44">
        <v>0.11700000000000001</v>
      </c>
      <c r="D311" s="44">
        <v>7.5999999999999998E-2</v>
      </c>
      <c r="E311" s="44">
        <v>0.06</v>
      </c>
      <c r="F311" s="44">
        <v>4.5999999999999999E-2</v>
      </c>
      <c r="G311" s="44">
        <v>3.5000000000000003E-2</v>
      </c>
      <c r="H311" s="44">
        <v>2.5999999999999999E-2</v>
      </c>
      <c r="I311" s="44">
        <v>2.1999999999999999E-2</v>
      </c>
      <c r="J311" s="44">
        <v>1.6E-2</v>
      </c>
      <c r="K311" s="44">
        <v>1.4E-2</v>
      </c>
      <c r="L311" s="44">
        <f>IF(N$306=M$306,M311,ROUND(M311-((M311-N311)/(N$306-M$306))*(L$306-M$306),3))</f>
        <v>0.11700000000000001</v>
      </c>
      <c r="M311" s="45">
        <f>IF(M$306=15,C311,HLOOKUP($M$306,$D$306:$K$318,6,TRUE))</f>
        <v>0.11700000000000001</v>
      </c>
      <c r="N311" s="45">
        <f>IF(N$306=15,C311,HLOOKUP($N$306,$D$306:$K$318,6,TRUE))</f>
        <v>0.11700000000000001</v>
      </c>
    </row>
    <row r="312" spans="1:14" s="38" customFormat="1">
      <c r="A312" s="42" t="s">
        <v>262</v>
      </c>
      <c r="B312" s="43" t="s">
        <v>125</v>
      </c>
      <c r="C312" s="44">
        <v>0.122</v>
      </c>
      <c r="D312" s="44">
        <v>8.2000000000000003E-2</v>
      </c>
      <c r="E312" s="44">
        <v>6.2E-2</v>
      </c>
      <c r="F312" s="44">
        <v>4.7E-2</v>
      </c>
      <c r="G312" s="44">
        <v>3.6999999999999998E-2</v>
      </c>
      <c r="H312" s="44">
        <v>2.9000000000000001E-2</v>
      </c>
      <c r="I312" s="44">
        <v>2.4E-2</v>
      </c>
      <c r="J312" s="44">
        <v>1.7000000000000001E-2</v>
      </c>
      <c r="K312" s="44">
        <v>1.4999999999999999E-2</v>
      </c>
      <c r="L312" s="45">
        <f>IF(N$306=M$306,M312,ROUND(M312-((M312-N312)/(N$306-M$306))*(L$306-M$306),3))</f>
        <v>0.122</v>
      </c>
      <c r="M312" s="45">
        <f>IF(M$306=15,C312,HLOOKUP($M$306,$D$306:$K$318,7,TRUE))</f>
        <v>0.122</v>
      </c>
      <c r="N312" s="45">
        <f>IF(N$306=15,C312,HLOOKUP($N$306,$D$306:$K$318,7,TRUE))</f>
        <v>0.122</v>
      </c>
    </row>
    <row r="313" spans="1:14" s="38" customFormat="1" ht="33.75" customHeight="1">
      <c r="A313" s="255" t="s">
        <v>263</v>
      </c>
      <c r="B313" s="255"/>
      <c r="C313" s="255"/>
      <c r="D313" s="255"/>
      <c r="E313" s="255"/>
      <c r="F313" s="255"/>
      <c r="G313" s="255"/>
      <c r="H313" s="255"/>
      <c r="I313" s="255"/>
      <c r="J313" s="255"/>
      <c r="K313" s="255"/>
      <c r="L313" s="43"/>
      <c r="M313" s="43"/>
      <c r="N313" s="43"/>
    </row>
    <row r="314" spans="1:14" s="38" customFormat="1">
      <c r="A314" s="42" t="s">
        <v>23</v>
      </c>
      <c r="B314" s="43" t="s">
        <v>121</v>
      </c>
      <c r="C314" s="57">
        <v>4.8000000000000001E-2</v>
      </c>
      <c r="D314" s="57">
        <v>3.1800000000000002E-2</v>
      </c>
      <c r="E314" s="57">
        <v>2.4899999999999999E-2</v>
      </c>
      <c r="F314" s="57">
        <v>1.8599999999999998E-2</v>
      </c>
      <c r="G314" s="57">
        <v>1.38E-2</v>
      </c>
      <c r="H314" s="57">
        <v>1.14E-2</v>
      </c>
      <c r="I314" s="57">
        <v>8.3999999999999995E-3</v>
      </c>
      <c r="J314" s="57">
        <v>6.3E-3</v>
      </c>
      <c r="K314" s="57">
        <v>5.4000000000000003E-3</v>
      </c>
      <c r="L314" s="62">
        <f>IF(N$306=M$306,M314,ROUND(M314-((M314-N314)/(N$306-M$306))*(L$306-M$306),4))</f>
        <v>4.8000000000000001E-2</v>
      </c>
      <c r="M314" s="62">
        <f>IF(M$306=15,C314,HLOOKUP($M$306,$D$306:$K$318,9,TRUE))</f>
        <v>4.8000000000000001E-2</v>
      </c>
      <c r="N314" s="62">
        <f>IF(N$306=15,C314,HLOOKUP($N$306,$D$306:$K$318,9,TRUE))</f>
        <v>4.8000000000000001E-2</v>
      </c>
    </row>
    <row r="315" spans="1:14" s="38" customFormat="1">
      <c r="A315" s="42" t="s">
        <v>168</v>
      </c>
      <c r="B315" s="43" t="s">
        <v>122</v>
      </c>
      <c r="C315" s="57">
        <v>5.5500000000000001E-2</v>
      </c>
      <c r="D315" s="57">
        <v>3.6299999999999999E-2</v>
      </c>
      <c r="E315" s="57">
        <v>2.8199999999999999E-2</v>
      </c>
      <c r="F315" s="57">
        <v>2.1600000000000001E-2</v>
      </c>
      <c r="G315" s="57">
        <v>1.6500000000000001E-2</v>
      </c>
      <c r="H315" s="57">
        <v>1.23E-2</v>
      </c>
      <c r="I315" s="57">
        <v>9.9000000000000008E-3</v>
      </c>
      <c r="J315" s="57">
        <v>6.8999999999999999E-3</v>
      </c>
      <c r="K315" s="57">
        <v>6.0000000000000001E-3</v>
      </c>
      <c r="L315" s="62">
        <f>IF(N$306=M$306,M315,ROUND(M315-((M315-N315)/(N$306-M$306))*(L$306-M$306),4))</f>
        <v>5.5500000000000001E-2</v>
      </c>
      <c r="M315" s="62">
        <f>IF(M$306=15,C315,HLOOKUP($M$306,$D$306:$K$318,10,TRUE))</f>
        <v>5.5500000000000001E-2</v>
      </c>
      <c r="N315" s="62">
        <f>IF(N$306=15,C315,HLOOKUP($N$306,$D$306:$K$318,10,TRUE))</f>
        <v>5.5500000000000001E-2</v>
      </c>
    </row>
    <row r="316" spans="1:14" s="38" customFormat="1">
      <c r="A316" s="42" t="s">
        <v>162</v>
      </c>
      <c r="B316" s="43" t="s">
        <v>123</v>
      </c>
      <c r="C316" s="57">
        <v>3.1800000000000002E-2</v>
      </c>
      <c r="D316" s="57">
        <v>2.0400000000000001E-2</v>
      </c>
      <c r="E316" s="57">
        <v>1.6199999999999999E-2</v>
      </c>
      <c r="F316" s="57">
        <v>1.23E-2</v>
      </c>
      <c r="G316" s="57">
        <v>9.2999999999999992E-3</v>
      </c>
      <c r="H316" s="57">
        <v>7.1999999999999998E-3</v>
      </c>
      <c r="I316" s="57">
        <v>6.0000000000000001E-3</v>
      </c>
      <c r="J316" s="57">
        <v>4.1999999999999997E-3</v>
      </c>
      <c r="K316" s="57">
        <v>3.5999999999999999E-3</v>
      </c>
      <c r="L316" s="62">
        <f>IF(N$306=M$306,M316,ROUND(M316-((M316-N316)/(N$306-M$306))*(L$306-M$306),4))</f>
        <v>3.1800000000000002E-2</v>
      </c>
      <c r="M316" s="62">
        <f>IF(M$306=15,C316,HLOOKUP($M$306,$D$306:$K$318,11,TRUE))</f>
        <v>3.1800000000000002E-2</v>
      </c>
      <c r="N316" s="62">
        <f>IF(N$306=15,C316,HLOOKUP($N$306,$D$306:$K$318,11,TRUE))</f>
        <v>3.1800000000000002E-2</v>
      </c>
    </row>
    <row r="317" spans="1:14" s="38" customFormat="1" ht="30">
      <c r="A317" s="42" t="s">
        <v>264</v>
      </c>
      <c r="B317" s="61" t="s">
        <v>124</v>
      </c>
      <c r="C317" s="57">
        <v>3.5099999999999999E-2</v>
      </c>
      <c r="D317" s="57">
        <v>2.2800000000000001E-2</v>
      </c>
      <c r="E317" s="57">
        <v>1.7999999999999999E-2</v>
      </c>
      <c r="F317" s="57">
        <v>1.38E-2</v>
      </c>
      <c r="G317" s="57">
        <v>1.0500000000000001E-2</v>
      </c>
      <c r="H317" s="57">
        <v>7.7999999999999996E-3</v>
      </c>
      <c r="I317" s="57">
        <v>6.6E-3</v>
      </c>
      <c r="J317" s="57">
        <v>4.7999999999999996E-3</v>
      </c>
      <c r="K317" s="57">
        <v>4.1999999999999997E-3</v>
      </c>
      <c r="L317" s="62">
        <f>IF(N$306=M$306,M317,ROUND(M317-((M317-N317)/(N$306-M$306))*(L$306-M$306),4))</f>
        <v>3.5099999999999999E-2</v>
      </c>
      <c r="M317" s="62">
        <f>IF(M$306=15,C317,HLOOKUP($M$306,$D$306:$K$318,12,TRUE))</f>
        <v>3.5099999999999999E-2</v>
      </c>
      <c r="N317" s="62">
        <f>IF(N$306=15,C317,HLOOKUP($N$306,$D$306:$K$318,12,TRUE))</f>
        <v>3.5099999999999999E-2</v>
      </c>
    </row>
    <row r="318" spans="1:14" s="38" customFormat="1">
      <c r="A318" s="42" t="s">
        <v>265</v>
      </c>
      <c r="B318" s="43" t="s">
        <v>125</v>
      </c>
      <c r="C318" s="57">
        <v>3.6600000000000001E-2</v>
      </c>
      <c r="D318" s="57">
        <v>2.46E-2</v>
      </c>
      <c r="E318" s="57">
        <v>1.8599999999999998E-2</v>
      </c>
      <c r="F318" s="57">
        <v>1.41E-2</v>
      </c>
      <c r="G318" s="57">
        <v>1.11E-2</v>
      </c>
      <c r="H318" s="57">
        <v>8.6999999999999994E-3</v>
      </c>
      <c r="I318" s="57">
        <v>7.1999999999999998E-3</v>
      </c>
      <c r="J318" s="57">
        <v>5.1000000000000004E-3</v>
      </c>
      <c r="K318" s="57">
        <v>4.3E-3</v>
      </c>
      <c r="L318" s="62">
        <f>IF(N$306=M$306,M318,ROUND(M318-((M318-N318)/(N$306-M$306))*(L$306-M$306),4))</f>
        <v>3.6600000000000001E-2</v>
      </c>
      <c r="M318" s="62">
        <f>IF(M$306=15,C318,HLOOKUP($M$306,$D$306:$K$318,13,TRUE))</f>
        <v>3.6600000000000001E-2</v>
      </c>
      <c r="N318" s="62">
        <f>IF(N$306=15,C318,HLOOKUP($N$306,$D$306:$K$318,13,TRUE))</f>
        <v>3.6600000000000001E-2</v>
      </c>
    </row>
    <row r="319" spans="1:14" s="38" customFormat="1" hidden="1">
      <c r="A319" s="38" t="s">
        <v>270</v>
      </c>
      <c r="M319" s="45">
        <f>IF(M$306=15,C319,HLOOKUP($M$306,$D$306:$K$318,2,TRUE))</f>
        <v>0</v>
      </c>
    </row>
    <row r="320" spans="1:14" s="38" customFormat="1"/>
    <row r="321" spans="1:15" s="38" customFormat="1" ht="22.5">
      <c r="A321" s="254" t="s">
        <v>271</v>
      </c>
      <c r="B321" s="254"/>
      <c r="C321" s="254"/>
      <c r="D321" s="254"/>
      <c r="E321" s="254"/>
      <c r="F321" s="254"/>
      <c r="G321" s="254"/>
      <c r="H321" s="254"/>
      <c r="I321" s="254"/>
      <c r="J321" s="254"/>
      <c r="K321" s="254"/>
      <c r="L321" s="254"/>
      <c r="M321" s="254"/>
      <c r="N321" s="254"/>
    </row>
    <row r="322" spans="1:15" s="38" customFormat="1" ht="22.5">
      <c r="A322" s="254" t="s">
        <v>272</v>
      </c>
      <c r="B322" s="254"/>
      <c r="C322" s="254"/>
      <c r="D322" s="254"/>
      <c r="E322" s="254"/>
      <c r="F322" s="254"/>
      <c r="G322" s="254"/>
      <c r="H322" s="254"/>
      <c r="I322" s="254"/>
      <c r="J322" s="254"/>
      <c r="K322" s="254"/>
      <c r="L322" s="254"/>
      <c r="M322" s="254"/>
      <c r="N322" s="254"/>
    </row>
    <row r="323" spans="1:15" s="38" customFormat="1"/>
    <row r="324" spans="1:15" s="38" customFormat="1">
      <c r="A324" s="248"/>
      <c r="B324" s="248"/>
      <c r="C324" s="248"/>
      <c r="D324" s="248"/>
      <c r="E324" s="248"/>
      <c r="F324" s="248"/>
      <c r="G324" s="248"/>
      <c r="H324" s="248"/>
      <c r="I324" s="248"/>
      <c r="J324" s="248"/>
      <c r="K324" s="248"/>
      <c r="L324" s="248"/>
      <c r="M324" s="248"/>
      <c r="N324" s="248"/>
      <c r="O324" s="248"/>
    </row>
    <row r="325" spans="1:15" s="38" customFormat="1">
      <c r="A325" s="256" t="s">
        <v>273</v>
      </c>
      <c r="B325" s="256"/>
      <c r="C325" s="256"/>
      <c r="D325" s="256"/>
      <c r="E325" s="256"/>
      <c r="F325" s="256"/>
      <c r="G325" s="256"/>
      <c r="H325" s="256"/>
      <c r="I325" s="256"/>
      <c r="J325" s="256"/>
      <c r="K325" s="256"/>
      <c r="L325" s="256"/>
      <c r="M325" s="256"/>
      <c r="N325" s="256"/>
      <c r="O325" s="60"/>
    </row>
    <row r="326" spans="1:15" s="38" customFormat="1">
      <c r="I326" s="249" t="s">
        <v>112</v>
      </c>
      <c r="J326" s="249"/>
      <c r="K326" s="249"/>
      <c r="L326" s="249"/>
      <c r="M326" s="50"/>
      <c r="N326" s="50"/>
    </row>
    <row r="327" spans="1:15" s="38" customFormat="1" hidden="1">
      <c r="A327" s="38" t="s">
        <v>274</v>
      </c>
      <c r="I327" s="38" t="s">
        <v>114</v>
      </c>
    </row>
    <row r="328" spans="1:15" s="38" customFormat="1" ht="46.5" customHeight="1">
      <c r="A328" s="250" t="s">
        <v>1</v>
      </c>
      <c r="B328" s="250" t="s">
        <v>115</v>
      </c>
      <c r="C328" s="251" t="s">
        <v>275</v>
      </c>
      <c r="D328" s="252"/>
      <c r="E328" s="252"/>
      <c r="F328" s="252"/>
      <c r="G328" s="252"/>
      <c r="H328" s="252"/>
      <c r="I328" s="252"/>
      <c r="J328" s="39" t="s">
        <v>117</v>
      </c>
      <c r="K328" s="39" t="s">
        <v>118</v>
      </c>
      <c r="L328" s="39" t="s">
        <v>119</v>
      </c>
    </row>
    <row r="329" spans="1:15" s="38" customFormat="1">
      <c r="A329" s="250"/>
      <c r="B329" s="250"/>
      <c r="C329" s="40" t="s">
        <v>240</v>
      </c>
      <c r="D329" s="40">
        <v>50</v>
      </c>
      <c r="E329" s="40">
        <v>100</v>
      </c>
      <c r="F329" s="40">
        <v>500</v>
      </c>
      <c r="G329" s="41">
        <v>1000</v>
      </c>
      <c r="H329" s="41">
        <v>5000</v>
      </c>
      <c r="I329" s="41" t="s">
        <v>241</v>
      </c>
      <c r="J329" s="40">
        <f>$C$10</f>
        <v>1.927386</v>
      </c>
      <c r="K329" s="40">
        <f>IF(J329&lt;D329,15,IF(J329&gt;I329,I329,HLOOKUP(J329,D329:I329,1)))</f>
        <v>15</v>
      </c>
      <c r="L329" s="40">
        <f>IF(J329&lt;15,15,IF(J329&lt;50,50,IF(J329&gt;I329,I329,INDEX(D329:I329,MATCH(J329,D329:I329,1)+1))))</f>
        <v>15</v>
      </c>
    </row>
    <row r="330" spans="1:15" s="38" customFormat="1">
      <c r="A330" s="42">
        <v>1</v>
      </c>
      <c r="B330" s="43" t="s">
        <v>121</v>
      </c>
      <c r="C330" s="63">
        <v>0.12278</v>
      </c>
      <c r="D330" s="63">
        <v>5.4239999999999997E-2</v>
      </c>
      <c r="E330" s="63">
        <v>3.7569999999999999E-2</v>
      </c>
      <c r="F330" s="63">
        <v>9.5999999999999992E-3</v>
      </c>
      <c r="G330" s="63">
        <v>5.9800000000000001E-3</v>
      </c>
      <c r="H330" s="63">
        <v>1.4400000000000001E-3</v>
      </c>
      <c r="I330" s="63">
        <v>7.6999999999999996E-4</v>
      </c>
      <c r="J330" s="64">
        <f>IF(L$329=K$329,K330,ROUND(K330-((K330-L330)/(L$329-K$329))*(J$329-K$329),5))</f>
        <v>0.12278</v>
      </c>
      <c r="K330" s="64">
        <f>IF(K$329=15,C330,HLOOKUP($K$329,$D$329:$I$333,2,TRUE))</f>
        <v>0.12278</v>
      </c>
      <c r="L330" s="64">
        <f>IF(L$329=15,C330,HLOOKUP($L$329,$D$329:$I$333,2,TRUE))</f>
        <v>0.12278</v>
      </c>
    </row>
    <row r="331" spans="1:15" s="38" customFormat="1">
      <c r="A331" s="42">
        <v>2</v>
      </c>
      <c r="B331" s="43" t="s">
        <v>122</v>
      </c>
      <c r="C331" s="63">
        <v>0.11401</v>
      </c>
      <c r="D331" s="63">
        <v>5.0369999999999998E-2</v>
      </c>
      <c r="E331" s="63">
        <v>3.4889999999999997E-2</v>
      </c>
      <c r="F331" s="63">
        <v>8.9200000000000008E-3</v>
      </c>
      <c r="G331" s="63">
        <v>5.5500000000000002E-3</v>
      </c>
      <c r="H331" s="63">
        <v>1.34E-3</v>
      </c>
      <c r="I331" s="63">
        <v>7.2000000000000005E-4</v>
      </c>
      <c r="J331" s="64">
        <f>IF(L$329=K$329,K331,ROUND(K331-((K331-L331)/(L$329-K$329))*(J$329-K$329),5))</f>
        <v>0.11401</v>
      </c>
      <c r="K331" s="64">
        <f>IF(K$329=15,C331,HLOOKUP($K$329,$D$329:$I$333,3,TRUE))</f>
        <v>0.11401</v>
      </c>
      <c r="L331" s="64">
        <f>IF(L$329=15,C331,HLOOKUP($L$329,$D$329:$I$333,3,TRUE))</f>
        <v>0.11401</v>
      </c>
    </row>
    <row r="332" spans="1:15" s="38" customFormat="1">
      <c r="A332" s="42">
        <v>3</v>
      </c>
      <c r="B332" s="43" t="s">
        <v>123</v>
      </c>
      <c r="C332" s="63">
        <v>9.647E-2</v>
      </c>
      <c r="D332" s="63">
        <v>4.2619999999999998E-2</v>
      </c>
      <c r="E332" s="63">
        <v>2.9520000000000001E-2</v>
      </c>
      <c r="F332" s="63">
        <v>7.5500000000000003E-3</v>
      </c>
      <c r="G332" s="63">
        <v>4.7000000000000002E-3</v>
      </c>
      <c r="H332" s="63">
        <v>1.1299999999999999E-3</v>
      </c>
      <c r="I332" s="63">
        <v>6.0999999999999997E-4</v>
      </c>
      <c r="J332" s="64">
        <f>IF(L$329=K$329,K332,ROUND(K332-((K332-L332)/(L$329-K$329))*(J$329-K$329),5))</f>
        <v>9.647E-2</v>
      </c>
      <c r="K332" s="64">
        <f>IF(K$329=15,C332,HLOOKUP($K$329,$D$329:$I$333,4,TRUE))</f>
        <v>9.647E-2</v>
      </c>
      <c r="L332" s="64">
        <f>IF(L$329=15,C332,HLOOKUP($L$329,$D$329:$I$333,4,TRUE))</f>
        <v>9.647E-2</v>
      </c>
    </row>
    <row r="333" spans="1:15" s="38" customFormat="1">
      <c r="A333" s="42">
        <v>5</v>
      </c>
      <c r="B333" s="43" t="s">
        <v>125</v>
      </c>
      <c r="C333" s="63">
        <v>8.77E-2</v>
      </c>
      <c r="D333" s="63">
        <v>3.8739999999999997E-2</v>
      </c>
      <c r="E333" s="63">
        <v>2.6839999999999999E-2</v>
      </c>
      <c r="F333" s="63">
        <v>6.8599999999999998E-3</v>
      </c>
      <c r="G333" s="63">
        <v>4.2700000000000004E-3</v>
      </c>
      <c r="H333" s="63">
        <v>1.0300000000000001E-3</v>
      </c>
      <c r="I333" s="63">
        <v>5.5000000000000003E-4</v>
      </c>
      <c r="J333" s="64">
        <f>IF(L$329=K$329,K333,ROUND(K333-((K333-L333)/(L$329-K$329))*(J$329-K$329),5))</f>
        <v>8.77E-2</v>
      </c>
      <c r="K333" s="64">
        <f>IF(K$329=15,C333,HLOOKUP($K$329,$D$329:$I$333,5,TRUE))</f>
        <v>8.77E-2</v>
      </c>
      <c r="L333" s="64">
        <f>IF(L$329=15,C333,HLOOKUP($L$329,$D$329:$I$333,5,TRUE))</f>
        <v>8.77E-2</v>
      </c>
    </row>
    <row r="334" spans="1:15" s="38" customFormat="1" hidden="1">
      <c r="A334" s="38" t="s">
        <v>276</v>
      </c>
    </row>
    <row r="335" spans="1:15" s="38" customFormat="1"/>
    <row r="336" spans="1:15" s="38" customFormat="1" ht="42.75" customHeight="1">
      <c r="A336" s="253" t="s">
        <v>318</v>
      </c>
      <c r="B336" s="253"/>
      <c r="C336" s="253"/>
      <c r="D336" s="253"/>
      <c r="E336" s="253"/>
      <c r="F336" s="253"/>
      <c r="G336" s="253"/>
      <c r="H336" s="253"/>
      <c r="I336" s="253"/>
      <c r="J336" s="253"/>
      <c r="K336" s="253"/>
      <c r="L336" s="253"/>
      <c r="M336" s="253"/>
      <c r="N336" s="253"/>
    </row>
    <row r="337" spans="1:14" s="38" customFormat="1" ht="22.5">
      <c r="A337" s="254" t="s">
        <v>244</v>
      </c>
      <c r="B337" s="254"/>
      <c r="C337" s="254"/>
      <c r="D337" s="254"/>
      <c r="E337" s="254"/>
      <c r="F337" s="254"/>
      <c r="G337" s="254"/>
      <c r="H337" s="254"/>
      <c r="I337" s="254"/>
      <c r="J337" s="254"/>
      <c r="K337" s="254"/>
      <c r="L337" s="254"/>
      <c r="M337" s="254"/>
      <c r="N337" s="254"/>
    </row>
    <row r="338" spans="1:14" s="38" customFormat="1"/>
    <row r="339" spans="1:14" s="38" customFormat="1">
      <c r="A339" s="248" t="s">
        <v>245</v>
      </c>
      <c r="B339" s="248"/>
      <c r="C339" s="248"/>
      <c r="D339" s="248"/>
      <c r="E339" s="248"/>
      <c r="F339" s="248"/>
      <c r="G339" s="248"/>
      <c r="H339" s="248"/>
      <c r="I339" s="248"/>
      <c r="J339" s="248"/>
      <c r="K339" s="248"/>
      <c r="L339" s="248"/>
      <c r="M339" s="248"/>
    </row>
    <row r="340" spans="1:14" s="38" customFormat="1" hidden="1">
      <c r="A340" s="38" t="s">
        <v>277</v>
      </c>
      <c r="I340" s="38" t="s">
        <v>114</v>
      </c>
      <c r="K340" s="50"/>
      <c r="M340" s="50"/>
    </row>
    <row r="341" spans="1:14" s="38" customFormat="1">
      <c r="J341" s="39" t="s">
        <v>117</v>
      </c>
      <c r="K341" s="39" t="s">
        <v>118</v>
      </c>
      <c r="L341" s="39" t="s">
        <v>119</v>
      </c>
    </row>
    <row r="342" spans="1:14" s="38" customFormat="1" ht="30.75" customHeight="1">
      <c r="A342" s="40" t="s">
        <v>1</v>
      </c>
      <c r="B342" s="56" t="s">
        <v>247</v>
      </c>
      <c r="C342" s="40" t="s">
        <v>248</v>
      </c>
      <c r="D342" s="40">
        <v>10</v>
      </c>
      <c r="E342" s="40">
        <v>50</v>
      </c>
      <c r="F342" s="40">
        <v>100</v>
      </c>
      <c r="G342" s="40">
        <v>500</v>
      </c>
      <c r="H342" s="40">
        <v>1000</v>
      </c>
      <c r="I342" s="40" t="s">
        <v>249</v>
      </c>
      <c r="J342" s="40">
        <f>$C$9</f>
        <v>1.927386</v>
      </c>
      <c r="K342" s="40">
        <f>IF(J342&lt;D342,5,IF(J342&gt;I342,I342,HLOOKUP(J342,D342:I342,1)))</f>
        <v>5</v>
      </c>
      <c r="L342" s="40">
        <f>IF(J342&lt;5,5,IF(J342&lt;10,10,IF(J342&gt;I342,I342,INDEX(D342:I342,MATCH(J342,D342:I342,1)+1))))</f>
        <v>5</v>
      </c>
      <c r="M342" s="58"/>
      <c r="N342" s="52"/>
    </row>
    <row r="343" spans="1:14" s="38" customFormat="1">
      <c r="A343" s="42">
        <v>1</v>
      </c>
      <c r="B343" s="43" t="s">
        <v>250</v>
      </c>
      <c r="C343" s="44">
        <v>0.56999999999999995</v>
      </c>
      <c r="D343" s="44">
        <v>0.39</v>
      </c>
      <c r="E343" s="44">
        <v>0.28499999999999998</v>
      </c>
      <c r="F343" s="44">
        <v>0.22500000000000001</v>
      </c>
      <c r="G343" s="44">
        <v>0.13500000000000001</v>
      </c>
      <c r="H343" s="44">
        <v>0.09</v>
      </c>
      <c r="I343" s="44">
        <v>4.8000000000000001E-2</v>
      </c>
      <c r="J343" s="45">
        <f>IF(L$342=K$342,K343,ROUND(K343-((K343-L343)/(L$342-K$342))*(J$342-K$342),3))</f>
        <v>0.56999999999999995</v>
      </c>
      <c r="K343" s="45">
        <f>IF(K$342=5,C343,HLOOKUP($K$342,$D$342:$I$343,2,TRUE))</f>
        <v>0.56999999999999995</v>
      </c>
      <c r="L343" s="45">
        <f>IF(L$342=5,C343,HLOOKUP($L$342,$D$342:$I$343,2,TRUE))</f>
        <v>0.56999999999999995</v>
      </c>
      <c r="M343" s="54"/>
      <c r="N343" s="54"/>
    </row>
    <row r="344" spans="1:14" s="38" customFormat="1" hidden="1">
      <c r="A344" s="59" t="s">
        <v>278</v>
      </c>
    </row>
    <row r="345" spans="1:14" s="38" customFormat="1"/>
    <row r="346" spans="1:14" s="38" customFormat="1">
      <c r="A346" s="248" t="s">
        <v>252</v>
      </c>
      <c r="B346" s="248"/>
      <c r="C346" s="248"/>
      <c r="D346" s="248"/>
      <c r="E346" s="248"/>
      <c r="F346" s="248"/>
      <c r="G346" s="248"/>
      <c r="H346" s="248"/>
      <c r="I346" s="248"/>
      <c r="J346" s="248"/>
      <c r="K346" s="248"/>
      <c r="L346" s="248"/>
      <c r="M346" s="248"/>
    </row>
    <row r="347" spans="1:14" s="38" customFormat="1" hidden="1">
      <c r="A347" s="38" t="s">
        <v>279</v>
      </c>
      <c r="I347" s="38" t="s">
        <v>114</v>
      </c>
      <c r="K347" s="50"/>
      <c r="M347" s="50"/>
    </row>
    <row r="348" spans="1:14" s="38" customFormat="1">
      <c r="J348" s="39" t="s">
        <v>117</v>
      </c>
      <c r="K348" s="39" t="s">
        <v>118</v>
      </c>
      <c r="L348" s="39" t="s">
        <v>119</v>
      </c>
    </row>
    <row r="349" spans="1:14" s="38" customFormat="1" ht="30.75" customHeight="1">
      <c r="A349" s="40" t="s">
        <v>1</v>
      </c>
      <c r="B349" s="56" t="s">
        <v>247</v>
      </c>
      <c r="C349" s="40" t="s">
        <v>248</v>
      </c>
      <c r="D349" s="40">
        <v>10</v>
      </c>
      <c r="E349" s="40">
        <v>50</v>
      </c>
      <c r="F349" s="40">
        <v>100</v>
      </c>
      <c r="G349" s="40">
        <v>500</v>
      </c>
      <c r="H349" s="40">
        <v>1000</v>
      </c>
      <c r="I349" s="40" t="s">
        <v>249</v>
      </c>
      <c r="J349" s="40">
        <f>$C$9</f>
        <v>1.927386</v>
      </c>
      <c r="K349" s="40">
        <f>IF(J349&lt;D349,5,IF(J349&gt;I349,I349,HLOOKUP(J349,D349:I349,1)))</f>
        <v>5</v>
      </c>
      <c r="L349" s="40">
        <f>IF(J349&lt;5,5,IF(J349&lt;10,10,IF(J349&gt;I349,I349,INDEX(D349:I349,MATCH(J349,D349:I349,1)+1))))</f>
        <v>5</v>
      </c>
      <c r="M349" s="58"/>
      <c r="N349" s="52"/>
    </row>
    <row r="350" spans="1:14" s="38" customFormat="1">
      <c r="A350" s="42">
        <v>1</v>
      </c>
      <c r="B350" s="43" t="s">
        <v>254</v>
      </c>
      <c r="C350" s="44">
        <v>0.96</v>
      </c>
      <c r="D350" s="69">
        <v>0.64500000000000002</v>
      </c>
      <c r="E350" s="44">
        <v>0.45</v>
      </c>
      <c r="F350" s="44">
        <v>0.34499999999999997</v>
      </c>
      <c r="G350" s="44">
        <v>0.19500000000000001</v>
      </c>
      <c r="H350" s="44">
        <v>0.129</v>
      </c>
      <c r="I350" s="44">
        <v>6.9000000000000006E-2</v>
      </c>
      <c r="J350" s="45">
        <f>IF(L$349=K$349,K350,ROUND(K350-((K350-L350)/(L$349-K$349))*(J$349-K$349),3))</f>
        <v>0.96</v>
      </c>
      <c r="K350" s="45">
        <f>IF(K$349=5,C350,HLOOKUP($K$349,$D$349:$I$350,2,TRUE))</f>
        <v>0.96</v>
      </c>
      <c r="L350" s="45">
        <f>IF(L$349=5,C350,HLOOKUP($L$349,$D$349:$I$350,2,TRUE))</f>
        <v>0.96</v>
      </c>
    </row>
    <row r="351" spans="1:14" s="38" customFormat="1" hidden="1">
      <c r="A351" s="59" t="s">
        <v>280</v>
      </c>
    </row>
    <row r="352" spans="1:14" s="38" customFormat="1"/>
    <row r="353" spans="1:16" s="38" customFormat="1" ht="22.5">
      <c r="A353" s="254" t="s">
        <v>281</v>
      </c>
      <c r="B353" s="254"/>
      <c r="C353" s="254"/>
      <c r="D353" s="254"/>
      <c r="E353" s="254"/>
      <c r="F353" s="254"/>
      <c r="G353" s="254"/>
      <c r="H353" s="254"/>
      <c r="I353" s="254"/>
      <c r="J353" s="254"/>
      <c r="K353" s="254"/>
      <c r="L353" s="254"/>
      <c r="M353" s="254"/>
      <c r="N353" s="254"/>
    </row>
    <row r="354" spans="1:16" s="38" customFormat="1" ht="44.25" customHeight="1">
      <c r="A354" s="253" t="s">
        <v>282</v>
      </c>
      <c r="B354" s="253"/>
      <c r="C354" s="253"/>
      <c r="D354" s="253"/>
      <c r="E354" s="253"/>
      <c r="F354" s="253"/>
      <c r="G354" s="253"/>
      <c r="H354" s="253"/>
      <c r="I354" s="253"/>
      <c r="J354" s="253"/>
      <c r="K354" s="253"/>
      <c r="L354" s="253"/>
      <c r="M354" s="253"/>
      <c r="N354" s="253"/>
    </row>
    <row r="355" spans="1:16" s="38" customFormat="1" ht="18.75">
      <c r="A355" s="55"/>
      <c r="B355" s="55"/>
      <c r="C355" s="55"/>
      <c r="D355" s="55"/>
      <c r="E355" s="55"/>
      <c r="F355" s="55"/>
      <c r="G355" s="55"/>
      <c r="H355" s="55"/>
      <c r="I355" s="55"/>
      <c r="J355" s="55"/>
      <c r="K355" s="55"/>
      <c r="L355" s="55"/>
      <c r="M355" s="55"/>
      <c r="N355" s="55"/>
    </row>
    <row r="356" spans="1:16" s="38" customFormat="1">
      <c r="A356" s="248" t="s">
        <v>237</v>
      </c>
      <c r="B356" s="248"/>
      <c r="C356" s="248"/>
      <c r="D356" s="248"/>
      <c r="E356" s="248"/>
      <c r="F356" s="248"/>
      <c r="G356" s="248"/>
      <c r="H356" s="248"/>
      <c r="I356" s="248"/>
      <c r="J356" s="248"/>
      <c r="K356" s="248"/>
      <c r="L356" s="248"/>
      <c r="M356" s="248"/>
    </row>
    <row r="357" spans="1:16" s="38" customFormat="1" hidden="1">
      <c r="A357" s="38" t="s">
        <v>283</v>
      </c>
      <c r="K357" s="50"/>
      <c r="L357" s="38" t="s">
        <v>114</v>
      </c>
      <c r="M357" s="50"/>
    </row>
    <row r="358" spans="1:16" s="38" customFormat="1">
      <c r="M358" s="39" t="s">
        <v>117</v>
      </c>
      <c r="N358" s="39" t="s">
        <v>118</v>
      </c>
      <c r="O358" s="39" t="s">
        <v>119</v>
      </c>
    </row>
    <row r="359" spans="1:16" s="38" customFormat="1" ht="28.5">
      <c r="A359" s="40" t="s">
        <v>1</v>
      </c>
      <c r="B359" s="56" t="s">
        <v>239</v>
      </c>
      <c r="C359" s="40" t="s">
        <v>240</v>
      </c>
      <c r="D359" s="40">
        <v>25</v>
      </c>
      <c r="E359" s="40">
        <v>50</v>
      </c>
      <c r="F359" s="40">
        <v>100</v>
      </c>
      <c r="G359" s="40">
        <v>200</v>
      </c>
      <c r="H359" s="40">
        <v>500</v>
      </c>
      <c r="I359" s="40">
        <v>1000</v>
      </c>
      <c r="J359" s="40">
        <v>2000</v>
      </c>
      <c r="K359" s="40">
        <v>5000</v>
      </c>
      <c r="L359" s="40" t="s">
        <v>241</v>
      </c>
      <c r="M359" s="40">
        <f>$C$9</f>
        <v>1.927386</v>
      </c>
      <c r="N359" s="40">
        <f>IF(M359&lt;D359,15,IF(M359&gt;L359,L359,HLOOKUP(M359,D359:L359,1)))</f>
        <v>15</v>
      </c>
      <c r="O359" s="40">
        <f>IF(M359&lt;15,15,IF(M359&lt;25,25,IF(M359&gt;L359,L359,INDEX(D359:L359,MATCH(M359,D359:L359,1)+1))))</f>
        <v>15</v>
      </c>
    </row>
    <row r="360" spans="1:16" s="38" customFormat="1">
      <c r="A360" s="42">
        <v>1</v>
      </c>
      <c r="B360" s="43" t="s">
        <v>219</v>
      </c>
      <c r="C360" s="57">
        <v>1.9E-2</v>
      </c>
      <c r="D360" s="57">
        <v>1.7000000000000001E-2</v>
      </c>
      <c r="E360" s="57">
        <v>1.4999999999999999E-2</v>
      </c>
      <c r="F360" s="57">
        <v>1.2500000000000001E-2</v>
      </c>
      <c r="G360" s="57">
        <v>0.01</v>
      </c>
      <c r="H360" s="57">
        <v>7.4999999999999997E-3</v>
      </c>
      <c r="I360" s="57">
        <v>4.7000000000000002E-3</v>
      </c>
      <c r="J360" s="57">
        <v>2.5000000000000001E-3</v>
      </c>
      <c r="K360" s="57">
        <v>2E-3</v>
      </c>
      <c r="L360" s="57">
        <v>1E-3</v>
      </c>
      <c r="M360" s="45">
        <f>IF(O$252=N$252,N360,ROUND(N360-((N360-O360)/(O$252-N$252))*(M$252-N$252),3))</f>
        <v>1.9E-2</v>
      </c>
      <c r="N360" s="45">
        <f>IF(N$252=15,C360,HLOOKUP($N$252,$D$252:$L$253,2,TRUE))</f>
        <v>1.9E-2</v>
      </c>
      <c r="O360" s="45">
        <f>IF(O$252=15,C360,HLOOKUP($O$252,$D$252:$L$253,2,TRUE))</f>
        <v>1.9E-2</v>
      </c>
    </row>
    <row r="361" spans="1:16" s="38" customFormat="1" hidden="1">
      <c r="A361" s="38" t="s">
        <v>284</v>
      </c>
    </row>
    <row r="362" spans="1:16" s="38" customFormat="1"/>
    <row r="363" spans="1:16" s="38" customFormat="1" ht="22.5">
      <c r="A363" s="254" t="s">
        <v>285</v>
      </c>
      <c r="B363" s="254"/>
      <c r="C363" s="254"/>
      <c r="D363" s="254"/>
      <c r="E363" s="254"/>
      <c r="F363" s="254"/>
      <c r="G363" s="254"/>
      <c r="H363" s="254"/>
      <c r="I363" s="254"/>
      <c r="J363" s="254"/>
      <c r="K363" s="254"/>
      <c r="L363" s="254"/>
      <c r="M363" s="254"/>
      <c r="N363" s="254"/>
      <c r="P363" s="68" t="s">
        <v>300</v>
      </c>
    </row>
    <row r="364" spans="1:16" s="38" customFormat="1" ht="43.5" customHeight="1">
      <c r="A364" s="253" t="s">
        <v>286</v>
      </c>
      <c r="B364" s="253"/>
      <c r="C364" s="253"/>
      <c r="D364" s="253"/>
      <c r="E364" s="253"/>
      <c r="F364" s="253"/>
      <c r="G364" s="253"/>
      <c r="H364" s="253"/>
      <c r="I364" s="253"/>
      <c r="J364" s="253"/>
      <c r="K364" s="253"/>
      <c r="L364" s="253"/>
      <c r="M364" s="253"/>
      <c r="N364" s="253"/>
    </row>
    <row r="365" spans="1:16" s="38" customFormat="1"/>
    <row r="366" spans="1:16" s="38" customFormat="1">
      <c r="A366" s="248"/>
      <c r="B366" s="248"/>
      <c r="C366" s="248"/>
      <c r="D366" s="248"/>
      <c r="E366" s="248"/>
      <c r="F366" s="248"/>
      <c r="G366" s="248"/>
      <c r="H366" s="248"/>
      <c r="I366" s="248"/>
      <c r="J366" s="248"/>
      <c r="K366" s="248"/>
      <c r="L366" s="248"/>
      <c r="M366" s="248"/>
      <c r="N366" s="248"/>
      <c r="O366" s="248"/>
    </row>
    <row r="367" spans="1:16" s="38" customFormat="1">
      <c r="A367" s="248" t="s">
        <v>287</v>
      </c>
      <c r="B367" s="248"/>
      <c r="C367" s="60"/>
      <c r="D367" s="60"/>
      <c r="E367" s="60"/>
      <c r="F367" s="60"/>
      <c r="G367" s="60"/>
      <c r="H367" s="60"/>
      <c r="I367" s="60"/>
      <c r="J367" s="60"/>
      <c r="K367" s="60"/>
      <c r="L367" s="60"/>
      <c r="M367" s="60"/>
      <c r="N367" s="60"/>
      <c r="O367" s="60"/>
    </row>
    <row r="368" spans="1:16" s="38" customFormat="1">
      <c r="I368" s="249" t="s">
        <v>112</v>
      </c>
      <c r="J368" s="249"/>
      <c r="K368" s="249"/>
      <c r="L368" s="249"/>
      <c r="M368" s="50"/>
      <c r="N368" s="50"/>
    </row>
    <row r="369" spans="1:14" s="38" customFormat="1" hidden="1">
      <c r="A369" s="38" t="s">
        <v>288</v>
      </c>
      <c r="K369" s="38" t="s">
        <v>114</v>
      </c>
    </row>
    <row r="370" spans="1:14" s="38" customFormat="1" ht="33" customHeight="1">
      <c r="A370" s="250" t="s">
        <v>1</v>
      </c>
      <c r="B370" s="250" t="s">
        <v>115</v>
      </c>
      <c r="C370" s="251" t="s">
        <v>260</v>
      </c>
      <c r="D370" s="252"/>
      <c r="E370" s="252"/>
      <c r="F370" s="252"/>
      <c r="G370" s="252"/>
      <c r="H370" s="252"/>
      <c r="I370" s="252"/>
      <c r="J370" s="252"/>
      <c r="K370" s="252"/>
      <c r="L370" s="39" t="s">
        <v>117</v>
      </c>
      <c r="M370" s="39" t="s">
        <v>118</v>
      </c>
      <c r="N370" s="39" t="s">
        <v>119</v>
      </c>
    </row>
    <row r="371" spans="1:14" s="38" customFormat="1">
      <c r="A371" s="250"/>
      <c r="B371" s="250"/>
      <c r="C371" s="40" t="s">
        <v>128</v>
      </c>
      <c r="D371" s="40">
        <v>50</v>
      </c>
      <c r="E371" s="40">
        <v>100</v>
      </c>
      <c r="F371" s="40">
        <v>200</v>
      </c>
      <c r="G371" s="40">
        <v>500</v>
      </c>
      <c r="H371" s="41">
        <v>1000</v>
      </c>
      <c r="I371" s="41">
        <v>2000</v>
      </c>
      <c r="J371" s="41">
        <v>5000</v>
      </c>
      <c r="K371" s="41">
        <v>8000</v>
      </c>
      <c r="L371" s="39">
        <f>$C$4</f>
        <v>1.5018819002089998</v>
      </c>
      <c r="M371" s="39">
        <f>IF(L371&lt;D371,15,IF(L371&gt;K371,K371,HLOOKUP(L371,D371:K371,1)))</f>
        <v>15</v>
      </c>
      <c r="N371" s="39">
        <f>IF(L371&lt;15,15,IF(L371&lt;50,50,IF(L371&gt;K371,K371,INDEX(D371:K371,MATCH(L371,D371:K371,1)+1))))</f>
        <v>15</v>
      </c>
    </row>
    <row r="372" spans="1:14" s="38" customFormat="1">
      <c r="A372" s="245" t="s">
        <v>289</v>
      </c>
      <c r="B372" s="246"/>
      <c r="C372" s="246"/>
      <c r="D372" s="246"/>
      <c r="E372" s="246"/>
      <c r="F372" s="246"/>
      <c r="G372" s="246"/>
      <c r="H372" s="246"/>
      <c r="I372" s="246"/>
      <c r="J372" s="246"/>
      <c r="K372" s="247"/>
      <c r="L372" s="43"/>
      <c r="M372" s="43"/>
      <c r="N372" s="43"/>
    </row>
    <row r="373" spans="1:14" s="38" customFormat="1">
      <c r="A373" s="42" t="s">
        <v>19</v>
      </c>
      <c r="B373" s="43" t="s">
        <v>121</v>
      </c>
      <c r="C373" s="44">
        <v>0.16500000000000001</v>
      </c>
      <c r="D373" s="44">
        <v>0.11</v>
      </c>
      <c r="E373" s="44">
        <v>8.5000000000000006E-2</v>
      </c>
      <c r="F373" s="44">
        <v>6.5000000000000002E-2</v>
      </c>
      <c r="G373" s="44">
        <v>0.05</v>
      </c>
      <c r="H373" s="44">
        <v>4.1000000000000002E-2</v>
      </c>
      <c r="I373" s="44">
        <v>2.9000000000000001E-2</v>
      </c>
      <c r="J373" s="44">
        <v>2.1999999999999999E-2</v>
      </c>
      <c r="K373" s="44">
        <v>1.9E-2</v>
      </c>
      <c r="L373" s="45">
        <f>IF(N$281=M$281,M373,ROUND(M373-((M373-N373)/(N$281-M$281))*(L$281-M$281),3))</f>
        <v>0.16500000000000001</v>
      </c>
      <c r="M373" s="45">
        <f>IF(M$281=15,C373,HLOOKUP($M$281,$D$281:$K$299,3,TRUE))</f>
        <v>0.16500000000000001</v>
      </c>
      <c r="N373" s="45">
        <f>IF(N$281=15,C373,HLOOKUP($N$281,$D$281:$K$299,3,TRUE))</f>
        <v>0.16500000000000001</v>
      </c>
    </row>
    <row r="374" spans="1:14" s="38" customFormat="1">
      <c r="A374" s="42" t="s">
        <v>20</v>
      </c>
      <c r="B374" s="43" t="s">
        <v>122</v>
      </c>
      <c r="C374" s="44">
        <v>0.19</v>
      </c>
      <c r="D374" s="44">
        <v>0.126</v>
      </c>
      <c r="E374" s="44">
        <v>9.7000000000000003E-2</v>
      </c>
      <c r="F374" s="44">
        <v>7.4999999999999997E-2</v>
      </c>
      <c r="G374" s="44">
        <v>5.8000000000000003E-2</v>
      </c>
      <c r="H374" s="44">
        <v>4.3999999999999997E-2</v>
      </c>
      <c r="I374" s="44">
        <v>3.5000000000000003E-2</v>
      </c>
      <c r="J374" s="44">
        <v>2.5999999999999999E-2</v>
      </c>
      <c r="K374" s="44">
        <v>2.1999999999999999E-2</v>
      </c>
      <c r="L374" s="45">
        <f>IF(N$281=M$281,M374,ROUND(M374-((M374-N374)/(N$281-M$281))*(L$281-M$281),3))</f>
        <v>0.19</v>
      </c>
      <c r="M374" s="45">
        <f>IF(M$281=15,C374,HLOOKUP($M$281,$D$281:$K$299,4,TRUE))</f>
        <v>0.19</v>
      </c>
      <c r="N374" s="45">
        <f>IF(N$281=15,C374,HLOOKUP($N$281,$D$281:$K$299,4,TRUE))</f>
        <v>0.19</v>
      </c>
    </row>
    <row r="375" spans="1:14" s="38" customFormat="1">
      <c r="A375" s="42" t="s">
        <v>56</v>
      </c>
      <c r="B375" s="43" t="s">
        <v>123</v>
      </c>
      <c r="C375" s="44">
        <v>0.109</v>
      </c>
      <c r="D375" s="44">
        <v>7.1999999999999995E-2</v>
      </c>
      <c r="E375" s="44">
        <v>5.5E-2</v>
      </c>
      <c r="F375" s="44">
        <v>4.2999999999999997E-2</v>
      </c>
      <c r="G375" s="44">
        <v>3.3000000000000002E-2</v>
      </c>
      <c r="H375" s="44">
        <v>2.5000000000000001E-2</v>
      </c>
      <c r="I375" s="44">
        <v>2.1000000000000001E-2</v>
      </c>
      <c r="J375" s="44">
        <v>1.6E-2</v>
      </c>
      <c r="K375" s="44">
        <v>1.4E-2</v>
      </c>
      <c r="L375" s="45">
        <f>IF(N$281=M$281,M375,ROUND(M375-((M375-N375)/(N$281-M$281))*(L$281-M$281),3))</f>
        <v>0.109</v>
      </c>
      <c r="M375" s="45">
        <f>IF(M$281=15,C375,HLOOKUP($M$281,$D$281:$K$299,5,TRUE))</f>
        <v>0.109</v>
      </c>
      <c r="N375" s="45">
        <f>IF(N$281=15,C375,HLOOKUP($N$281,$D$281:$K$299,5,TRUE))</f>
        <v>0.109</v>
      </c>
    </row>
    <row r="376" spans="1:14" s="38" customFormat="1" ht="30">
      <c r="A376" s="42" t="s">
        <v>100</v>
      </c>
      <c r="B376" s="61" t="s">
        <v>124</v>
      </c>
      <c r="C376" s="44">
        <v>0.121</v>
      </c>
      <c r="D376" s="44">
        <v>0.08</v>
      </c>
      <c r="E376" s="44">
        <v>6.0999999999999999E-2</v>
      </c>
      <c r="F376" s="44">
        <v>4.8000000000000001E-2</v>
      </c>
      <c r="G376" s="44">
        <v>3.6999999999999998E-2</v>
      </c>
      <c r="H376" s="44">
        <v>2.8000000000000001E-2</v>
      </c>
      <c r="I376" s="44">
        <v>2.3E-2</v>
      </c>
      <c r="J376" s="44">
        <v>1.7000000000000001E-2</v>
      </c>
      <c r="K376" s="44">
        <v>1.4E-2</v>
      </c>
      <c r="L376" s="45">
        <f>IF(N$281=M$281,M376,ROUND(M376-((M376-N376)/(N$281-M$281))*(L$281-M$281),3))</f>
        <v>0.121</v>
      </c>
      <c r="M376" s="45">
        <f>IF(M$281=15,C376,HLOOKUP($M$281,$D$281:$K$299,6,TRUE))</f>
        <v>0.121</v>
      </c>
      <c r="N376" s="45">
        <f>IF(N$281=15,C376,HLOOKUP($N$281,$D$281:$K$299,6,TRUE))</f>
        <v>0.121</v>
      </c>
    </row>
    <row r="377" spans="1:14" s="38" customFormat="1">
      <c r="A377" s="42" t="s">
        <v>262</v>
      </c>
      <c r="B377" s="43" t="s">
        <v>125</v>
      </c>
      <c r="C377" s="44">
        <v>0.126</v>
      </c>
      <c r="D377" s="44">
        <v>8.5000000000000006E-2</v>
      </c>
      <c r="E377" s="44">
        <v>6.5000000000000002E-2</v>
      </c>
      <c r="F377" s="44">
        <v>0.05</v>
      </c>
      <c r="G377" s="44">
        <v>3.9E-2</v>
      </c>
      <c r="H377" s="44">
        <v>0.03</v>
      </c>
      <c r="I377" s="44">
        <v>2.5999999999999999E-2</v>
      </c>
      <c r="J377" s="44">
        <v>1.9E-2</v>
      </c>
      <c r="K377" s="44">
        <v>1.7000000000000001E-2</v>
      </c>
      <c r="L377" s="45">
        <f>IF(N$281=M$281,M377,ROUND(M377-((M377-N377)/(N$281-M$281))*(L$281-M$281),3))</f>
        <v>0.126</v>
      </c>
      <c r="M377" s="45">
        <f>IF(M$281=15,C377,HLOOKUP($M$281,$D$281:$K$299,7,TRUE))</f>
        <v>0.126</v>
      </c>
      <c r="N377" s="45">
        <f>IF(N$281=15,C377,HLOOKUP($N$281,$D$281:$K$299,7,TRUE))</f>
        <v>0.126</v>
      </c>
    </row>
    <row r="378" spans="1:14" s="38" customFormat="1">
      <c r="A378" s="245" t="s">
        <v>290</v>
      </c>
      <c r="B378" s="246"/>
      <c r="C378" s="246"/>
      <c r="D378" s="246"/>
      <c r="E378" s="246"/>
      <c r="F378" s="246"/>
      <c r="G378" s="246"/>
      <c r="H378" s="246"/>
      <c r="I378" s="246"/>
      <c r="J378" s="246"/>
      <c r="K378" s="247"/>
      <c r="L378" s="43"/>
      <c r="M378" s="43"/>
      <c r="N378" s="43"/>
    </row>
    <row r="379" spans="1:14" s="38" customFormat="1">
      <c r="A379" s="42" t="s">
        <v>23</v>
      </c>
      <c r="B379" s="43" t="s">
        <v>121</v>
      </c>
      <c r="C379" s="57">
        <v>4.9500000000000002E-2</v>
      </c>
      <c r="D379" s="57">
        <v>3.3000000000000002E-2</v>
      </c>
      <c r="E379" s="57">
        <v>2.5499999999999998E-2</v>
      </c>
      <c r="F379" s="57">
        <v>1.95E-2</v>
      </c>
      <c r="G379" s="57">
        <v>1.4999999999999999E-2</v>
      </c>
      <c r="H379" s="57">
        <v>1.23E-2</v>
      </c>
      <c r="I379" s="57">
        <v>8.6999999999999994E-3</v>
      </c>
      <c r="J379" s="57">
        <v>6.6E-3</v>
      </c>
      <c r="K379" s="57">
        <v>5.7000000000000002E-3</v>
      </c>
      <c r="L379" s="62">
        <f>IF(N$281=M$281,M379,ROUND(M379-((M379-N379)/(N$281-M$281))*(L$281-M$281),4))</f>
        <v>4.9500000000000002E-2</v>
      </c>
      <c r="M379" s="62">
        <f>IF(M$281=15,C379,HLOOKUP($M$281,$D$281:$K$299,9,TRUE))</f>
        <v>4.9500000000000002E-2</v>
      </c>
      <c r="N379" s="62">
        <f>IF(N$281=15,C379,HLOOKUP($N$281,$D$281:$K$299,9,TRUE))</f>
        <v>4.9500000000000002E-2</v>
      </c>
    </row>
    <row r="380" spans="1:14" s="38" customFormat="1">
      <c r="A380" s="42" t="s">
        <v>168</v>
      </c>
      <c r="B380" s="43" t="s">
        <v>122</v>
      </c>
      <c r="C380" s="57">
        <v>5.7000000000000002E-2</v>
      </c>
      <c r="D380" s="57">
        <v>3.78E-2</v>
      </c>
      <c r="E380" s="57">
        <v>2.9100000000000001E-2</v>
      </c>
      <c r="F380" s="57">
        <v>2.5499999999999998E-2</v>
      </c>
      <c r="G380" s="57">
        <v>1.7399999999999999E-2</v>
      </c>
      <c r="H380" s="57">
        <v>1.32E-2</v>
      </c>
      <c r="I380" s="57">
        <v>1.0500000000000001E-2</v>
      </c>
      <c r="J380" s="57">
        <v>7.7999999999999996E-3</v>
      </c>
      <c r="K380" s="57">
        <v>6.6E-3</v>
      </c>
      <c r="L380" s="62">
        <f>IF(N$281=M$281,M380,ROUND(M380-((M380-N380)/(N$281-M$281))*(L$281-M$281),4))</f>
        <v>5.7000000000000002E-2</v>
      </c>
      <c r="M380" s="62">
        <f>IF(M$281=15,C380,HLOOKUP($M$281,$D$281:$K$299,10,TRUE))</f>
        <v>5.7000000000000002E-2</v>
      </c>
      <c r="N380" s="62">
        <f>IF(N$281=15,C380,HLOOKUP($N$281,$D$281:$K$299,10,TRUE))</f>
        <v>5.7000000000000002E-2</v>
      </c>
    </row>
    <row r="381" spans="1:14" s="38" customFormat="1">
      <c r="A381" s="42" t="s">
        <v>162</v>
      </c>
      <c r="B381" s="43" t="s">
        <v>123</v>
      </c>
      <c r="C381" s="57">
        <v>3.27E-2</v>
      </c>
      <c r="D381" s="57">
        <v>2.1600000000000001E-2</v>
      </c>
      <c r="E381" s="57">
        <v>1.6500000000000001E-2</v>
      </c>
      <c r="F381" s="57">
        <v>1.29E-2</v>
      </c>
      <c r="G381" s="57">
        <v>9.9000000000000008E-3</v>
      </c>
      <c r="H381" s="57">
        <v>7.4999999999999997E-3</v>
      </c>
      <c r="I381" s="57">
        <v>6.3E-3</v>
      </c>
      <c r="J381" s="57">
        <v>4.7999999999999996E-3</v>
      </c>
      <c r="K381" s="57">
        <v>4.1999999999999997E-3</v>
      </c>
      <c r="L381" s="62">
        <f>IF(N$281=M$281,M381,ROUND(M381-((M381-N381)/(N$281-M$281))*(L$281-M$281),4))</f>
        <v>3.27E-2</v>
      </c>
      <c r="M381" s="62">
        <f>IF(M$281=15,C381,HLOOKUP($M$281,$D$281:$K$299,11,TRUE))</f>
        <v>3.27E-2</v>
      </c>
      <c r="N381" s="62">
        <f>IF(N$281=15,C381,HLOOKUP($N$281,$D$281:$K$299,11,TRUE))</f>
        <v>3.27E-2</v>
      </c>
    </row>
    <row r="382" spans="1:14" s="38" customFormat="1" ht="30">
      <c r="A382" s="42" t="s">
        <v>264</v>
      </c>
      <c r="B382" s="61" t="s">
        <v>124</v>
      </c>
      <c r="C382" s="57">
        <v>3.6299999999999999E-2</v>
      </c>
      <c r="D382" s="57">
        <v>2.4E-2</v>
      </c>
      <c r="E382" s="57">
        <v>1.83E-2</v>
      </c>
      <c r="F382" s="57">
        <v>1.44E-2</v>
      </c>
      <c r="G382" s="57">
        <v>1.11E-2</v>
      </c>
      <c r="H382" s="57">
        <v>8.3999999999999995E-3</v>
      </c>
      <c r="I382" s="57">
        <v>6.8999999999999999E-3</v>
      </c>
      <c r="J382" s="57">
        <v>5.1000000000000004E-3</v>
      </c>
      <c r="K382" s="57">
        <v>4.1999999999999997E-3</v>
      </c>
      <c r="L382" s="62">
        <f>IF(N$281=M$281,M382,ROUND(M382-((M382-N382)/(N$281-M$281))*(L$281-M$281),4))</f>
        <v>3.6299999999999999E-2</v>
      </c>
      <c r="M382" s="62">
        <f>IF(M$281=15,C382,HLOOKUP($M$281,$D$281:$K$299,12,TRUE))</f>
        <v>3.6299999999999999E-2</v>
      </c>
      <c r="N382" s="62">
        <f>IF(N$281=15,C382,HLOOKUP($N$281,$D$281:$K$299,12,TRUE))</f>
        <v>3.6299999999999999E-2</v>
      </c>
    </row>
    <row r="383" spans="1:14" s="38" customFormat="1">
      <c r="A383" s="42" t="s">
        <v>265</v>
      </c>
      <c r="B383" s="43" t="s">
        <v>125</v>
      </c>
      <c r="C383" s="57">
        <v>3.78E-2</v>
      </c>
      <c r="D383" s="57">
        <v>2.5499999999999998E-2</v>
      </c>
      <c r="E383" s="57">
        <v>1.95E-2</v>
      </c>
      <c r="F383" s="57">
        <v>1.4999999999999999E-2</v>
      </c>
      <c r="G383" s="57">
        <v>1.17E-2</v>
      </c>
      <c r="H383" s="57">
        <v>8.9999999999999993E-3</v>
      </c>
      <c r="I383" s="57">
        <v>7.8E-2</v>
      </c>
      <c r="J383" s="57">
        <v>5.7000000000000002E-3</v>
      </c>
      <c r="K383" s="57">
        <v>5.1000000000000004E-3</v>
      </c>
      <c r="L383" s="62">
        <f>IF(N$281=M$281,M383,ROUND(M383-((M383-N383)/(N$281-M$281))*(L$281-M$281),4))</f>
        <v>3.78E-2</v>
      </c>
      <c r="M383" s="62">
        <f>IF(M$281=15,C383,HLOOKUP($M$281,$D$281:$K$299,13,TRUE))</f>
        <v>3.78E-2</v>
      </c>
      <c r="N383" s="62">
        <f>IF(N$281=15,C383,HLOOKUP($N$281,$D$281:$K$299,13,TRUE))</f>
        <v>3.78E-2</v>
      </c>
    </row>
    <row r="384" spans="1:14" s="38" customFormat="1" hidden="1">
      <c r="A384" s="38" t="s">
        <v>291</v>
      </c>
      <c r="L384" s="45">
        <f>IF(N$281=M$281,M384,ROUND(M384-((M384-N384)/(N$281-M$281))*(L$281-M$281),3))</f>
        <v>0</v>
      </c>
      <c r="M384" s="45">
        <f>IF(M$281=15,C384,HLOOKUP($M$281,$D$281:$K$287,6,TRUE))</f>
        <v>0</v>
      </c>
    </row>
    <row r="385" spans="1:15" s="38" customFormat="1"/>
    <row r="386" spans="1:15" s="38" customFormat="1">
      <c r="A386" s="248" t="s">
        <v>292</v>
      </c>
      <c r="B386" s="248"/>
      <c r="C386" s="60"/>
      <c r="D386" s="60"/>
      <c r="E386" s="60"/>
      <c r="F386" s="60"/>
      <c r="G386" s="60"/>
      <c r="H386" s="60"/>
      <c r="I386" s="60"/>
      <c r="J386" s="60"/>
      <c r="K386" s="60"/>
      <c r="L386" s="60"/>
      <c r="M386" s="60"/>
      <c r="N386" s="60"/>
      <c r="O386" s="60"/>
    </row>
    <row r="387" spans="1:15" s="38" customFormat="1">
      <c r="I387" s="249" t="s">
        <v>112</v>
      </c>
      <c r="J387" s="249"/>
      <c r="K387" s="249"/>
      <c r="L387" s="249"/>
      <c r="M387" s="50"/>
      <c r="N387" s="50"/>
    </row>
    <row r="388" spans="1:15" s="38" customFormat="1" hidden="1">
      <c r="A388" s="38" t="s">
        <v>293</v>
      </c>
      <c r="K388" s="38" t="s">
        <v>114</v>
      </c>
    </row>
    <row r="389" spans="1:15" s="38" customFormat="1" ht="33" customHeight="1">
      <c r="A389" s="250" t="s">
        <v>1</v>
      </c>
      <c r="B389" s="250" t="s">
        <v>115</v>
      </c>
      <c r="C389" s="251" t="s">
        <v>260</v>
      </c>
      <c r="D389" s="252"/>
      <c r="E389" s="252"/>
      <c r="F389" s="252"/>
      <c r="G389" s="252"/>
      <c r="H389" s="252"/>
      <c r="I389" s="252"/>
      <c r="J389" s="252"/>
      <c r="K389" s="252"/>
      <c r="L389" s="39" t="s">
        <v>117</v>
      </c>
      <c r="M389" s="39" t="s">
        <v>118</v>
      </c>
      <c r="N389" s="39" t="s">
        <v>119</v>
      </c>
    </row>
    <row r="390" spans="1:15" s="38" customFormat="1">
      <c r="A390" s="250"/>
      <c r="B390" s="250"/>
      <c r="C390" s="40" t="s">
        <v>128</v>
      </c>
      <c r="D390" s="40">
        <v>50</v>
      </c>
      <c r="E390" s="40">
        <v>100</v>
      </c>
      <c r="F390" s="40">
        <v>200</v>
      </c>
      <c r="G390" s="40">
        <v>500</v>
      </c>
      <c r="H390" s="41">
        <v>1000</v>
      </c>
      <c r="I390" s="41">
        <v>2000</v>
      </c>
      <c r="J390" s="41">
        <v>5000</v>
      </c>
      <c r="K390" s="41">
        <v>8000</v>
      </c>
      <c r="L390" s="39">
        <f>$C$4</f>
        <v>1.5018819002089998</v>
      </c>
      <c r="M390" s="39">
        <f>IF(L390&lt;D390,15,IF(L390&gt;K390,K390,HLOOKUP(L390,D390:K390,1)))</f>
        <v>15</v>
      </c>
      <c r="N390" s="39">
        <f>IF(L390&lt;15,15,IF(L390&lt;50,50,IF(L390&gt;K390,K390,INDEX(D390:K390,MATCH(L390,D390:K390,1)+1))))</f>
        <v>15</v>
      </c>
    </row>
    <row r="391" spans="1:15" s="38" customFormat="1">
      <c r="A391" s="245" t="s">
        <v>294</v>
      </c>
      <c r="B391" s="246"/>
      <c r="C391" s="246"/>
      <c r="D391" s="246"/>
      <c r="E391" s="246"/>
      <c r="F391" s="246"/>
      <c r="G391" s="246"/>
      <c r="H391" s="246"/>
      <c r="I391" s="246"/>
      <c r="J391" s="246"/>
      <c r="K391" s="247"/>
      <c r="L391" s="43"/>
      <c r="M391" s="43"/>
      <c r="N391" s="43"/>
    </row>
    <row r="392" spans="1:15" s="38" customFormat="1">
      <c r="A392" s="42" t="s">
        <v>19</v>
      </c>
      <c r="B392" s="43" t="s">
        <v>121</v>
      </c>
      <c r="C392" s="44">
        <v>0.16</v>
      </c>
      <c r="D392" s="44">
        <v>0.106</v>
      </c>
      <c r="E392" s="44">
        <v>8.3000000000000004E-2</v>
      </c>
      <c r="F392" s="44">
        <v>6.2E-2</v>
      </c>
      <c r="G392" s="44">
        <v>4.5999999999999999E-2</v>
      </c>
      <c r="H392" s="44">
        <v>3.7999999999999999E-2</v>
      </c>
      <c r="I392" s="44">
        <v>2.8000000000000001E-2</v>
      </c>
      <c r="J392" s="44">
        <v>2.1000000000000001E-2</v>
      </c>
      <c r="K392" s="44">
        <v>1.7999999999999999E-2</v>
      </c>
      <c r="L392" s="45">
        <f>IF(N$306=M$306,M392,ROUND(M392-((M392-N392)/(N$306-M$306))*(L$306-M$306),3))</f>
        <v>0.16</v>
      </c>
      <c r="M392" s="45">
        <f>IF(M$306=15,C392,HLOOKUP($M$306,$D$306:$K$318,3,TRUE))</f>
        <v>0.16</v>
      </c>
      <c r="N392" s="45">
        <f>IF(N$306=15,C392,HLOOKUP($N$306,$D$306:$K$318,3,TRUE))</f>
        <v>0.16</v>
      </c>
    </row>
    <row r="393" spans="1:15" s="38" customFormat="1">
      <c r="A393" s="42" t="s">
        <v>20</v>
      </c>
      <c r="B393" s="43" t="s">
        <v>122</v>
      </c>
      <c r="C393" s="44">
        <v>0.185</v>
      </c>
      <c r="D393" s="44">
        <v>0.121</v>
      </c>
      <c r="E393" s="44">
        <v>9.4E-2</v>
      </c>
      <c r="F393" s="44">
        <v>7.1999999999999995E-2</v>
      </c>
      <c r="G393" s="44">
        <v>5.5E-2</v>
      </c>
      <c r="H393" s="44">
        <v>4.1000000000000002E-2</v>
      </c>
      <c r="I393" s="44">
        <v>3.3000000000000002E-2</v>
      </c>
      <c r="J393" s="44">
        <v>2.3E-2</v>
      </c>
      <c r="K393" s="44">
        <v>0.02</v>
      </c>
      <c r="L393" s="45">
        <f>IF(N$306=M$306,M393,ROUND(M393-((M393-N393)/(N$306-M$306))*(L$306-M$306),3))</f>
        <v>0.185</v>
      </c>
      <c r="M393" s="45">
        <f>IF(M$306=15,C393,HLOOKUP($M$306,$D$306:$K$318,4,TRUE))</f>
        <v>0.185</v>
      </c>
      <c r="N393" s="45">
        <f>IF(N$306=15,C393,HLOOKUP($N$306,$D$306:$K$318,4,TRUE))</f>
        <v>0.185</v>
      </c>
    </row>
    <row r="394" spans="1:15" s="38" customFormat="1">
      <c r="A394" s="42" t="s">
        <v>56</v>
      </c>
      <c r="B394" s="43" t="s">
        <v>123</v>
      </c>
      <c r="C394" s="44">
        <v>0.106</v>
      </c>
      <c r="D394" s="44">
        <v>6.8000000000000005E-2</v>
      </c>
      <c r="E394" s="44">
        <v>5.3999999999999999E-2</v>
      </c>
      <c r="F394" s="44">
        <v>4.1000000000000002E-2</v>
      </c>
      <c r="G394" s="44">
        <v>3.1E-2</v>
      </c>
      <c r="H394" s="44">
        <v>2.4E-2</v>
      </c>
      <c r="I394" s="44">
        <v>0.02</v>
      </c>
      <c r="J394" s="44">
        <v>1.4E-2</v>
      </c>
      <c r="K394" s="44">
        <v>1.2E-2</v>
      </c>
      <c r="L394" s="45">
        <f>IF(N$306=M$306,M394,ROUND(M394-((M394-N394)/(N$306-M$306))*(L$306-M$306),3))</f>
        <v>0.106</v>
      </c>
      <c r="M394" s="45">
        <f>IF(M$306=15,C394,HLOOKUP($M$306,$D$306:$K$318,5,TRUE))</f>
        <v>0.106</v>
      </c>
      <c r="N394" s="45">
        <f>IF(N$306=15,C394,HLOOKUP($N$306,$D$306:$K$318,5,TRUE))</f>
        <v>0.106</v>
      </c>
    </row>
    <row r="395" spans="1:15" s="38" customFormat="1" ht="30">
      <c r="A395" s="42" t="s">
        <v>100</v>
      </c>
      <c r="B395" s="61" t="s">
        <v>124</v>
      </c>
      <c r="C395" s="44">
        <v>0.11700000000000001</v>
      </c>
      <c r="D395" s="44">
        <v>7.5999999999999998E-2</v>
      </c>
      <c r="E395" s="44">
        <v>0.06</v>
      </c>
      <c r="F395" s="44">
        <v>4.5999999999999999E-2</v>
      </c>
      <c r="G395" s="44">
        <v>3.5000000000000003E-2</v>
      </c>
      <c r="H395" s="44">
        <v>2.5999999999999999E-2</v>
      </c>
      <c r="I395" s="44">
        <v>2.1999999999999999E-2</v>
      </c>
      <c r="J395" s="44">
        <v>1.6E-2</v>
      </c>
      <c r="K395" s="44">
        <v>1.4E-2</v>
      </c>
      <c r="L395" s="44">
        <f>IF(N$306=M$306,M395,ROUND(M395-((M395-N395)/(N$306-M$306))*(L$306-M$306),3))</f>
        <v>0.11700000000000001</v>
      </c>
      <c r="M395" s="45">
        <f>IF(M$306=15,C395,HLOOKUP($M$306,$D$306:$K$318,6,TRUE))</f>
        <v>0.11700000000000001</v>
      </c>
      <c r="N395" s="45">
        <f>IF(N$306=15,C395,HLOOKUP($N$306,$D$306:$K$318,6,TRUE))</f>
        <v>0.11700000000000001</v>
      </c>
    </row>
    <row r="396" spans="1:15" s="38" customFormat="1">
      <c r="A396" s="42" t="s">
        <v>262</v>
      </c>
      <c r="B396" s="43" t="s">
        <v>125</v>
      </c>
      <c r="C396" s="44">
        <v>0.122</v>
      </c>
      <c r="D396" s="44">
        <v>8.2000000000000003E-2</v>
      </c>
      <c r="E396" s="44">
        <v>6.2E-2</v>
      </c>
      <c r="F396" s="44">
        <v>4.7E-2</v>
      </c>
      <c r="G396" s="44">
        <v>3.6999999999999998E-2</v>
      </c>
      <c r="H396" s="44">
        <v>2.9000000000000001E-2</v>
      </c>
      <c r="I396" s="44">
        <v>2.4E-2</v>
      </c>
      <c r="J396" s="44">
        <v>1.7000000000000001E-2</v>
      </c>
      <c r="K396" s="44">
        <v>1.4E-2</v>
      </c>
      <c r="L396" s="45">
        <f>IF(N$306=M$306,M396,ROUND(M396-((M396-N396)/(N$306-M$306))*(L$306-M$306),3))</f>
        <v>0.122</v>
      </c>
      <c r="M396" s="45">
        <f>IF(M$306=15,C396,HLOOKUP($M$306,$D$306:$K$318,7,TRUE))</f>
        <v>0.122</v>
      </c>
      <c r="N396" s="45">
        <f>IF(N$306=15,C396,HLOOKUP($N$306,$D$306:$K$318,7,TRUE))</f>
        <v>0.122</v>
      </c>
    </row>
    <row r="397" spans="1:15" s="38" customFormat="1">
      <c r="A397" s="245" t="s">
        <v>295</v>
      </c>
      <c r="B397" s="246"/>
      <c r="C397" s="246"/>
      <c r="D397" s="246"/>
      <c r="E397" s="246"/>
      <c r="F397" s="246"/>
      <c r="G397" s="246"/>
      <c r="H397" s="246"/>
      <c r="I397" s="246"/>
      <c r="J397" s="246"/>
      <c r="K397" s="247"/>
      <c r="L397" s="43"/>
      <c r="M397" s="43"/>
      <c r="N397" s="43"/>
    </row>
    <row r="398" spans="1:15" s="38" customFormat="1">
      <c r="A398" s="42" t="s">
        <v>23</v>
      </c>
      <c r="B398" s="43" t="s">
        <v>121</v>
      </c>
      <c r="C398" s="57">
        <v>4.8000000000000001E-2</v>
      </c>
      <c r="D398" s="57">
        <v>3.1800000000000002E-2</v>
      </c>
      <c r="E398" s="57">
        <v>2.4899999999999999E-2</v>
      </c>
      <c r="F398" s="57">
        <v>1.8599999999999998E-2</v>
      </c>
      <c r="G398" s="57">
        <v>1.38E-2</v>
      </c>
      <c r="H398" s="57">
        <v>1.14E-2</v>
      </c>
      <c r="I398" s="57">
        <v>8.3999999999999995E-3</v>
      </c>
      <c r="J398" s="57">
        <v>6.3E-3</v>
      </c>
      <c r="K398" s="57">
        <v>5.4000000000000003E-3</v>
      </c>
      <c r="L398" s="62">
        <f>IF(N$306=M$306,M398,ROUND(M398-((M398-N398)/(N$306-M$306))*(L$306-M$306),4))</f>
        <v>4.8000000000000001E-2</v>
      </c>
      <c r="M398" s="62">
        <f>IF(M$306=15,C398,HLOOKUP($M$306,$D$306:$K$318,9,TRUE))</f>
        <v>4.8000000000000001E-2</v>
      </c>
      <c r="N398" s="62">
        <f>IF(N$306=15,C398,HLOOKUP($N$306,$D$306:$K$318,9,TRUE))</f>
        <v>4.8000000000000001E-2</v>
      </c>
    </row>
    <row r="399" spans="1:15" s="38" customFormat="1">
      <c r="A399" s="42" t="s">
        <v>168</v>
      </c>
      <c r="B399" s="43" t="s">
        <v>122</v>
      </c>
      <c r="C399" s="57">
        <v>5.5500000000000001E-2</v>
      </c>
      <c r="D399" s="57">
        <v>3.6299999999999999E-2</v>
      </c>
      <c r="E399" s="57">
        <v>2.8199999999999999E-2</v>
      </c>
      <c r="F399" s="57">
        <v>2.1600000000000001E-2</v>
      </c>
      <c r="G399" s="57">
        <v>1.6500000000000001E-2</v>
      </c>
      <c r="H399" s="57">
        <v>1.23E-2</v>
      </c>
      <c r="I399" s="57">
        <v>9.9000000000000008E-3</v>
      </c>
      <c r="J399" s="57">
        <v>6.8999999999999999E-3</v>
      </c>
      <c r="K399" s="57">
        <v>6.0000000000000001E-3</v>
      </c>
      <c r="L399" s="62">
        <f>IF(N$306=M$306,M399,ROUND(M399-((M399-N399)/(N$306-M$306))*(L$306-M$306),4))</f>
        <v>5.5500000000000001E-2</v>
      </c>
      <c r="M399" s="62">
        <f>IF(M$306=15,C399,HLOOKUP($M$306,$D$306:$K$318,10,TRUE))</f>
        <v>5.5500000000000001E-2</v>
      </c>
      <c r="N399" s="62">
        <f>IF(N$306=15,C399,HLOOKUP($N$306,$D$306:$K$318,10,TRUE))</f>
        <v>5.5500000000000001E-2</v>
      </c>
    </row>
    <row r="400" spans="1:15" s="38" customFormat="1">
      <c r="A400" s="42" t="s">
        <v>162</v>
      </c>
      <c r="B400" s="43" t="s">
        <v>123</v>
      </c>
      <c r="C400" s="57">
        <v>3.1800000000000002E-2</v>
      </c>
      <c r="D400" s="57">
        <v>2.0400000000000001E-2</v>
      </c>
      <c r="E400" s="57">
        <v>1.6199999999999999E-2</v>
      </c>
      <c r="F400" s="57">
        <v>1.23E-2</v>
      </c>
      <c r="G400" s="57">
        <v>9.2999999999999992E-3</v>
      </c>
      <c r="H400" s="57">
        <v>7.1999999999999998E-3</v>
      </c>
      <c r="I400" s="57">
        <v>6.0000000000000001E-3</v>
      </c>
      <c r="J400" s="57">
        <v>4.1999999999999997E-3</v>
      </c>
      <c r="K400" s="57">
        <v>3.5999999999999999E-3</v>
      </c>
      <c r="L400" s="62">
        <f>IF(N$306=M$306,M400,ROUND(M400-((M400-N400)/(N$306-M$306))*(L$306-M$306),4))</f>
        <v>3.1800000000000002E-2</v>
      </c>
      <c r="M400" s="62">
        <f>IF(M$306=15,C400,HLOOKUP($M$306,$D$306:$K$318,11,TRUE))</f>
        <v>3.1800000000000002E-2</v>
      </c>
      <c r="N400" s="62">
        <f>IF(N$306=15,C400,HLOOKUP($N$306,$D$306:$K$318,11,TRUE))</f>
        <v>3.1800000000000002E-2</v>
      </c>
    </row>
    <row r="401" spans="1:14" s="38" customFormat="1" ht="30">
      <c r="A401" s="42" t="s">
        <v>264</v>
      </c>
      <c r="B401" s="61" t="s">
        <v>124</v>
      </c>
      <c r="C401" s="57">
        <v>3.5099999999999999E-2</v>
      </c>
      <c r="D401" s="57">
        <v>2.2800000000000001E-2</v>
      </c>
      <c r="E401" s="57">
        <v>1.7999999999999999E-2</v>
      </c>
      <c r="F401" s="57">
        <v>1.38E-2</v>
      </c>
      <c r="G401" s="57">
        <v>1.0500000000000001E-2</v>
      </c>
      <c r="H401" s="57">
        <v>7.7999999999999996E-3</v>
      </c>
      <c r="I401" s="57">
        <v>6.6E-3</v>
      </c>
      <c r="J401" s="57">
        <v>4.7999999999999996E-3</v>
      </c>
      <c r="K401" s="57">
        <v>4.1999999999999997E-3</v>
      </c>
      <c r="L401" s="62">
        <f>IF(N$306=M$306,M401,ROUND(M401-((M401-N401)/(N$306-M$306))*(L$306-M$306),4))</f>
        <v>3.5099999999999999E-2</v>
      </c>
      <c r="M401" s="62">
        <f>IF(M$306=15,C401,HLOOKUP($M$306,$D$306:$K$318,12,TRUE))</f>
        <v>3.5099999999999999E-2</v>
      </c>
      <c r="N401" s="62">
        <f>IF(N$306=15,C401,HLOOKUP($N$306,$D$306:$K$318,12,TRUE))</f>
        <v>3.5099999999999999E-2</v>
      </c>
    </row>
    <row r="402" spans="1:14" s="38" customFormat="1">
      <c r="A402" s="42" t="s">
        <v>265</v>
      </c>
      <c r="B402" s="43" t="s">
        <v>125</v>
      </c>
      <c r="C402" s="57">
        <v>3.6600000000000001E-2</v>
      </c>
      <c r="D402" s="57">
        <v>2.46E-2</v>
      </c>
      <c r="E402" s="57">
        <v>1.8599999999999998E-2</v>
      </c>
      <c r="F402" s="57">
        <v>1.41E-2</v>
      </c>
      <c r="G402" s="57">
        <v>1.11E-2</v>
      </c>
      <c r="H402" s="57">
        <v>8.6999999999999994E-3</v>
      </c>
      <c r="I402" s="57">
        <v>7.1999999999999998E-3</v>
      </c>
      <c r="J402" s="57">
        <v>5.1000000000000004E-3</v>
      </c>
      <c r="K402" s="57">
        <v>4.1999999999999997E-3</v>
      </c>
      <c r="L402" s="62">
        <f>IF(N$306=M$306,M402,ROUND(M402-((M402-N402)/(N$306-M$306))*(L$306-M$306),4))</f>
        <v>3.6600000000000001E-2</v>
      </c>
      <c r="M402" s="62">
        <f>IF(M$306=15,C402,HLOOKUP($M$306,$D$306:$K$318,13,TRUE))</f>
        <v>3.6600000000000001E-2</v>
      </c>
      <c r="N402" s="62">
        <f>IF(N$306=15,C402,HLOOKUP($N$306,$D$306:$K$318,13,TRUE))</f>
        <v>3.6600000000000001E-2</v>
      </c>
    </row>
    <row r="403" spans="1:14" hidden="1">
      <c r="A403" s="36" t="s">
        <v>296</v>
      </c>
      <c r="M403" s="65">
        <f>IF(M$306=15,C403,HLOOKUP($M$306,$D$306:$K$318,2,TRUE))</f>
        <v>0</v>
      </c>
    </row>
    <row r="405" spans="1:14" hidden="1">
      <c r="A405" s="36" t="s">
        <v>297</v>
      </c>
    </row>
  </sheetData>
  <mergeCells count="150">
    <mergeCell ref="A6:B6"/>
    <mergeCell ref="C6:D6"/>
    <mergeCell ref="A7:B7"/>
    <mergeCell ref="C7:D7"/>
    <mergeCell ref="A8:B8"/>
    <mergeCell ref="C8:D8"/>
    <mergeCell ref="A1:N1"/>
    <mergeCell ref="A2:N2"/>
    <mergeCell ref="A4:B4"/>
    <mergeCell ref="C4:D4"/>
    <mergeCell ref="A5:B5"/>
    <mergeCell ref="C5:D5"/>
    <mergeCell ref="A16:G16"/>
    <mergeCell ref="K17:N17"/>
    <mergeCell ref="A19:A20"/>
    <mergeCell ref="B19:B20"/>
    <mergeCell ref="C19:N19"/>
    <mergeCell ref="A28:G28"/>
    <mergeCell ref="A9:B9"/>
    <mergeCell ref="C9:D9"/>
    <mergeCell ref="A10:B10"/>
    <mergeCell ref="C10:D10"/>
    <mergeCell ref="A11:B11"/>
    <mergeCell ref="C11:D11"/>
    <mergeCell ref="A43:A44"/>
    <mergeCell ref="B43:B44"/>
    <mergeCell ref="C43:N43"/>
    <mergeCell ref="A52:G52"/>
    <mergeCell ref="C53:F53"/>
    <mergeCell ref="A55:A56"/>
    <mergeCell ref="B55:B56"/>
    <mergeCell ref="C55:F55"/>
    <mergeCell ref="K29:N29"/>
    <mergeCell ref="A31:A32"/>
    <mergeCell ref="B31:B32"/>
    <mergeCell ref="C31:N31"/>
    <mergeCell ref="A40:G40"/>
    <mergeCell ref="K41:N41"/>
    <mergeCell ref="K137:N137"/>
    <mergeCell ref="A139:A140"/>
    <mergeCell ref="B139:B140"/>
    <mergeCell ref="C139:N139"/>
    <mergeCell ref="A148:M148"/>
    <mergeCell ref="K149:N149"/>
    <mergeCell ref="A64:G64"/>
    <mergeCell ref="J65:M65"/>
    <mergeCell ref="A67:A68"/>
    <mergeCell ref="B67:B68"/>
    <mergeCell ref="C67:M67"/>
    <mergeCell ref="A136:M136"/>
    <mergeCell ref="A172:M172"/>
    <mergeCell ref="I173:M173"/>
    <mergeCell ref="A175:A176"/>
    <mergeCell ref="B175:B176"/>
    <mergeCell ref="C175:M175"/>
    <mergeCell ref="A184:M184"/>
    <mergeCell ref="A151:A152"/>
    <mergeCell ref="B151:B152"/>
    <mergeCell ref="C151:N151"/>
    <mergeCell ref="A160:N160"/>
    <mergeCell ref="I161:M161"/>
    <mergeCell ref="A163:A164"/>
    <mergeCell ref="B163:B164"/>
    <mergeCell ref="C163:M163"/>
    <mergeCell ref="A195:A196"/>
    <mergeCell ref="B195:B196"/>
    <mergeCell ref="C195:J195"/>
    <mergeCell ref="A204:M204"/>
    <mergeCell ref="I205:J205"/>
    <mergeCell ref="A207:A208"/>
    <mergeCell ref="B207:B208"/>
    <mergeCell ref="C207:J207"/>
    <mergeCell ref="H185:I185"/>
    <mergeCell ref="A187:A188"/>
    <mergeCell ref="B187:B188"/>
    <mergeCell ref="C187:I187"/>
    <mergeCell ref="A192:M192"/>
    <mergeCell ref="I193:J193"/>
    <mergeCell ref="I229:M229"/>
    <mergeCell ref="A231:A232"/>
    <mergeCell ref="B231:B232"/>
    <mergeCell ref="C231:M231"/>
    <mergeCell ref="A240:M240"/>
    <mergeCell ref="F241:G241"/>
    <mergeCell ref="A216:M216"/>
    <mergeCell ref="I217:M217"/>
    <mergeCell ref="A219:A220"/>
    <mergeCell ref="B219:B220"/>
    <mergeCell ref="C219:M219"/>
    <mergeCell ref="A228:M228"/>
    <mergeCell ref="A256:N256"/>
    <mergeCell ref="A257:N257"/>
    <mergeCell ref="A259:M259"/>
    <mergeCell ref="A266:M266"/>
    <mergeCell ref="A273:N273"/>
    <mergeCell ref="A274:N274"/>
    <mergeCell ref="A243:A244"/>
    <mergeCell ref="B243:B244"/>
    <mergeCell ref="C243:G243"/>
    <mergeCell ref="A246:N246"/>
    <mergeCell ref="A247:N247"/>
    <mergeCell ref="A249:M249"/>
    <mergeCell ref="A282:K282"/>
    <mergeCell ref="A288:K288"/>
    <mergeCell ref="A294:K294"/>
    <mergeCell ref="A302:B302"/>
    <mergeCell ref="I303:L303"/>
    <mergeCell ref="A305:A306"/>
    <mergeCell ref="B305:B306"/>
    <mergeCell ref="C305:K305"/>
    <mergeCell ref="A276:O276"/>
    <mergeCell ref="A277:B277"/>
    <mergeCell ref="I278:L278"/>
    <mergeCell ref="A280:A281"/>
    <mergeCell ref="B280:B281"/>
    <mergeCell ref="C280:K280"/>
    <mergeCell ref="I326:L326"/>
    <mergeCell ref="A328:A329"/>
    <mergeCell ref="B328:B329"/>
    <mergeCell ref="C328:I328"/>
    <mergeCell ref="A336:N336"/>
    <mergeCell ref="A337:N337"/>
    <mergeCell ref="A307:K307"/>
    <mergeCell ref="A313:K313"/>
    <mergeCell ref="A321:N321"/>
    <mergeCell ref="A322:N322"/>
    <mergeCell ref="A324:O324"/>
    <mergeCell ref="A325:N325"/>
    <mergeCell ref="A364:N364"/>
    <mergeCell ref="A366:O366"/>
    <mergeCell ref="A367:B367"/>
    <mergeCell ref="I368:L368"/>
    <mergeCell ref="A370:A371"/>
    <mergeCell ref="B370:B371"/>
    <mergeCell ref="C370:K370"/>
    <mergeCell ref="A339:M339"/>
    <mergeCell ref="A346:M346"/>
    <mergeCell ref="A353:N353"/>
    <mergeCell ref="A354:N354"/>
    <mergeCell ref="A356:M356"/>
    <mergeCell ref="A363:N363"/>
    <mergeCell ref="A391:K391"/>
    <mergeCell ref="A397:K397"/>
    <mergeCell ref="A372:K372"/>
    <mergeCell ref="A378:K378"/>
    <mergeCell ref="A386:B386"/>
    <mergeCell ref="I387:L387"/>
    <mergeCell ref="A389:A390"/>
    <mergeCell ref="B389:B390"/>
    <mergeCell ref="C389:K38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zoomScale="70" zoomScaleNormal="70" workbookViewId="0">
      <selection activeCell="AC6" sqref="AC6"/>
    </sheetView>
  </sheetViews>
  <sheetFormatPr defaultRowHeight="15"/>
  <cols>
    <col min="1" max="1" width="12" bestFit="1" customWidth="1"/>
  </cols>
  <sheetData>
    <row r="1" spans="1:29">
      <c r="A1">
        <f>THDT!G26</f>
        <v>2018645000</v>
      </c>
      <c r="B1" t="str">
        <f>CONCATENATE(C9,E9)</f>
        <v>(Bằng chữ : Hai tỷ, không trăm mười tám triệu, sáu trăm bốn mươi lăm nghìn đồng./.)</v>
      </c>
    </row>
    <row r="3" spans="1:29">
      <c r="C3" t="s">
        <v>59</v>
      </c>
      <c r="E3" t="s">
        <v>60</v>
      </c>
      <c r="G3" t="s">
        <v>61</v>
      </c>
      <c r="J3" t="s">
        <v>62</v>
      </c>
      <c r="L3" t="s">
        <v>63</v>
      </c>
      <c r="N3" t="s">
        <v>64</v>
      </c>
      <c r="Q3" t="s">
        <v>65</v>
      </c>
      <c r="S3" t="s">
        <v>66</v>
      </c>
      <c r="U3" t="s">
        <v>67</v>
      </c>
      <c r="X3" t="s">
        <v>68</v>
      </c>
      <c r="Z3" t="s">
        <v>69</v>
      </c>
      <c r="AB3" t="s">
        <v>70</v>
      </c>
    </row>
    <row r="4" spans="1:29">
      <c r="A4">
        <f>ROUND(A1,0)</f>
        <v>2018645000</v>
      </c>
      <c r="C4">
        <f>INT(A4/10^11)</f>
        <v>0</v>
      </c>
      <c r="E4">
        <f>INT((A4-C4*10^11)/10^10)</f>
        <v>0</v>
      </c>
      <c r="G4">
        <f>INT((A4-C4*10^11-E4*10^10)/10^9)</f>
        <v>2</v>
      </c>
      <c r="J4">
        <f>INT((A4-C4*10^11-E4*10^10-G4*10^9)/10^8)</f>
        <v>0</v>
      </c>
      <c r="L4">
        <f>INT((A4-C4*10^11-E4*10^10-G4*10^9-J4*10^8)/10^7)</f>
        <v>1</v>
      </c>
      <c r="N4">
        <f>INT((A4-C4*10^11-E4*10^10-G4*10^9-J4*10^8-L4*10^7)/10^6)</f>
        <v>8</v>
      </c>
      <c r="Q4">
        <f>INT((A4-C4*10^11-E4*10^10-G4*10^9-J4*10^8-L4*10^7-N4*10^6)/10^5)</f>
        <v>6</v>
      </c>
      <c r="S4">
        <f>INT((A4-C4*10^11-E4*10^10-G4*10^9-J4*10^8-L4*10^7-N4*10^6-Q4*10^5)/10^4)</f>
        <v>4</v>
      </c>
      <c r="U4">
        <f>INT((A4-C4*10^11-E4*10^10-G4*10^9-J4*10^8-L4*10^7-N4*10^6-Q4*10^5-S4*10^4)/10^3)</f>
        <v>5</v>
      </c>
      <c r="X4">
        <f>INT((A4-C4*10^11-E4*10^10-G4*10^9-J4*10^8-L4*10^7-N4*10^6-Q4*10^5-S4*10^4-U4*10^3)/10^2)</f>
        <v>0</v>
      </c>
      <c r="Z4">
        <f>INT((A4-C4*10^11-E4*10^10-G4*10^9-J4*10^8-L4*10^7-N4*10^6-Q4*10^5-S4*10^4-U4*10^3-X4*10^2)/10)</f>
        <v>0</v>
      </c>
      <c r="AB4">
        <f>INT((A4-C4*10^11-E4*10^10-G4*10^9-J4*10^8-L4*10^7-N4*10^6-Q4*10^5-S4*10^4-U4*10^3-X4*10^2-Z4*10)/1)</f>
        <v>0</v>
      </c>
    </row>
    <row r="5" spans="1:29">
      <c r="C5" t="str">
        <f>IF(C4&lt;&gt;0,VLOOKUP(C4,Table1,2,0),"")</f>
        <v/>
      </c>
      <c r="D5" t="str">
        <f>IF(C4&lt;&gt;0,"trăm ","")</f>
        <v/>
      </c>
      <c r="E5" t="str">
        <f>IF(AND(C4,E4&lt;&gt;0),VLOOKUP(E4,Table5,2,0),IF(AND(C4=0,E4&lt;&gt;0),VLOOKUP(E4,Table5,2,0),""))</f>
        <v/>
      </c>
      <c r="F5" t="str">
        <f>IF(AND(C4&lt;&gt;0,E4=0,G4=0),"",IF(AND(E4=0,C4&gt;0),"lẻ ",IF(E4=0,"",IF(E4=1,"","mươi "))))</f>
        <v/>
      </c>
      <c r="G5" t="str">
        <f>IF(AND(C4&lt;&gt;0,E4=0,G4=1),"một ",IF(AND(C4=0,E4=0,G4=1),"một ",IF(AND(E4=1,G4=1),"một ",IF(AND(C4&lt;&gt;0,E4=0,G4=5),"năm ",IF(AND(C4=0,E4=0,G4&lt;&gt;0),VLOOKUP(G4,Table1,2,0),IF(G4&lt;&gt;0,VLOOKUP(G4,Table4,2,0),""))))))</f>
        <v xml:space="preserve">hai </v>
      </c>
      <c r="H5" t="str">
        <f>IF(C4&lt;&gt;0,"tỷ",IF(E4&lt;&gt;0,"tỷ",IF(G4&lt;&gt;0,"tỷ","")))</f>
        <v>tỷ</v>
      </c>
      <c r="I5" t="str">
        <f>IF(AND(C4=0,E4=0,G4=0),"",IF(AND(O5="",V5=""),"",", "))</f>
        <v xml:space="preserve">, </v>
      </c>
      <c r="J5" t="str">
        <f>IF(AND(I5="",J4=0),"",IF(J4&lt;&gt;0,VLOOKUP(J4,Table1,2,0),IF(P5=", ",VLOOKUP(J4,Table2,2,0),"")))</f>
        <v xml:space="preserve">không </v>
      </c>
      <c r="K5" t="str">
        <f>IF(J4&lt;&gt;0,"trăm ",IF(J5="không ","trăm ",""))</f>
        <v xml:space="preserve">trăm </v>
      </c>
      <c r="L5" t="str">
        <f>IF(AND(J4,L4&lt;&gt;0),VLOOKUP(L4,Table5,2,0),IF(AND(J4=0,L4&lt;&gt;0),VLOOKUP(L4,Table5,2,0),""))</f>
        <v xml:space="preserve">mười </v>
      </c>
      <c r="M5" t="str">
        <f>IF(AND(J4&lt;&gt;0,L4=0,N4=0),"",IF(AND(L4=0,J4&gt;0),"lẻ ",IF(AND(I5=", ",J4=0,L4=0,N4&lt;&gt;0),"lẻ ",IF(L4=0,"",IF(L4=1,"","mươi ")))))</f>
        <v/>
      </c>
      <c r="N5" t="str">
        <f>IF(AND(J4&lt;&gt;0,L4=0,N4=1),"một ",IF(AND(J4=0,L4=0,N4=1),"một ",IF(AND(L4=1,N4=1),"một ",IF(AND(J4&lt;&gt;0,L4=0,N4=5),"năm ",IF(AND(J4=0,L4=0,N4&lt;&gt;0),VLOOKUP(N4,Table1,2,0),IF(N4&lt;&gt;0,VLOOKUP(N4,Table4,2,0),""))))))</f>
        <v xml:space="preserve">tám </v>
      </c>
      <c r="O5" t="str">
        <f>IF(J4&lt;&gt;0,"triệu",IF(L4&lt;&gt;0,"triệu",IF(N4&lt;&gt;0,"triệu","")))</f>
        <v>triệu</v>
      </c>
      <c r="P5" t="str">
        <f>IF(AND(C4=0,E4=0,G4=0,J4=0,L4=0,N4=0),"",IF(AND(Q4=0,S4=0,U4=0,X4=0,Z4=0,AB4=0)," ",", "))</f>
        <v xml:space="preserve">, </v>
      </c>
      <c r="Q5" t="str">
        <f>IF(Q4&lt;&gt;0,VLOOKUP(Q4,Table2,2,0),IF(P5=", ",VLOOKUP(Q4,Table2,2,0),""))</f>
        <v xml:space="preserve">sáu </v>
      </c>
      <c r="R5" t="str">
        <f>IF(Q4&lt;&gt;0,"trăm ",IF(Q5="không ","trăm ",""))</f>
        <v xml:space="preserve">trăm </v>
      </c>
      <c r="S5" t="str">
        <f>IF(AND(Q4,S4&lt;&gt;0),VLOOKUP(S4,Table5,2,0),IF(AND(Q4=0,S4&lt;&gt;0),VLOOKUP(S4,Table5,2,0),""))</f>
        <v xml:space="preserve">bốn </v>
      </c>
      <c r="T5" t="str">
        <f>IF(AND(Q4&lt;&gt;0,S4=0,U4=0),"",IF(AND(S4=0,Q4&gt;0),"lẻ ",IF(AND(P5=", ",Q4=0,S4=0,U4&lt;&gt;0),"lẻ ",IF(S4=0,"",IF(S4=1,"","mươi ")))))</f>
        <v xml:space="preserve">mươi </v>
      </c>
      <c r="U5" t="str">
        <f>IF(AND(Q4&lt;&gt;0,S4=0,U4=1),"một ",IF(AND(Q4=0,S4=0,U4=1),"một ",IF(AND(S4=1,U4=1),"một ",IF(AND(Q4&lt;&gt;0,S4=0,U4=5),"năm ",IF(AND(Q4=0,S4=0,U4&lt;&gt;0),VLOOKUP(U4,Table1,2,0),IF(U4&lt;&gt;0,VLOOKUP(U4,Table4,2,0),""))))))</f>
        <v xml:space="preserve">lăm </v>
      </c>
      <c r="V5" t="str">
        <f>IF(AND(Q4=0,S4=0,U4=0),"",IF(AND(X4=0,Z4=0,AB4=0),"nghìn ",IF(Q4&lt;&gt;0,"nghìn",IF(S4&lt;&gt;0,"nghìn",IF(U4&lt;&gt;0,"nghìn","")))))</f>
        <v xml:space="preserve">nghìn </v>
      </c>
      <c r="W5" t="str">
        <f>IF(AND(X4=0,Z4=0,AB4=0),"",IF(V5="","",", "))</f>
        <v/>
      </c>
      <c r="X5" t="str">
        <f>IF(X4&lt;&gt;0,VLOOKUP(X4,Table2,2,0),IF(W5=", ",VLOOKUP(X4,Table2,2,0),""))</f>
        <v/>
      </c>
      <c r="Y5" t="str">
        <f>IF(X4&lt;&gt;0,"trăm ",IF(X5="không ","trăm ",""))</f>
        <v/>
      </c>
      <c r="Z5" t="str">
        <f>IF(AND(X4,Z4&lt;&gt;0),VLOOKUP(Z4,Table5,2,0),IF(AND(X4=0,Z4&lt;&gt;0),VLOOKUP(Z4,Table5,2,0),""))</f>
        <v/>
      </c>
      <c r="AA5" t="str">
        <f>IF(AND(X4&lt;&gt;0,Z4=0,AB4=0),"",IF(AND(Z4=0,X4&gt;0),"lẻ ",IF(AND(W5=", ",X4=0,Z4=0,AB4&lt;&gt;0),"lẻ ",IF(Z4=0,"",IF(Z4=1,"","mươi ")))))</f>
        <v/>
      </c>
      <c r="AB5" t="str">
        <f>IF(AND(X4&lt;&gt;0,Z4=0,AB4=1),"một ",IF(AND(X4=0,Z4=0,AB4=1),"một ",IF(AND(Z4=1,AB4=1),"một ",IF(AND(X4&lt;&gt;0,Z4=0,AB4=5),"năm ",IF(AND(X4=0,Z4=0,AB4&lt;&gt;0),VLOOKUP(AB4,Table1,2,0),IF(AB4&lt;&gt;0,VLOOKUP(AB4,Table4,2,0),""))))))</f>
        <v/>
      </c>
      <c r="AC5" t="s">
        <v>358</v>
      </c>
    </row>
    <row r="7" spans="1:29">
      <c r="C7" t="str">
        <f>CONCATENATE(C5,D5,E5,F5,G5,H5,I5,J5,K5,L5,M5,N5,O5,P5,Q5,R5,S5,T5,U5,V5,W5,X5,Y5,Z5,AA5,AB5,AC5)</f>
        <v>hai tỷ, không trăm mười tám triệu, sáu trăm bốn mươi lăm nghìn đồng./.)</v>
      </c>
    </row>
    <row r="8" spans="1:29">
      <c r="C8" t="str">
        <f>LEFT(C7,1)</f>
        <v>h</v>
      </c>
      <c r="E8" t="str">
        <f>UPPER(C8)</f>
        <v>H</v>
      </c>
    </row>
    <row r="9" spans="1:29">
      <c r="C9" t="s">
        <v>71</v>
      </c>
      <c r="E9" t="str">
        <f>REPLACE(C7,1,1,E8)</f>
        <v>Hai tỷ, không trăm mười tám triệu, sáu trăm bốn mươi lăm nghìn đồng./.)</v>
      </c>
    </row>
    <row r="31" spans="2:18">
      <c r="B31">
        <v>0</v>
      </c>
      <c r="E31">
        <v>0</v>
      </c>
      <c r="F31" t="s">
        <v>72</v>
      </c>
      <c r="H31">
        <v>0</v>
      </c>
      <c r="I31" t="s">
        <v>72</v>
      </c>
      <c r="K31">
        <v>0</v>
      </c>
      <c r="N31">
        <v>0</v>
      </c>
      <c r="Q31">
        <v>0</v>
      </c>
      <c r="R31" t="s">
        <v>72</v>
      </c>
    </row>
    <row r="32" spans="2:18">
      <c r="B32">
        <v>1</v>
      </c>
      <c r="C32" t="s">
        <v>73</v>
      </c>
      <c r="E32">
        <v>1</v>
      </c>
      <c r="F32" t="s">
        <v>73</v>
      </c>
      <c r="H32">
        <v>1</v>
      </c>
      <c r="I32" t="s">
        <v>74</v>
      </c>
      <c r="K32">
        <v>1</v>
      </c>
      <c r="L32" t="s">
        <v>74</v>
      </c>
      <c r="N32">
        <v>1</v>
      </c>
      <c r="O32" t="s">
        <v>75</v>
      </c>
      <c r="Q32">
        <v>1</v>
      </c>
      <c r="R32" t="s">
        <v>75</v>
      </c>
    </row>
    <row r="33" spans="1:18">
      <c r="B33">
        <v>2</v>
      </c>
      <c r="C33" t="s">
        <v>76</v>
      </c>
      <c r="E33">
        <v>2</v>
      </c>
      <c r="F33" t="s">
        <v>76</v>
      </c>
      <c r="H33">
        <v>2</v>
      </c>
      <c r="I33" t="s">
        <v>76</v>
      </c>
      <c r="K33">
        <v>2</v>
      </c>
      <c r="L33" t="s">
        <v>76</v>
      </c>
      <c r="N33">
        <v>2</v>
      </c>
      <c r="O33" t="s">
        <v>76</v>
      </c>
      <c r="Q33">
        <v>2</v>
      </c>
      <c r="R33" t="s">
        <v>76</v>
      </c>
    </row>
    <row r="34" spans="1:18">
      <c r="B34">
        <v>3</v>
      </c>
      <c r="C34" t="s">
        <v>77</v>
      </c>
      <c r="E34">
        <v>3</v>
      </c>
      <c r="F34" t="s">
        <v>77</v>
      </c>
      <c r="H34">
        <v>3</v>
      </c>
      <c r="I34" t="s">
        <v>77</v>
      </c>
      <c r="K34">
        <v>3</v>
      </c>
      <c r="L34" t="s">
        <v>77</v>
      </c>
      <c r="N34">
        <v>3</v>
      </c>
      <c r="O34" t="s">
        <v>77</v>
      </c>
      <c r="Q34">
        <v>3</v>
      </c>
      <c r="R34" t="s">
        <v>77</v>
      </c>
    </row>
    <row r="35" spans="1:18">
      <c r="B35">
        <v>4</v>
      </c>
      <c r="C35" t="s">
        <v>78</v>
      </c>
      <c r="E35">
        <v>4</v>
      </c>
      <c r="F35" t="s">
        <v>78</v>
      </c>
      <c r="H35">
        <v>4</v>
      </c>
      <c r="I35" t="s">
        <v>78</v>
      </c>
      <c r="K35">
        <v>4</v>
      </c>
      <c r="L35" t="s">
        <v>78</v>
      </c>
      <c r="N35">
        <v>4</v>
      </c>
      <c r="O35" t="s">
        <v>78</v>
      </c>
      <c r="Q35">
        <v>4</v>
      </c>
      <c r="R35" t="s">
        <v>78</v>
      </c>
    </row>
    <row r="36" spans="1:18">
      <c r="B36">
        <v>5</v>
      </c>
      <c r="C36" t="s">
        <v>79</v>
      </c>
      <c r="E36">
        <v>5</v>
      </c>
      <c r="F36" t="s">
        <v>79</v>
      </c>
      <c r="H36">
        <v>5</v>
      </c>
      <c r="I36" t="s">
        <v>80</v>
      </c>
      <c r="K36">
        <v>5</v>
      </c>
      <c r="L36" t="s">
        <v>80</v>
      </c>
      <c r="N36">
        <v>5</v>
      </c>
      <c r="O36" t="s">
        <v>79</v>
      </c>
      <c r="Q36">
        <v>5</v>
      </c>
      <c r="R36" t="s">
        <v>79</v>
      </c>
    </row>
    <row r="37" spans="1:18">
      <c r="B37">
        <v>6</v>
      </c>
      <c r="C37" t="s">
        <v>81</v>
      </c>
      <c r="E37">
        <v>6</v>
      </c>
      <c r="F37" t="s">
        <v>81</v>
      </c>
      <c r="H37">
        <v>6</v>
      </c>
      <c r="I37" t="s">
        <v>81</v>
      </c>
      <c r="K37">
        <v>6</v>
      </c>
      <c r="L37" t="s">
        <v>81</v>
      </c>
      <c r="N37">
        <v>6</v>
      </c>
      <c r="O37" t="s">
        <v>81</v>
      </c>
      <c r="Q37">
        <v>6</v>
      </c>
      <c r="R37" t="s">
        <v>81</v>
      </c>
    </row>
    <row r="38" spans="1:18">
      <c r="B38">
        <v>7</v>
      </c>
      <c r="C38" t="s">
        <v>82</v>
      </c>
      <c r="E38">
        <v>7</v>
      </c>
      <c r="F38" t="s">
        <v>82</v>
      </c>
      <c r="H38">
        <v>7</v>
      </c>
      <c r="I38" t="s">
        <v>82</v>
      </c>
      <c r="K38">
        <v>7</v>
      </c>
      <c r="L38" t="s">
        <v>82</v>
      </c>
      <c r="N38">
        <v>7</v>
      </c>
      <c r="O38" t="s">
        <v>82</v>
      </c>
      <c r="Q38">
        <v>7</v>
      </c>
      <c r="R38" t="s">
        <v>82</v>
      </c>
    </row>
    <row r="39" spans="1:18">
      <c r="B39">
        <v>8</v>
      </c>
      <c r="C39" t="s">
        <v>83</v>
      </c>
      <c r="E39">
        <v>8</v>
      </c>
      <c r="F39" t="s">
        <v>83</v>
      </c>
      <c r="H39">
        <v>8</v>
      </c>
      <c r="I39" t="s">
        <v>83</v>
      </c>
      <c r="K39">
        <v>8</v>
      </c>
      <c r="L39" t="s">
        <v>83</v>
      </c>
      <c r="N39">
        <v>8</v>
      </c>
      <c r="O39" t="s">
        <v>83</v>
      </c>
      <c r="Q39">
        <v>8</v>
      </c>
      <c r="R39" t="s">
        <v>83</v>
      </c>
    </row>
    <row r="40" spans="1:18">
      <c r="B40">
        <v>9</v>
      </c>
      <c r="C40" t="s">
        <v>84</v>
      </c>
      <c r="E40">
        <v>9</v>
      </c>
      <c r="F40" t="s">
        <v>84</v>
      </c>
      <c r="H40">
        <v>9</v>
      </c>
      <c r="I40" t="s">
        <v>84</v>
      </c>
      <c r="K40">
        <v>9</v>
      </c>
      <c r="L40" t="s">
        <v>84</v>
      </c>
      <c r="N40">
        <v>9</v>
      </c>
      <c r="O40" t="s">
        <v>84</v>
      </c>
      <c r="Q40">
        <v>9</v>
      </c>
      <c r="R40" t="s">
        <v>84</v>
      </c>
    </row>
    <row r="41" spans="1:18">
      <c r="B41">
        <v>10</v>
      </c>
      <c r="C41" t="s">
        <v>75</v>
      </c>
      <c r="E41">
        <v>10</v>
      </c>
      <c r="F41" t="s">
        <v>75</v>
      </c>
      <c r="H41">
        <v>10</v>
      </c>
      <c r="I41" t="s">
        <v>75</v>
      </c>
      <c r="K41">
        <v>10</v>
      </c>
      <c r="L41" t="s">
        <v>75</v>
      </c>
    </row>
    <row r="42" spans="1:18">
      <c r="B42" t="s">
        <v>85</v>
      </c>
      <c r="E42" t="s">
        <v>86</v>
      </c>
      <c r="H42" t="s">
        <v>87</v>
      </c>
      <c r="K42" t="s">
        <v>88</v>
      </c>
      <c r="N42" t="s">
        <v>89</v>
      </c>
      <c r="Q42" t="s">
        <v>90</v>
      </c>
    </row>
    <row r="44" spans="1:18">
      <c r="A44" t="s">
        <v>91</v>
      </c>
      <c r="B44" t="str">
        <f ca="1">CONCATENATE(C46,D46,E46,F46,G46,H46,I46,J46,K46)</f>
        <v>TP. Hải Phòngngày  09  tháng  07  năm  2026</v>
      </c>
    </row>
    <row r="46" spans="1:18">
      <c r="A46" t="s">
        <v>92</v>
      </c>
      <c r="C46" t="s">
        <v>93</v>
      </c>
      <c r="D46" t="s">
        <v>94</v>
      </c>
      <c r="E46" t="str">
        <f ca="1">IF(F46&lt;10,"0","")</f>
        <v>0</v>
      </c>
      <c r="F46">
        <f ca="1">VALUE(B47)</f>
        <v>9</v>
      </c>
      <c r="G46" t="s">
        <v>95</v>
      </c>
      <c r="H46" t="str">
        <f ca="1">IF(I46&lt;10,"0","")</f>
        <v>0</v>
      </c>
      <c r="I46">
        <f ca="1">VALUE(B48)</f>
        <v>7</v>
      </c>
      <c r="J46" t="s">
        <v>96</v>
      </c>
      <c r="K46">
        <f ca="1">VALUE(B49)</f>
        <v>2026</v>
      </c>
    </row>
    <row r="47" spans="1:18">
      <c r="A47" t="s">
        <v>97</v>
      </c>
      <c r="B47">
        <f ca="1">DAY(TODAY())</f>
        <v>9</v>
      </c>
    </row>
    <row r="48" spans="1:18">
      <c r="A48" t="s">
        <v>98</v>
      </c>
      <c r="B48">
        <f ca="1">MONTH(TODAY())</f>
        <v>7</v>
      </c>
    </row>
    <row r="49" spans="1:2">
      <c r="A49" t="s">
        <v>99</v>
      </c>
      <c r="B49">
        <f ca="1">YEAR(TODAY())</f>
        <v>2026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DTCBĐT</vt:lpstr>
      <vt:lpstr>THDT</vt:lpstr>
      <vt:lpstr>TT 12-2021</vt:lpstr>
      <vt:lpstr>Chu so</vt:lpstr>
      <vt:lpstr>DTCBĐT!Print_Area</vt:lpstr>
      <vt:lpstr>THDT!Print_Area</vt:lpstr>
      <vt:lpstr>DTCBĐT!Print_Titles</vt:lpstr>
      <vt:lpstr>THDT!Print_Titles</vt:lpstr>
      <vt:lpstr>Table1</vt:lpstr>
      <vt:lpstr>Table2</vt:lpstr>
      <vt:lpstr>Table4</vt:lpstr>
      <vt:lpstr>Table5</vt:lpstr>
    </vt:vector>
  </TitlesOfParts>
  <Company>Updatesofts Forums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TeozPRO</dc:creator>
  <cp:lastModifiedBy>Administrator</cp:lastModifiedBy>
  <cp:lastPrinted>2026-07-08T07:27:59Z</cp:lastPrinted>
  <dcterms:created xsi:type="dcterms:W3CDTF">2019-11-12T09:29:20Z</dcterms:created>
  <dcterms:modified xsi:type="dcterms:W3CDTF">2026-07-09T03:31:14Z</dcterms:modified>
</cp:coreProperties>
</file>