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MÁY NGOAN\dữ liệu đến 42019\109 NĂM 2025\20.KHAI TOAN KIEN MINH\02. BV + DT MUONG THOAT\02. BV + DT MUONG THOAT\"/>
    </mc:Choice>
  </mc:AlternateContent>
  <xr:revisionPtr revIDLastSave="0" documentId="13_ncr:1_{4D727344-7004-4FD5-813F-562D9EE5677B}" xr6:coauthVersionLast="47" xr6:coauthVersionMax="47" xr10:uidLastSave="{00000000-0000-0000-0000-000000000000}"/>
  <bookViews>
    <workbookView xWindow="-108" yWindow="-108" windowWidth="23256" windowHeight="12576" xr2:uid="{9C7B5603-73ED-4183-BA6C-7BAA264556D5}"/>
  </bookViews>
  <sheets>
    <sheet name="Thông số chung" sheetId="1" r:id="rId1"/>
  </sheets>
  <definedNames>
    <definedName name="QKA_KLTB" localSheetId="0">IFERROR(IF('Thông số chung'!$D1="","",ROUND('Thông số chung'!$D1*'Thông số chung'!$I1,3)),"")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F32" i="1"/>
  <c r="F29" i="1"/>
  <c r="F26" i="1"/>
  <c r="F23" i="1"/>
  <c r="F20" i="1"/>
  <c r="F31" i="1"/>
  <c r="F28" i="1"/>
  <c r="F25" i="1"/>
  <c r="F22" i="1"/>
  <c r="F19" i="1"/>
  <c r="I11" i="1"/>
  <c r="F66" i="1"/>
  <c r="F63" i="1"/>
  <c r="F62" i="1"/>
  <c r="G62" i="1" s="1"/>
  <c r="F58" i="1"/>
  <c r="F65" i="1"/>
  <c r="F59" i="1"/>
  <c r="F51" i="1"/>
  <c r="F55" i="1"/>
  <c r="F54" i="1"/>
  <c r="F52" i="1"/>
  <c r="F50" i="1"/>
  <c r="F49" i="1"/>
  <c r="F33" i="1" l="1"/>
  <c r="F30" i="1"/>
  <c r="F27" i="1"/>
  <c r="F24" i="1"/>
  <c r="F21" i="1"/>
  <c r="G10" i="1"/>
  <c r="F77" i="1" l="1"/>
  <c r="F79" i="1"/>
  <c r="F78" i="1"/>
  <c r="F76" i="1"/>
  <c r="F74" i="1"/>
  <c r="F73" i="1"/>
  <c r="F75" i="1"/>
  <c r="F72" i="1"/>
  <c r="F71" i="1"/>
  <c r="F70" i="1"/>
  <c r="F35" i="1"/>
  <c r="F60" i="1"/>
  <c r="G34" i="1" l="1"/>
  <c r="F67" i="1" l="1"/>
</calcChain>
</file>

<file path=xl/sharedStrings.xml><?xml version="1.0" encoding="utf-8"?>
<sst xmlns="http://schemas.openxmlformats.org/spreadsheetml/2006/main" count="192" uniqueCount="125">
  <si>
    <t>Chiều dài tuyến</t>
  </si>
  <si>
    <t>Tuyến 1( Phân đoạn 1)</t>
  </si>
  <si>
    <t>Cách tính</t>
  </si>
  <si>
    <t>Ký hiệu</t>
  </si>
  <si>
    <t>L1</t>
  </si>
  <si>
    <t>Phân đoạn 2</t>
  </si>
  <si>
    <t>L2</t>
  </si>
  <si>
    <t>Phân đoạn 3</t>
  </si>
  <si>
    <t>L3</t>
  </si>
  <si>
    <t>Phân đoạn 4</t>
  </si>
  <si>
    <t>L4</t>
  </si>
  <si>
    <t>Phân đoạn 5</t>
  </si>
  <si>
    <t>L5</t>
  </si>
  <si>
    <t>Biện pháp thi công</t>
  </si>
  <si>
    <t>vận chuyển phao, máy đào đến đóng cừ thép</t>
  </si>
  <si>
    <t>Vcphao</t>
  </si>
  <si>
    <t>100m</t>
  </si>
  <si>
    <t>Phân đoạn 1</t>
  </si>
  <si>
    <t>Đóng cừ thép chống sạt</t>
  </si>
  <si>
    <t>I</t>
  </si>
  <si>
    <t>II</t>
  </si>
  <si>
    <t>Theo KL đóng</t>
  </si>
  <si>
    <t>Theo KL đào</t>
  </si>
  <si>
    <t>(5*5,6+20)*3/100</t>
  </si>
  <si>
    <t>III</t>
  </si>
  <si>
    <t>m</t>
  </si>
  <si>
    <t>chuyến</t>
  </si>
  <si>
    <t>m3</t>
  </si>
  <si>
    <t>100m3</t>
  </si>
  <si>
    <t>Phủ cát đầu cọc</t>
  </si>
  <si>
    <t>100m2</t>
  </si>
  <si>
    <t>Tấn</t>
  </si>
  <si>
    <t>Theo Thống kê</t>
  </si>
  <si>
    <t>Ván khuôn bê tông móng rãnh</t>
  </si>
  <si>
    <t>Bê tông đế móng</t>
  </si>
  <si>
    <t>Cốt thép thành cống</t>
  </si>
  <si>
    <t>Cốt thép bản mặt</t>
  </si>
  <si>
    <t>Đắp đất chèn cống</t>
  </si>
  <si>
    <t>Vận chuển đất thừa ra bãi thải cự ly &lt;1000m</t>
  </si>
  <si>
    <t>KL đào-Khối lượng đắp</t>
  </si>
  <si>
    <t>IV</t>
  </si>
  <si>
    <t>THI CÔNG</t>
  </si>
  <si>
    <t>ngày</t>
  </si>
  <si>
    <t>Vận chuyển đất cấp 1 trong phạm vi 5 km</t>
  </si>
  <si>
    <t>Rộng móng cống</t>
  </si>
  <si>
    <t>Rm2=3,4m</t>
  </si>
  <si>
    <t>Chiều cao cống</t>
  </si>
  <si>
    <t>Ht2</t>
  </si>
  <si>
    <t>Bm</t>
  </si>
  <si>
    <t>(L2+L3+L4+L5+L6)*Rm*0,1</t>
  </si>
  <si>
    <t>(L2+L3+L4+L5+L6+Rm2)*2*0,25/100</t>
  </si>
  <si>
    <t>(L2+L3+L4+L5+L6)*Rm2*0,25</t>
  </si>
  <si>
    <t>Chiều dày thành</t>
  </si>
  <si>
    <t>Bt2</t>
  </si>
  <si>
    <t>Bê tông bản mặt</t>
  </si>
  <si>
    <t>(L2+L3+L4+L5+L6)*2*2*0,25/100</t>
  </si>
  <si>
    <t>CỬA CỐNG</t>
  </si>
  <si>
    <t>100md</t>
  </si>
  <si>
    <t>Cát đen phủ đầu cọc</t>
  </si>
  <si>
    <t>Ván khuôn bê tông lót móng cửa cống</t>
  </si>
  <si>
    <t>Bê tông lót móng cống</t>
  </si>
  <si>
    <t>Ván khuôn bê tông cửa cống</t>
  </si>
  <si>
    <t>Bê tông cửa cống mác 250</t>
  </si>
  <si>
    <t>Bê tông chân khay</t>
  </si>
  <si>
    <t>tấn</t>
  </si>
  <si>
    <t>Bê tông cánh cống</t>
  </si>
  <si>
    <t>BẢNG TÍNH KHỐI LƯỢNG CỐNG</t>
  </si>
  <si>
    <t>Bản mặt trên dày 0,25m</t>
  </si>
  <si>
    <t>ca</t>
  </si>
  <si>
    <t>KL đào (tận dụng 50%)</t>
  </si>
  <si>
    <t>Bạt chống thấm nước tại các quai xanh</t>
  </si>
  <si>
    <t xml:space="preserve">Bơm nước phục vụ thi công 5 phân đoạn cuối </t>
  </si>
  <si>
    <t>Chặt cây</t>
  </si>
  <si>
    <t>cây</t>
  </si>
  <si>
    <t>Đào bùn, đất bằng phương pháp xói bơm về ga chứa (đào máy 70%)</t>
  </si>
  <si>
    <t>Đào xúc dất, bùn tại ga chứa lên xe (thủ công 30%)</t>
  </si>
  <si>
    <t>Đóng cọc tre L=2,5m mật đô 25c/m2</t>
  </si>
  <si>
    <t>Băng cản nước V25 2 vị trí</t>
  </si>
  <si>
    <t>Cốt thép cánh cống</t>
  </si>
  <si>
    <t>8,76*0,3*0,5</t>
  </si>
  <si>
    <t>Vận chuyển đến và vận chuyển đi</t>
  </si>
  <si>
    <t>Ván khuôn cánh cống</t>
  </si>
  <si>
    <t>Cốt thép Đế cống</t>
  </si>
  <si>
    <t>Đóng cọc tre cửa cống và cánh cống L=2,5m mật độ 25c/m2</t>
  </si>
  <si>
    <t>(3,4+8,76)*1,55/2+1,8*8,76)*0,1</t>
  </si>
  <si>
    <t>(3,1*2+1,8*2+8,76)*0,1/100</t>
  </si>
  <si>
    <t>bản vẽ chi tiết ((3,4+8,76)*1,55/2+1,8*8,76)*25*2,5/100</t>
  </si>
  <si>
    <t>((3,4+8,76)*1,55/2+1,8*8,76)*0,1/100</t>
  </si>
  <si>
    <t>((3,1*2+1,8*2+8,76)*0,3+0,25*(3,1+0,735)*2)/100</t>
  </si>
  <si>
    <t>((3,4+8,76)*1,55/2+1,8*8,76)*0,3+0,735*8,76*0,25+(3,4+8,76)*1,55/2*0,25)</t>
  </si>
  <si>
    <t>(0,5*0,25+3*0,5*3*2+(3+0,5)*1,75/2*2)*2/100</t>
  </si>
  <si>
    <t>2*0,25*(3*0,5+(3+0,5)*1,75/2)</t>
  </si>
  <si>
    <t>Văng chống</t>
  </si>
  <si>
    <t>L1/10+1 tính chẵn 5 điểm văng: 5*2*5,6/100</t>
  </si>
  <si>
    <t>L2/10+1 tính chẵn 5 điểm văng: 5*2*5,6/100</t>
  </si>
  <si>
    <t>L3/10+1 tính chẵn 5 điểm văng: 5*2*5,6/100</t>
  </si>
  <si>
    <t>(L4*2*8+(L4*2)/100</t>
  </si>
  <si>
    <t>L5/10+1 tính chẵn 5 điểm văng: 5*2*5,6/100</t>
  </si>
  <si>
    <t>L4/10+1 tính chẵn 5 điểm văng: 5*2*5,6/100</t>
  </si>
  <si>
    <t>Nhổ cừ tháo văng chống sau thi công</t>
  </si>
  <si>
    <t>Ván thép chống lầy cho máy xuống đóng cọc tre
 móng phân đoạn 1+2+3+4+5</t>
  </si>
  <si>
    <t>(L1+L2+L3+L4+L5)*Rm*2,5*25/100</t>
  </si>
  <si>
    <t>(L1+L2+L3+L4+L5)*Rm*0,1</t>
  </si>
  <si>
    <t>Ván khuôn bê tông lot L1+L2+L3+L4+L5</t>
  </si>
  <si>
    <t>(L1+Rm)*2*5*0,1/100</t>
  </si>
  <si>
    <t>Bê tông lót móng cống 5 phân đoạn</t>
  </si>
  <si>
    <t>Ván khuôn thành rãnh 5 phân đoạn</t>
  </si>
  <si>
    <t>Bê tông thành cống 5 phân đoạn</t>
  </si>
  <si>
    <t>Bản vẽ chi tiết;5*(43+0,25)*2*2,5*2/100</t>
  </si>
  <si>
    <t>bản vẽ chi tiết: 43*2*0,3*2,5*5</t>
  </si>
  <si>
    <t>bản vẽ chi tiết;43*5*2,5*0,25</t>
  </si>
  <si>
    <t>Thành cống</t>
  </si>
  <si>
    <t>Móng cống</t>
  </si>
  <si>
    <t>bản mặt cống</t>
  </si>
  <si>
    <t>Bản vẽ chi tiết;5*43*2,5/100</t>
  </si>
  <si>
    <t>Ván khuôn bản mặt trong cống 5 phân đoạn</t>
  </si>
  <si>
    <t>Ván khuôn vây bản mặt</t>
  </si>
  <si>
    <t>Bản vẽ chi tiết: 5*(43+3,4)*2*0,25/100</t>
  </si>
  <si>
    <t>THI CÔNG PHÂN ĐOẠN 1;2;3;4'5</t>
  </si>
  <si>
    <t>(L1*2*8+(L1*2*2)/100</t>
  </si>
  <si>
    <t>(L2*2*8+(L2*2*2)/100</t>
  </si>
  <si>
    <t>(L3*2*8+(L3*2*2)/100</t>
  </si>
  <si>
    <t>(L5*2*8+(L5*2*2)/100</t>
  </si>
  <si>
    <t>Cừ thay đê quai xanh</t>
  </si>
  <si>
    <t>5,6*8/100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</si>
</sst>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name val=".VnTime"/>
      <family val="2"/>
    </font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Bình thường" xfId="0" builtinId="0"/>
    <cellStyle name="Bình thường 2" xfId="1" xr:uid="{7D03DDFC-D7C0-4330-85F4-C295788F4531}"/>
    <cellStyle name="Bình thường 3 2" xfId="2" xr:uid="{3CF1C1FE-000B-4736-9370-E247A9396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0567-1587-4017-AE69-F9EA2D3A6B1F}">
  <dimension ref="A1:AT99"/>
  <sheetViews>
    <sheetView tabSelected="1" topLeftCell="A14" workbookViewId="0">
      <selection activeCell="B24" sqref="B24"/>
    </sheetView>
  </sheetViews>
  <sheetFormatPr defaultRowHeight="13.8" x14ac:dyDescent="0.25"/>
  <cols>
    <col min="1" max="1" width="3.59765625" customWidth="1"/>
    <col min="2" max="2" width="33.796875" customWidth="1"/>
    <col min="3" max="3" width="7.3984375" customWidth="1"/>
    <col min="4" max="4" width="6.59765625" style="6" customWidth="1"/>
    <col min="5" max="5" width="34.796875" customWidth="1"/>
    <col min="6" max="6" width="12.09765625" customWidth="1"/>
    <col min="7" max="7" width="10.296875" customWidth="1"/>
    <col min="8" max="8" width="11.59765625" customWidth="1"/>
    <col min="9" max="9" width="14" customWidth="1"/>
  </cols>
  <sheetData>
    <row r="1" spans="1:9" hidden="1" x14ac:dyDescent="0.25"/>
    <row r="2" spans="1:9" hidden="1" x14ac:dyDescent="0.25"/>
    <row r="3" spans="1:9" hidden="1" x14ac:dyDescent="0.25"/>
    <row r="4" spans="1:9" hidden="1" x14ac:dyDescent="0.25"/>
    <row r="5" spans="1:9" hidden="1" x14ac:dyDescent="0.25"/>
    <row r="6" spans="1:9" hidden="1" x14ac:dyDescent="0.25"/>
    <row r="7" spans="1:9" x14ac:dyDescent="0.25">
      <c r="B7" s="16" t="s">
        <v>66</v>
      </c>
      <c r="C7" s="16"/>
      <c r="D7" s="16"/>
      <c r="E7" s="16"/>
      <c r="F7" s="16"/>
      <c r="G7" s="16"/>
    </row>
    <row r="8" spans="1:9" x14ac:dyDescent="0.25">
      <c r="A8" s="1"/>
      <c r="B8" s="1"/>
      <c r="C8" s="1"/>
      <c r="D8" s="9"/>
      <c r="E8" s="1"/>
      <c r="F8" s="1"/>
      <c r="G8" s="1"/>
    </row>
    <row r="9" spans="1:9" x14ac:dyDescent="0.25">
      <c r="A9" s="1"/>
      <c r="B9" s="1" t="s">
        <v>0</v>
      </c>
      <c r="C9" s="1"/>
      <c r="D9" s="9" t="s">
        <v>3</v>
      </c>
      <c r="E9" s="1" t="s">
        <v>2</v>
      </c>
      <c r="F9" s="1"/>
      <c r="G9" s="1"/>
    </row>
    <row r="10" spans="1:9" x14ac:dyDescent="0.25">
      <c r="A10" s="1"/>
      <c r="B10" s="1"/>
      <c r="C10" s="1"/>
      <c r="D10" s="9"/>
      <c r="E10" s="1"/>
      <c r="F10" s="1"/>
      <c r="G10" s="1">
        <f>F11+F12+F13+F14+F15</f>
        <v>215</v>
      </c>
    </row>
    <row r="11" spans="1:9" x14ac:dyDescent="0.25">
      <c r="A11" s="1" t="s">
        <v>19</v>
      </c>
      <c r="B11" s="1" t="s">
        <v>1</v>
      </c>
      <c r="C11" s="1" t="s">
        <v>25</v>
      </c>
      <c r="D11" s="9" t="s">
        <v>4</v>
      </c>
      <c r="E11" s="1"/>
      <c r="F11" s="1">
        <v>43</v>
      </c>
      <c r="G11" s="1"/>
      <c r="I11">
        <f>5*43</f>
        <v>215</v>
      </c>
    </row>
    <row r="12" spans="1:9" x14ac:dyDescent="0.25">
      <c r="A12" s="1"/>
      <c r="B12" s="1" t="s">
        <v>5</v>
      </c>
      <c r="C12" s="1" t="s">
        <v>25</v>
      </c>
      <c r="D12" s="9" t="s">
        <v>6</v>
      </c>
      <c r="E12" s="1"/>
      <c r="F12" s="1">
        <v>43</v>
      </c>
      <c r="G12" s="1"/>
    </row>
    <row r="13" spans="1:9" x14ac:dyDescent="0.25">
      <c r="A13" s="1"/>
      <c r="B13" s="1" t="s">
        <v>7</v>
      </c>
      <c r="C13" s="1" t="s">
        <v>25</v>
      </c>
      <c r="D13" s="9" t="s">
        <v>8</v>
      </c>
      <c r="E13" s="1"/>
      <c r="F13" s="1">
        <v>43</v>
      </c>
      <c r="G13" s="1"/>
    </row>
    <row r="14" spans="1:9" x14ac:dyDescent="0.25">
      <c r="A14" s="1"/>
      <c r="B14" s="1" t="s">
        <v>9</v>
      </c>
      <c r="C14" s="1" t="s">
        <v>25</v>
      </c>
      <c r="D14" s="9" t="s">
        <v>10</v>
      </c>
      <c r="E14" s="1"/>
      <c r="F14" s="1">
        <v>43</v>
      </c>
      <c r="G14" s="1"/>
    </row>
    <row r="15" spans="1:9" x14ac:dyDescent="0.25">
      <c r="A15" s="1"/>
      <c r="B15" s="1" t="s">
        <v>11</v>
      </c>
      <c r="C15" s="1" t="s">
        <v>25</v>
      </c>
      <c r="D15" s="9" t="s">
        <v>12</v>
      </c>
      <c r="E15" s="1"/>
      <c r="F15" s="1">
        <v>43</v>
      </c>
      <c r="G15" s="1"/>
    </row>
    <row r="16" spans="1:9" x14ac:dyDescent="0.25">
      <c r="A16" s="1" t="s">
        <v>20</v>
      </c>
      <c r="B16" s="1" t="s">
        <v>13</v>
      </c>
      <c r="C16" s="1"/>
      <c r="D16" s="9"/>
      <c r="E16" s="1"/>
      <c r="F16" s="1"/>
      <c r="G16" s="1"/>
    </row>
    <row r="17" spans="1:7" x14ac:dyDescent="0.25">
      <c r="A17" s="1">
        <v>1</v>
      </c>
      <c r="B17" s="1" t="s">
        <v>14</v>
      </c>
      <c r="C17" s="1" t="s">
        <v>26</v>
      </c>
      <c r="D17" s="9" t="s">
        <v>15</v>
      </c>
      <c r="E17" s="1" t="s">
        <v>80</v>
      </c>
      <c r="F17" s="1">
        <v>2</v>
      </c>
      <c r="G17" s="1"/>
    </row>
    <row r="18" spans="1:7" x14ac:dyDescent="0.25">
      <c r="A18" s="1">
        <v>2</v>
      </c>
      <c r="B18" s="1" t="s">
        <v>18</v>
      </c>
      <c r="C18" s="1"/>
      <c r="D18" s="9" t="s">
        <v>16</v>
      </c>
      <c r="E18" s="1"/>
      <c r="F18" s="1"/>
      <c r="G18" s="1">
        <f>SUM(F19:F33)</f>
        <v>48.264000000000003</v>
      </c>
    </row>
    <row r="19" spans="1:7" x14ac:dyDescent="0.25">
      <c r="A19" s="1"/>
      <c r="B19" s="1" t="s">
        <v>17</v>
      </c>
      <c r="C19" s="1" t="s">
        <v>16</v>
      </c>
      <c r="D19" s="9" t="s">
        <v>4</v>
      </c>
      <c r="E19" s="1" t="s">
        <v>119</v>
      </c>
      <c r="F19" s="1">
        <f>(F11*2*8+(F11*2*2))/100</f>
        <v>8.6</v>
      </c>
      <c r="G19" s="1"/>
    </row>
    <row r="20" spans="1:7" x14ac:dyDescent="0.25">
      <c r="A20" s="1"/>
      <c r="B20" s="1" t="s">
        <v>123</v>
      </c>
      <c r="C20" s="1" t="s">
        <v>16</v>
      </c>
      <c r="D20" s="9"/>
      <c r="E20" s="1" t="s">
        <v>124</v>
      </c>
      <c r="F20" s="1">
        <f>5.6*8/100</f>
        <v>0.44799999999999995</v>
      </c>
      <c r="G20" s="1"/>
    </row>
    <row r="21" spans="1:7" x14ac:dyDescent="0.25">
      <c r="A21" s="1"/>
      <c r="B21" s="1" t="s">
        <v>92</v>
      </c>
      <c r="C21" s="1" t="s">
        <v>16</v>
      </c>
      <c r="D21" s="9"/>
      <c r="E21" s="1" t="s">
        <v>93</v>
      </c>
      <c r="F21" s="1">
        <f>5*2*5.6/100</f>
        <v>0.56000000000000005</v>
      </c>
      <c r="G21" s="1"/>
    </row>
    <row r="22" spans="1:7" x14ac:dyDescent="0.25">
      <c r="A22" s="1"/>
      <c r="B22" s="1" t="s">
        <v>5</v>
      </c>
      <c r="C22" s="1" t="s">
        <v>16</v>
      </c>
      <c r="D22" s="9" t="s">
        <v>6</v>
      </c>
      <c r="E22" s="1" t="s">
        <v>120</v>
      </c>
      <c r="F22" s="1">
        <f>(F13*2*8+(F13*2*2))/100</f>
        <v>8.6</v>
      </c>
      <c r="G22" s="1"/>
    </row>
    <row r="23" spans="1:7" x14ac:dyDescent="0.25">
      <c r="A23" s="1"/>
      <c r="B23" s="1" t="s">
        <v>123</v>
      </c>
      <c r="C23" s="1" t="s">
        <v>16</v>
      </c>
      <c r="D23" s="9"/>
      <c r="E23" s="1" t="s">
        <v>124</v>
      </c>
      <c r="F23" s="1">
        <f>5.6*8/100</f>
        <v>0.44799999999999995</v>
      </c>
      <c r="G23" s="1"/>
    </row>
    <row r="24" spans="1:7" x14ac:dyDescent="0.25">
      <c r="A24" s="1"/>
      <c r="B24" s="1" t="s">
        <v>92</v>
      </c>
      <c r="C24" s="1" t="s">
        <v>16</v>
      </c>
      <c r="D24" s="9"/>
      <c r="E24" s="1" t="s">
        <v>94</v>
      </c>
      <c r="F24" s="1">
        <f>5*2*5.6/100</f>
        <v>0.56000000000000005</v>
      </c>
      <c r="G24" s="1"/>
    </row>
    <row r="25" spans="1:7" x14ac:dyDescent="0.25">
      <c r="A25" s="1"/>
      <c r="B25" s="1" t="s">
        <v>7</v>
      </c>
      <c r="C25" s="1" t="s">
        <v>16</v>
      </c>
      <c r="D25" s="9" t="s">
        <v>8</v>
      </c>
      <c r="E25" s="1" t="s">
        <v>121</v>
      </c>
      <c r="F25" s="1">
        <f>(F15*2*8+(F15*2*2))/100</f>
        <v>8.6</v>
      </c>
      <c r="G25" s="1"/>
    </row>
    <row r="26" spans="1:7" x14ac:dyDescent="0.25">
      <c r="A26" s="1"/>
      <c r="B26" s="1" t="s">
        <v>123</v>
      </c>
      <c r="C26" s="1" t="s">
        <v>16</v>
      </c>
      <c r="D26" s="9"/>
      <c r="E26" s="1" t="s">
        <v>124</v>
      </c>
      <c r="F26" s="1">
        <f>5.6*8/100</f>
        <v>0.44799999999999995</v>
      </c>
      <c r="G26" s="1"/>
    </row>
    <row r="27" spans="1:7" x14ac:dyDescent="0.25">
      <c r="A27" s="1"/>
      <c r="B27" s="1" t="s">
        <v>92</v>
      </c>
      <c r="C27" s="1" t="s">
        <v>16</v>
      </c>
      <c r="D27" s="9"/>
      <c r="E27" s="1" t="s">
        <v>95</v>
      </c>
      <c r="F27" s="1">
        <f>5*2*5.6/100</f>
        <v>0.56000000000000005</v>
      </c>
      <c r="G27" s="1"/>
    </row>
    <row r="28" spans="1:7" x14ac:dyDescent="0.25">
      <c r="A28" s="1"/>
      <c r="B28" s="2" t="s">
        <v>9</v>
      </c>
      <c r="C28" s="2" t="s">
        <v>16</v>
      </c>
      <c r="D28" s="10" t="s">
        <v>10</v>
      </c>
      <c r="E28" s="2" t="s">
        <v>96</v>
      </c>
      <c r="F28" s="1">
        <f>(F14*2*8+(F15*2*2))/100</f>
        <v>8.6</v>
      </c>
      <c r="G28" s="2"/>
    </row>
    <row r="29" spans="1:7" x14ac:dyDescent="0.25">
      <c r="A29" s="1"/>
      <c r="B29" s="1" t="s">
        <v>92</v>
      </c>
      <c r="C29" s="1" t="s">
        <v>16</v>
      </c>
      <c r="D29" s="9"/>
      <c r="E29" s="1" t="s">
        <v>94</v>
      </c>
      <c r="F29" s="1">
        <f>5*2*5.6/100</f>
        <v>0.56000000000000005</v>
      </c>
      <c r="G29" s="1"/>
    </row>
    <row r="30" spans="1:7" x14ac:dyDescent="0.25">
      <c r="A30" s="1"/>
      <c r="B30" s="1" t="s">
        <v>92</v>
      </c>
      <c r="C30" s="1" t="s">
        <v>16</v>
      </c>
      <c r="D30" s="9"/>
      <c r="E30" s="1" t="s">
        <v>98</v>
      </c>
      <c r="F30" s="1">
        <f>5*2*5.6/100</f>
        <v>0.56000000000000005</v>
      </c>
      <c r="G30" s="1"/>
    </row>
    <row r="31" spans="1:7" x14ac:dyDescent="0.25">
      <c r="A31" s="1"/>
      <c r="B31" s="1" t="s">
        <v>11</v>
      </c>
      <c r="C31" s="1" t="s">
        <v>16</v>
      </c>
      <c r="D31" s="9" t="s">
        <v>12</v>
      </c>
      <c r="E31" s="1" t="s">
        <v>122</v>
      </c>
      <c r="F31" s="1">
        <f>(F15*2*8+(F15*2*2))/100</f>
        <v>8.6</v>
      </c>
      <c r="G31" s="1"/>
    </row>
    <row r="32" spans="1:7" x14ac:dyDescent="0.25">
      <c r="A32" s="1"/>
      <c r="B32" s="1" t="s">
        <v>92</v>
      </c>
      <c r="C32" s="1" t="s">
        <v>16</v>
      </c>
      <c r="D32" s="9"/>
      <c r="E32" s="1" t="s">
        <v>94</v>
      </c>
      <c r="F32" s="1">
        <f>5*2*5.6/100</f>
        <v>0.56000000000000005</v>
      </c>
      <c r="G32" s="1"/>
    </row>
    <row r="33" spans="1:46" x14ac:dyDescent="0.25">
      <c r="A33" s="1"/>
      <c r="B33" s="1" t="s">
        <v>92</v>
      </c>
      <c r="C33" s="1" t="s">
        <v>16</v>
      </c>
      <c r="D33" s="9"/>
      <c r="E33" s="1" t="s">
        <v>97</v>
      </c>
      <c r="F33" s="1">
        <f>5*2*5.6/100</f>
        <v>0.56000000000000005</v>
      </c>
      <c r="G33" s="1"/>
    </row>
    <row r="34" spans="1:46" x14ac:dyDescent="0.25">
      <c r="A34" s="1">
        <v>3</v>
      </c>
      <c r="B34" s="1" t="s">
        <v>99</v>
      </c>
      <c r="C34" s="1" t="s">
        <v>16</v>
      </c>
      <c r="D34" s="9"/>
      <c r="E34" s="1" t="s">
        <v>21</v>
      </c>
      <c r="F34" s="1"/>
      <c r="G34" s="1">
        <f>G18</f>
        <v>48.264000000000003</v>
      </c>
    </row>
    <row r="35" spans="1:46" x14ac:dyDescent="0.25">
      <c r="A35" s="12">
        <v>4</v>
      </c>
      <c r="B35" s="12" t="s">
        <v>70</v>
      </c>
      <c r="C35" s="12" t="s">
        <v>30</v>
      </c>
      <c r="D35" s="13"/>
      <c r="E35" s="12" t="s">
        <v>23</v>
      </c>
      <c r="F35" s="12">
        <f>(5*5.6+20)*3/100</f>
        <v>1.44</v>
      </c>
      <c r="G35" s="12"/>
    </row>
    <row r="36" spans="1:46" x14ac:dyDescent="0.25">
      <c r="A36" s="1"/>
      <c r="B36" s="2" t="s">
        <v>71</v>
      </c>
      <c r="C36" s="2" t="s">
        <v>68</v>
      </c>
      <c r="D36" s="10"/>
      <c r="E36" s="2"/>
      <c r="F36" s="2">
        <v>100</v>
      </c>
      <c r="G36" s="1"/>
    </row>
    <row r="37" spans="1:46" ht="41.4" x14ac:dyDescent="0.25">
      <c r="A37" s="1"/>
      <c r="B37" s="3" t="s">
        <v>100</v>
      </c>
      <c r="C37" s="2" t="s">
        <v>42</v>
      </c>
      <c r="D37" s="10"/>
      <c r="E37" s="2">
        <v>30</v>
      </c>
      <c r="F37" s="2"/>
      <c r="G37" s="1"/>
    </row>
    <row r="38" spans="1:46" x14ac:dyDescent="0.25">
      <c r="A38" s="1" t="s">
        <v>24</v>
      </c>
      <c r="B38" s="1" t="s">
        <v>41</v>
      </c>
      <c r="C38" s="1"/>
      <c r="D38" s="9"/>
      <c r="E38" s="1"/>
      <c r="F38" s="1"/>
      <c r="G38" s="1"/>
    </row>
    <row r="39" spans="1:46" x14ac:dyDescent="0.25">
      <c r="A39" s="1" t="s">
        <v>40</v>
      </c>
      <c r="B39" s="2" t="s">
        <v>118</v>
      </c>
      <c r="C39" s="1"/>
      <c r="D39" s="9"/>
      <c r="E39" s="1"/>
      <c r="F39" s="1"/>
      <c r="G39" s="1"/>
    </row>
    <row r="40" spans="1:46" x14ac:dyDescent="0.25">
      <c r="A40" s="1"/>
      <c r="B40" s="1" t="s">
        <v>44</v>
      </c>
      <c r="C40" s="1"/>
      <c r="D40" s="9"/>
      <c r="E40" s="1" t="s">
        <v>45</v>
      </c>
      <c r="F40" s="1">
        <v>3.4</v>
      </c>
      <c r="G40" s="1"/>
    </row>
    <row r="41" spans="1:46" x14ac:dyDescent="0.25">
      <c r="A41" s="1"/>
      <c r="B41" s="1" t="s">
        <v>46</v>
      </c>
      <c r="C41" s="1"/>
      <c r="D41" s="9"/>
      <c r="E41" s="1" t="s">
        <v>47</v>
      </c>
      <c r="F41" s="1">
        <v>2.5</v>
      </c>
      <c r="G41" s="1"/>
    </row>
    <row r="42" spans="1:46" x14ac:dyDescent="0.25">
      <c r="A42" s="1"/>
      <c r="B42" s="1" t="s">
        <v>52</v>
      </c>
      <c r="C42" s="1"/>
      <c r="D42" s="9"/>
      <c r="E42" s="1" t="s">
        <v>53</v>
      </c>
      <c r="F42" s="1">
        <v>0.3</v>
      </c>
      <c r="G42" s="1"/>
    </row>
    <row r="43" spans="1:46" x14ac:dyDescent="0.25">
      <c r="A43" s="1"/>
      <c r="B43" s="1" t="s">
        <v>67</v>
      </c>
      <c r="C43" s="1"/>
      <c r="D43" s="9"/>
      <c r="E43" s="1" t="s">
        <v>48</v>
      </c>
      <c r="F43" s="1">
        <v>0.25</v>
      </c>
      <c r="G43" s="1"/>
    </row>
    <row r="44" spans="1:46" x14ac:dyDescent="0.25">
      <c r="A44" s="1"/>
      <c r="B44" s="1"/>
      <c r="C44" s="1"/>
      <c r="D44" s="9"/>
      <c r="E44" s="1"/>
      <c r="F44" s="1"/>
      <c r="G44" s="1"/>
    </row>
    <row r="45" spans="1:46" s="1" customFormat="1" x14ac:dyDescent="0.25">
      <c r="B45" s="1" t="s">
        <v>72</v>
      </c>
      <c r="C45" s="1" t="s">
        <v>73</v>
      </c>
      <c r="D45" s="9"/>
      <c r="F45" s="1">
        <v>20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</row>
    <row r="46" spans="1:46" s="15" customFormat="1" x14ac:dyDescent="0.25">
      <c r="A46" s="1"/>
      <c r="B46" s="14" t="s">
        <v>112</v>
      </c>
      <c r="C46" s="1"/>
      <c r="D46" s="9"/>
      <c r="E46" s="1"/>
      <c r="F46" s="1"/>
      <c r="G46" s="1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</row>
    <row r="47" spans="1:46" x14ac:dyDescent="0.25">
      <c r="A47" s="1"/>
      <c r="B47" s="1" t="s">
        <v>74</v>
      </c>
      <c r="C47" s="1" t="s">
        <v>27</v>
      </c>
      <c r="D47" s="9"/>
      <c r="E47" s="1" t="s">
        <v>22</v>
      </c>
      <c r="F47" s="1">
        <v>1647.73</v>
      </c>
      <c r="G47" s="1"/>
    </row>
    <row r="48" spans="1:46" s="8" customFormat="1" x14ac:dyDescent="0.25">
      <c r="A48" s="7"/>
      <c r="B48" s="7" t="s">
        <v>75</v>
      </c>
      <c r="C48" s="7" t="s">
        <v>27</v>
      </c>
      <c r="D48" s="11"/>
      <c r="E48" s="7"/>
      <c r="F48" s="7">
        <v>1647.73</v>
      </c>
      <c r="G48" s="7"/>
    </row>
    <row r="49" spans="1:7" x14ac:dyDescent="0.25">
      <c r="A49" s="1"/>
      <c r="B49" s="1" t="s">
        <v>76</v>
      </c>
      <c r="C49" s="1" t="s">
        <v>16</v>
      </c>
      <c r="D49" s="9"/>
      <c r="E49" s="1" t="s">
        <v>101</v>
      </c>
      <c r="F49" s="1">
        <f>F12*5*F40*2.5*25/100</f>
        <v>456.875</v>
      </c>
      <c r="G49" s="1"/>
    </row>
    <row r="50" spans="1:7" x14ac:dyDescent="0.25">
      <c r="A50" s="1"/>
      <c r="B50" s="1" t="s">
        <v>29</v>
      </c>
      <c r="C50" s="1" t="s">
        <v>27</v>
      </c>
      <c r="D50" s="9"/>
      <c r="E50" s="1" t="s">
        <v>102</v>
      </c>
      <c r="F50" s="1">
        <f>F12*5*F40*0.1</f>
        <v>73.100000000000009</v>
      </c>
      <c r="G50" s="1"/>
    </row>
    <row r="51" spans="1:7" x14ac:dyDescent="0.25">
      <c r="A51" s="1"/>
      <c r="B51" s="1" t="s">
        <v>103</v>
      </c>
      <c r="C51" s="1" t="s">
        <v>30</v>
      </c>
      <c r="D51" s="9"/>
      <c r="E51" s="1" t="s">
        <v>104</v>
      </c>
      <c r="F51" s="1">
        <f>(F12+F40)*2*5*0.1/100</f>
        <v>0.46400000000000008</v>
      </c>
      <c r="G51" s="1"/>
    </row>
    <row r="52" spans="1:7" x14ac:dyDescent="0.25">
      <c r="A52" s="1"/>
      <c r="B52" s="1" t="s">
        <v>105</v>
      </c>
      <c r="C52" s="1" t="s">
        <v>27</v>
      </c>
      <c r="D52" s="9"/>
      <c r="E52" s="1" t="s">
        <v>49</v>
      </c>
      <c r="F52" s="1">
        <f>F12*5*F40*0.1</f>
        <v>73.100000000000009</v>
      </c>
      <c r="G52" s="1"/>
    </row>
    <row r="53" spans="1:7" x14ac:dyDescent="0.25">
      <c r="A53" s="1"/>
      <c r="B53" s="2" t="s">
        <v>82</v>
      </c>
      <c r="C53" s="2" t="s">
        <v>31</v>
      </c>
      <c r="D53" s="10"/>
      <c r="E53" s="2" t="s">
        <v>32</v>
      </c>
      <c r="F53" s="5">
        <v>9.9629999999999992</v>
      </c>
      <c r="G53" s="1"/>
    </row>
    <row r="54" spans="1:7" x14ac:dyDescent="0.25">
      <c r="A54" s="1"/>
      <c r="B54" s="1" t="s">
        <v>33</v>
      </c>
      <c r="C54" s="1" t="s">
        <v>30</v>
      </c>
      <c r="D54" s="9"/>
      <c r="E54" s="1" t="s">
        <v>50</v>
      </c>
      <c r="F54" s="1">
        <f>(F12+F40)*2*5*0.25/100</f>
        <v>1.1599999999999999</v>
      </c>
      <c r="G54" s="1"/>
    </row>
    <row r="55" spans="1:7" x14ac:dyDescent="0.25">
      <c r="A55" s="1"/>
      <c r="B55" s="1" t="s">
        <v>34</v>
      </c>
      <c r="C55" s="1" t="s">
        <v>27</v>
      </c>
      <c r="D55" s="9"/>
      <c r="E55" s="1" t="s">
        <v>51</v>
      </c>
      <c r="F55" s="1">
        <f>F12*5*F40*0.25</f>
        <v>182.75</v>
      </c>
      <c r="G55" s="1"/>
    </row>
    <row r="56" spans="1:7" x14ac:dyDescent="0.25">
      <c r="A56" s="1"/>
      <c r="B56" s="14" t="s">
        <v>111</v>
      </c>
      <c r="C56" s="1"/>
      <c r="D56" s="9"/>
      <c r="E56" s="1"/>
      <c r="F56" s="1"/>
      <c r="G56" s="1"/>
    </row>
    <row r="57" spans="1:7" x14ac:dyDescent="0.25">
      <c r="A57" s="1"/>
      <c r="B57" s="2" t="s">
        <v>35</v>
      </c>
      <c r="C57" s="2" t="s">
        <v>31</v>
      </c>
      <c r="D57" s="10"/>
      <c r="E57" s="2" t="s">
        <v>32</v>
      </c>
      <c r="F57" s="5">
        <v>22.576000000000001</v>
      </c>
      <c r="G57" s="1"/>
    </row>
    <row r="58" spans="1:7" x14ac:dyDescent="0.25">
      <c r="A58" s="1"/>
      <c r="B58" s="1" t="s">
        <v>106</v>
      </c>
      <c r="C58" s="1" t="s">
        <v>30</v>
      </c>
      <c r="D58" s="9"/>
      <c r="E58" s="1" t="s">
        <v>108</v>
      </c>
      <c r="F58" s="4">
        <f>5*(F12+0.25)*2*F41*2/100</f>
        <v>21.625</v>
      </c>
      <c r="G58" s="1"/>
    </row>
    <row r="59" spans="1:7" x14ac:dyDescent="0.25">
      <c r="A59" s="1"/>
      <c r="B59" s="1" t="s">
        <v>107</v>
      </c>
      <c r="C59" s="1" t="s">
        <v>27</v>
      </c>
      <c r="D59" s="11"/>
      <c r="E59" s="7" t="s">
        <v>109</v>
      </c>
      <c r="F59" s="7">
        <f>F12*5*2*F42*F41</f>
        <v>322.5</v>
      </c>
      <c r="G59" s="1"/>
    </row>
    <row r="60" spans="1:7" x14ac:dyDescent="0.25">
      <c r="A60" s="1"/>
      <c r="B60" s="1" t="s">
        <v>77</v>
      </c>
      <c r="C60" s="1" t="s">
        <v>30</v>
      </c>
      <c r="D60" s="9"/>
      <c r="E60" s="1" t="s">
        <v>55</v>
      </c>
      <c r="F60" s="1">
        <f>F12*5*2*2*0.25/100</f>
        <v>2.15</v>
      </c>
      <c r="G60" s="1"/>
    </row>
    <row r="61" spans="1:7" x14ac:dyDescent="0.25">
      <c r="A61" s="1"/>
      <c r="B61" s="14" t="s">
        <v>113</v>
      </c>
      <c r="C61" s="1"/>
      <c r="D61" s="9"/>
      <c r="E61" s="1"/>
      <c r="F61" s="1"/>
      <c r="G61" s="1"/>
    </row>
    <row r="62" spans="1:7" ht="22.2" customHeight="1" x14ac:dyDescent="0.25">
      <c r="A62" s="1"/>
      <c r="B62" s="1" t="s">
        <v>115</v>
      </c>
      <c r="C62" s="1" t="s">
        <v>30</v>
      </c>
      <c r="D62" s="9"/>
      <c r="E62" s="1" t="s">
        <v>114</v>
      </c>
      <c r="F62" s="1">
        <f>F12*5*2.5/100</f>
        <v>5.375</v>
      </c>
      <c r="G62" s="17">
        <f>F62+F63</f>
        <v>6.5350000000000001</v>
      </c>
    </row>
    <row r="63" spans="1:7" ht="22.2" customHeight="1" x14ac:dyDescent="0.25">
      <c r="A63" s="1"/>
      <c r="B63" s="1" t="s">
        <v>116</v>
      </c>
      <c r="C63" s="1"/>
      <c r="D63" s="9"/>
      <c r="E63" s="1" t="s">
        <v>117</v>
      </c>
      <c r="F63" s="1">
        <f>5*(F11+F40)*2*0.25/100</f>
        <v>1.1599999999999999</v>
      </c>
      <c r="G63" s="18"/>
    </row>
    <row r="64" spans="1:7" x14ac:dyDescent="0.25">
      <c r="A64" s="1"/>
      <c r="B64" s="2" t="s">
        <v>36</v>
      </c>
      <c r="C64" s="2" t="s">
        <v>31</v>
      </c>
      <c r="D64" s="10"/>
      <c r="E64" s="2" t="s">
        <v>32</v>
      </c>
      <c r="F64" s="5">
        <v>8.9749999999999996</v>
      </c>
      <c r="G64" s="1"/>
    </row>
    <row r="65" spans="1:7" x14ac:dyDescent="0.25">
      <c r="A65" s="1"/>
      <c r="B65" s="2" t="s">
        <v>54</v>
      </c>
      <c r="C65" s="2" t="s">
        <v>27</v>
      </c>
      <c r="D65" s="10"/>
      <c r="E65" s="2" t="s">
        <v>110</v>
      </c>
      <c r="F65" s="2">
        <f>F12*5*2.5*0.25</f>
        <v>134.375</v>
      </c>
      <c r="G65" s="1"/>
    </row>
    <row r="66" spans="1:7" x14ac:dyDescent="0.25">
      <c r="A66" s="1"/>
      <c r="B66" s="2" t="s">
        <v>37</v>
      </c>
      <c r="C66" s="2" t="s">
        <v>28</v>
      </c>
      <c r="D66" s="10"/>
      <c r="E66" s="2" t="s">
        <v>69</v>
      </c>
      <c r="F66" s="5">
        <f>1647/2/100</f>
        <v>8.2349999999999994</v>
      </c>
      <c r="G66" s="1"/>
    </row>
    <row r="67" spans="1:7" x14ac:dyDescent="0.25">
      <c r="A67" s="1"/>
      <c r="B67" s="1" t="s">
        <v>38</v>
      </c>
      <c r="C67" s="1" t="s">
        <v>28</v>
      </c>
      <c r="D67" s="9"/>
      <c r="E67" s="1" t="s">
        <v>39</v>
      </c>
      <c r="F67" s="1">
        <f>F66</f>
        <v>8.2349999999999994</v>
      </c>
      <c r="G67" s="1"/>
    </row>
    <row r="68" spans="1:7" x14ac:dyDescent="0.25">
      <c r="A68" s="1"/>
      <c r="B68" s="1" t="s">
        <v>43</v>
      </c>
      <c r="C68" s="1" t="s">
        <v>28</v>
      </c>
      <c r="D68" s="9"/>
      <c r="E68" s="1"/>
      <c r="F68" s="1"/>
      <c r="G68" s="1"/>
    </row>
    <row r="69" spans="1:7" x14ac:dyDescent="0.25">
      <c r="A69" s="1"/>
      <c r="B69" s="2" t="s">
        <v>56</v>
      </c>
      <c r="C69" s="1"/>
      <c r="D69" s="9"/>
      <c r="E69" s="1"/>
      <c r="F69" s="1"/>
      <c r="G69" s="1"/>
    </row>
    <row r="70" spans="1:7" x14ac:dyDescent="0.25">
      <c r="A70" s="1"/>
      <c r="B70" s="1" t="s">
        <v>83</v>
      </c>
      <c r="C70" s="1"/>
      <c r="D70" s="9" t="s">
        <v>57</v>
      </c>
      <c r="E70" s="1" t="s">
        <v>86</v>
      </c>
      <c r="F70" s="1">
        <f>((3.4+8.76)*1.55/2+1.8*8.76)*25*2.5/100</f>
        <v>15.744999999999999</v>
      </c>
      <c r="G70" s="1"/>
    </row>
    <row r="71" spans="1:7" x14ac:dyDescent="0.25">
      <c r="A71" s="1"/>
      <c r="B71" s="1" t="s">
        <v>58</v>
      </c>
      <c r="C71" s="1"/>
      <c r="D71" s="9" t="s">
        <v>28</v>
      </c>
      <c r="E71" s="1" t="s">
        <v>87</v>
      </c>
      <c r="F71" s="1">
        <f>((3.4+8.76)*1.55/2+1.8*8.76)*0.1/100</f>
        <v>2.5192000000000003E-2</v>
      </c>
      <c r="G71" s="1"/>
    </row>
    <row r="72" spans="1:7" x14ac:dyDescent="0.25">
      <c r="A72" s="1"/>
      <c r="B72" s="1" t="s">
        <v>59</v>
      </c>
      <c r="C72" s="1"/>
      <c r="D72" s="9" t="s">
        <v>30</v>
      </c>
      <c r="E72" s="1" t="s">
        <v>85</v>
      </c>
      <c r="F72" s="1">
        <f>(3.1*2+1.8*2+8.76)*0.1/100</f>
        <v>1.8560000000000004E-2</v>
      </c>
      <c r="G72" s="1"/>
    </row>
    <row r="73" spans="1:7" x14ac:dyDescent="0.25">
      <c r="A73" s="1"/>
      <c r="B73" s="1" t="s">
        <v>60</v>
      </c>
      <c r="C73" s="1"/>
      <c r="D73" s="9" t="s">
        <v>27</v>
      </c>
      <c r="E73" s="1" t="s">
        <v>84</v>
      </c>
      <c r="F73" s="1">
        <f>((3.4+8.76)*1.55/2+1.8*8.76)*0.1</f>
        <v>2.5192000000000001</v>
      </c>
      <c r="G73" s="1"/>
    </row>
    <row r="74" spans="1:7" x14ac:dyDescent="0.25">
      <c r="A74" s="1"/>
      <c r="B74" s="1" t="s">
        <v>61</v>
      </c>
      <c r="C74" s="1"/>
      <c r="D74" s="9" t="s">
        <v>30</v>
      </c>
      <c r="E74" s="7" t="s">
        <v>88</v>
      </c>
      <c r="F74" s="1">
        <f>((3.1*2+1.8*2+8.76)*0.3+0.25*(3.1+0.735)*2)/100</f>
        <v>7.4855000000000005E-2</v>
      </c>
      <c r="G74" s="1"/>
    </row>
    <row r="75" spans="1:7" x14ac:dyDescent="0.25">
      <c r="A75" s="1"/>
      <c r="B75" s="1" t="s">
        <v>62</v>
      </c>
      <c r="C75" s="1"/>
      <c r="D75" s="9" t="s">
        <v>27</v>
      </c>
      <c r="E75" s="1" t="s">
        <v>89</v>
      </c>
      <c r="F75" s="1">
        <f>((3.4+8.76)*1.55/2+1.8*8.76)*0.3+0.735*8.76*0.25+(3.4+8.76)*1.55/2*0.25</f>
        <v>11.523249999999999</v>
      </c>
      <c r="G75" s="1"/>
    </row>
    <row r="76" spans="1:7" x14ac:dyDescent="0.25">
      <c r="A76" s="1"/>
      <c r="B76" s="1" t="s">
        <v>63</v>
      </c>
      <c r="C76" s="1"/>
      <c r="D76" s="9" t="s">
        <v>27</v>
      </c>
      <c r="E76" s="1" t="s">
        <v>79</v>
      </c>
      <c r="F76" s="1">
        <f>8.76*0.3*0.5</f>
        <v>1.3139999999999998</v>
      </c>
      <c r="G76" s="1"/>
    </row>
    <row r="77" spans="1:7" x14ac:dyDescent="0.25">
      <c r="A77" s="2"/>
      <c r="B77" s="2" t="s">
        <v>78</v>
      </c>
      <c r="C77" s="2"/>
      <c r="D77" s="10" t="s">
        <v>64</v>
      </c>
      <c r="E77" s="2"/>
      <c r="F77" s="1">
        <f>209.89/1000</f>
        <v>0.20988999999999999</v>
      </c>
      <c r="G77" s="1"/>
    </row>
    <row r="78" spans="1:7" x14ac:dyDescent="0.25">
      <c r="A78" s="1"/>
      <c r="B78" s="1" t="s">
        <v>81</v>
      </c>
      <c r="C78" s="1"/>
      <c r="D78" s="9" t="s">
        <v>30</v>
      </c>
      <c r="E78" s="1" t="s">
        <v>90</v>
      </c>
      <c r="F78" s="1">
        <f>(0.5*0.25+3*0.5*3*2+(3+0.5)*1.75/2*2)*2/100</f>
        <v>0.30499999999999999</v>
      </c>
      <c r="G78" s="1"/>
    </row>
    <row r="79" spans="1:7" x14ac:dyDescent="0.25">
      <c r="A79" s="1"/>
      <c r="B79" s="1" t="s">
        <v>65</v>
      </c>
      <c r="C79" s="1"/>
      <c r="D79" s="9" t="s">
        <v>27</v>
      </c>
      <c r="E79" s="1" t="s">
        <v>91</v>
      </c>
      <c r="F79" s="1">
        <f>2*0.25*(3*0.5+(3+0.5)*1.75/2)</f>
        <v>2.28125</v>
      </c>
      <c r="G79" s="1"/>
    </row>
    <row r="96" ht="31.8" customHeight="1" x14ac:dyDescent="0.25"/>
    <row r="97" ht="31.8" customHeight="1" x14ac:dyDescent="0.25"/>
    <row r="98" ht="31.8" customHeight="1" x14ac:dyDescent="0.25"/>
    <row r="99" ht="31.8" customHeight="1" x14ac:dyDescent="0.25"/>
  </sheetData>
  <mergeCells count="2">
    <mergeCell ref="B7:G7"/>
    <mergeCell ref="G62:G63"/>
  </mergeCells>
  <pageMargins left="0.7" right="0.44" top="0.31" bottom="0.2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Thông số chung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2025-12-25T08:05:33Z</cp:lastPrinted>
  <dcterms:created xsi:type="dcterms:W3CDTF">2025-12-12T04:05:49Z</dcterms:created>
  <dcterms:modified xsi:type="dcterms:W3CDTF">2026-02-13T02:20:29Z</dcterms:modified>
</cp:coreProperties>
</file>