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codeName="ThisWorkbook" defaultThemeVersion="166925"/>
  <mc:AlternateContent xmlns:mc="http://schemas.openxmlformats.org/markup-compatibility/2006">
    <mc:Choice Requires="x15">
      <x15ac:absPath xmlns:x15ac="http://schemas.microsoft.com/office/spreadsheetml/2010/11/ac" url="/Users/pain/Library/Mobile Documents/com~apple~CloudDocs/Định Sơn/Hợp đồng/HĐ-2026/Phòng KT xã Kiến Minh-2026/Hệ thống cống hộp kênh bến Kem. ok/Thẩm định/"/>
    </mc:Choice>
  </mc:AlternateContent>
  <xr:revisionPtr revIDLastSave="0" documentId="13_ncr:1_{E2E2DC29-641D-0B49-9C7A-2BD277CA1CCF}" xr6:coauthVersionLast="47" xr6:coauthVersionMax="47" xr10:uidLastSave="{00000000-0000-0000-0000-000000000000}"/>
  <bookViews>
    <workbookView xWindow="120" yWindow="660" windowWidth="24900" windowHeight="16340" tabRatio="890" activeTab="13" xr2:uid="{62B2ECD3-A8E4-A148-9065-447319F56D9A}"/>
  </bookViews>
  <sheets>
    <sheet name="foxz" sheetId="56" state="veryHidden" r:id="rId1"/>
    <sheet name="Công trình" sheetId="1" r:id="rId2"/>
    <sheet name="Giá tháng" sheetId="2" r:id="rId3"/>
    <sheet name="Đầu vào" sheetId="3" r:id="rId4"/>
    <sheet name="Nhân công" sheetId="4" r:id="rId5"/>
    <sheet name="Máy" sheetId="5" state="hidden" r:id="rId6"/>
    <sheet name="HaoPhiVatTu" sheetId="6" state="hidden" r:id="rId7"/>
    <sheet name="Tổng hợp VT" sheetId="7" r:id="rId8"/>
    <sheet name="THVT gộp" sheetId="8" state="hidden" r:id="rId9"/>
    <sheet name="Cước VC" sheetId="9" r:id="rId10"/>
    <sheet name="Cước bộ" sheetId="10" r:id="rId11"/>
    <sheet name="Đơn giá chi tiết" sheetId="11" state="hidden" r:id="rId12"/>
    <sheet name="Giá tổng hợp" sheetId="12" state="hidden" r:id="rId13"/>
    <sheet name="THKP hạng mục" sheetId="13" r:id="rId14"/>
    <sheet name="TH chi phí XD" sheetId="14" r:id="rId15"/>
    <sheet name="TH chi phí TB" sheetId="15" state="hidden" r:id="rId16"/>
    <sheet name="HM chung" sheetId="16" state="hidden" r:id="rId17"/>
    <sheet name="Dự phòng" sheetId="17" r:id="rId18"/>
    <sheet name="TH kinh phí" sheetId="18" r:id="rId19"/>
    <sheet name="Chi tiết KL" sheetId="19" state="hidden" r:id="rId20"/>
    <sheet name="Luật XD" sheetId="20" state="hidden" r:id="rId21"/>
    <sheet name="Công trình TL" sheetId="21" state="hidden" r:id="rId22"/>
    <sheet name="Chiết tính" sheetId="22" r:id="rId23"/>
    <sheet name="Hệ số" sheetId="23" state="hidden" r:id="rId24"/>
    <sheet name="Đơn giá TH" sheetId="24" state="hidden" r:id="rId25"/>
    <sheet name="Dự thầu" sheetId="25" r:id="rId26"/>
    <sheet name="HM chung thầu" sheetId="26" state="hidden" r:id="rId27"/>
    <sheet name="Dự phòng thầu" sheetId="27" r:id="rId28"/>
    <sheet name="Dự toán gói thầu" sheetId="28" r:id="rId29"/>
    <sheet name="Phân tích VT" sheetId="29" state="hidden" r:id="rId30"/>
    <sheet name="Bìa" sheetId="30" state="hidden" r:id="rId31"/>
    <sheet name="NhiênLiệu" sheetId="31" state="hidden" r:id="rId32"/>
    <sheet name="Thẩm định" sheetId="32" state="hidden" r:id="rId33"/>
    <sheet name="TH chi phí tư vấn" sheetId="33" state="hidden" r:id="rId34"/>
    <sheet name="Thép" sheetId="34" state="hidden" r:id="rId35"/>
    <sheet name="HSXL" sheetId="35" r:id="rId36"/>
    <sheet name="Định mức tư vấn" sheetId="36" r:id="rId37"/>
    <sheet name="Quyết toán" sheetId="37" state="hidden" r:id="rId38"/>
    <sheet name="Giá tháng QT" sheetId="38" state="hidden" r:id="rId39"/>
    <sheet name="Đầu vào QT" sheetId="39" state="hidden" r:id="rId40"/>
    <sheet name="Nhân công QT" sheetId="40" state="hidden" r:id="rId41"/>
    <sheet name="Máy QT" sheetId="41" state="hidden" r:id="rId42"/>
    <sheet name="HaoPhiVatTu QT" sheetId="42" state="hidden" r:id="rId43"/>
    <sheet name="Tổng hợp VT QT" sheetId="43" state="hidden" r:id="rId44"/>
    <sheet name="Cước VC QT" sheetId="44" state="hidden" r:id="rId45"/>
    <sheet name="Cước bộ QT" sheetId="45" state="hidden" r:id="rId46"/>
    <sheet name="NhiênLiệu QT" sheetId="46" state="hidden" r:id="rId47"/>
    <sheet name="Chiết tính QT" sheetId="47" state="hidden" r:id="rId48"/>
    <sheet name="Dự thầu QT" sheetId="48" state="hidden" r:id="rId49"/>
    <sheet name="Hệ số QT" sheetId="49" state="hidden" r:id="rId50"/>
    <sheet name="HSXLQT" sheetId="50" state="hidden" r:id="rId51"/>
    <sheet name="KL hoàn thành" sheetId="51" state="hidden" r:id="rId52"/>
    <sheet name="KL phát sinh" sheetId="52" state="hidden" r:id="rId53"/>
    <sheet name="Hệ số Pn" sheetId="53" state="hidden" r:id="rId54"/>
    <sheet name="Tổng hợp QT" sheetId="54" state="hidden" r:id="rId55"/>
    <sheet name="Cấu hình" sheetId="55" state="hidden" r:id="rId56"/>
  </sheets>
  <definedNames>
    <definedName name="_xlnm.Print_Area" localSheetId="30">Bìa!$A$1:$IU$65535</definedName>
    <definedName name="_xlnm.Print_Area" localSheetId="19">'Chi tiết KL'!$A$1:$IU$65535</definedName>
    <definedName name="_xlnm.Print_Area" localSheetId="22">'Chiết tính'!$A$1:$IU$771</definedName>
    <definedName name="_xlnm.Print_Area" localSheetId="47">'Chiết tính QT'!$A$1:$IU$65535</definedName>
    <definedName name="_xlnm.Print_Area" localSheetId="1">'Công trình'!$A$1:$X$119</definedName>
    <definedName name="_xlnm.Print_Area" localSheetId="21">'Công trình TL'!$A$1:$O$5</definedName>
    <definedName name="_xlnm.Print_Area" localSheetId="10">'Cước bộ'!$A$1:$AA$25</definedName>
    <definedName name="_xlnm.Print_Area" localSheetId="45">'Cước bộ QT'!$A$1:$IU$65535</definedName>
    <definedName name="_xlnm.Print_Area" localSheetId="9">'Cước VC'!$A$1:$AZ$25</definedName>
    <definedName name="_xlnm.Print_Area" localSheetId="44">'Cước VC QT'!$A$1:$IU$65535</definedName>
    <definedName name="_xlnm.Print_Area" localSheetId="3">'Đầu vào'!$A$1:$D$47</definedName>
    <definedName name="_xlnm.Print_Area" localSheetId="39">'Đầu vào QT'!$A$1:$IU$65535</definedName>
    <definedName name="_xlnm.Print_Area" localSheetId="36">'Định mức tư vấn'!$A$1:$IU$27</definedName>
    <definedName name="_xlnm.Print_Area" localSheetId="11">'Đơn giá chi tiết'!$A$1:$IU$65535</definedName>
    <definedName name="_xlnm.Print_Area" localSheetId="24">'Đơn giá TH'!$A$1:$O$5</definedName>
    <definedName name="_xlnm.Print_Area" localSheetId="17">'Dự phòng'!$A$1:$I$16</definedName>
    <definedName name="_xlnm.Print_Area" localSheetId="27">'Dự phòng thầu'!$A$1:$I$16</definedName>
    <definedName name="_xlnm.Print_Area" localSheetId="25">'Dự thầu'!$A$1:$L$53</definedName>
    <definedName name="_xlnm.Print_Area" localSheetId="48">'Dự thầu QT'!$A$1:$IU$65535</definedName>
    <definedName name="_xlnm.Print_Area" localSheetId="28">'Dự toán gói thầu'!$A$1:$F$19</definedName>
    <definedName name="_xlnm.Print_Area" localSheetId="2">'Giá tháng'!$A$1:$G$52</definedName>
    <definedName name="_xlnm.Print_Area" localSheetId="38">'Giá tháng QT'!$A$1:$IU$65535</definedName>
    <definedName name="_xlnm.Print_Area" localSheetId="12">'Giá tổng hợp'!$A$1:$IU$65535</definedName>
    <definedName name="_xlnm.Print_Area" localSheetId="6">HaoPhiVatTu!$A$1:$H$315</definedName>
    <definedName name="_xlnm.Print_Area" localSheetId="42">'HaoPhiVatTu QT'!$A$1:$IU$65535</definedName>
    <definedName name="_xlnm.Print_Area" localSheetId="23">'Hệ số'!$A$1:$H$4</definedName>
    <definedName name="_xlnm.Print_Area" localSheetId="53">'Hệ số Pn'!$A$1:$IU$65535</definedName>
    <definedName name="_xlnm.Print_Area" localSheetId="49">'Hệ số QT'!$A$1:$IU$65535</definedName>
    <definedName name="_xlnm.Print_Area" localSheetId="16">'HM chung'!$A$1:$IU$65535</definedName>
    <definedName name="_xlnm.Print_Area" localSheetId="26">'HM chung thầu'!$A$1:$IU$65535</definedName>
    <definedName name="_xlnm.Print_Area" localSheetId="35">HSXL!$A$1:$IU$19</definedName>
    <definedName name="_xlnm.Print_Area" localSheetId="50">HSXLQT!$A$1:$IU$65535</definedName>
    <definedName name="_xlnm.Print_Area" localSheetId="51">'KL hoàn thành'!$A$1:$IU$65535</definedName>
    <definedName name="_xlnm.Print_Area" localSheetId="52">'KL phát sinh'!$A$1:$IU$65535</definedName>
    <definedName name="_xlnm.Print_Area" localSheetId="20">'Luật XD'!$A$1:$IU$65535</definedName>
    <definedName name="_xlnm.Print_Area" localSheetId="5">Máy!$A$1:$K$211</definedName>
    <definedName name="_xlnm.Print_Area" localSheetId="41">'Máy QT'!$A$1:$IU$65535</definedName>
    <definedName name="_xlnm.Print_Area" localSheetId="4">'Nhân công'!$A$1:$T$11</definedName>
    <definedName name="_xlnm.Print_Area" localSheetId="40">'Nhân công QT'!$A$1:$IU$65535</definedName>
    <definedName name="_xlnm.Print_Area" localSheetId="31">NhiênLiệu!$A$1:$IU$65535</definedName>
    <definedName name="_xlnm.Print_Area" localSheetId="46">'NhiênLiệu QT'!$A$1:$IU$65535</definedName>
    <definedName name="_xlnm.Print_Area" localSheetId="29">'Phân tích VT'!$A$1:$IU$65535</definedName>
    <definedName name="_xlnm.Print_Area" localSheetId="37">'Quyết toán'!$A$1:$IU$65535</definedName>
    <definedName name="_xlnm.Print_Area" localSheetId="15">'TH chi phí TB'!$A$1:$I$21</definedName>
    <definedName name="_xlnm.Print_Area" localSheetId="33">'TH chi phí tư vấn'!$A$1:$IU$65535</definedName>
    <definedName name="_xlnm.Print_Area" localSheetId="14">'TH chi phí XD'!$A$1:$G$8</definedName>
    <definedName name="_xlnm.Print_Area" localSheetId="18">'TH kinh phí'!$A$1:$I$89</definedName>
    <definedName name="_xlnm.Print_Area" localSheetId="32">'Thẩm định'!$A$1:$IU$65535</definedName>
    <definedName name="_xlnm.Print_Area" localSheetId="34">Thép!$A$1:$IU$65535</definedName>
    <definedName name="_xlnm.Print_Area" localSheetId="13">'THKP hạng mục'!$A$1:$H$29</definedName>
    <definedName name="_xlnm.Print_Area" localSheetId="8">'THVT gộp'!$A$1:$IU$65535</definedName>
    <definedName name="_xlnm.Print_Area" localSheetId="54">'Tổng hợp QT'!$A$1:$IU$65535</definedName>
    <definedName name="_xlnm.Print_Area" localSheetId="7">'Tổng hợp VT'!$A$1:$R$63</definedName>
    <definedName name="_xlnm.Print_Area" localSheetId="43">'Tổng hợp VT QT'!$A$1:$IU$65535</definedName>
    <definedName name="_xlnm.Print_Titles" localSheetId="22">'Chiết tính'!$4:$4</definedName>
    <definedName name="_xlnm.Print_Titles" localSheetId="1">'Công trình'!$4:$5</definedName>
    <definedName name="_xlnm.Print_Titles" localSheetId="25">'Dự thầu'!$4:$4</definedName>
    <definedName name="_xlnm.Print_Titles" localSheetId="28">'Dự toán gói thầu'!$7:$8</definedName>
    <definedName name="_xlnm.Print_Titles" localSheetId="2">'Giá tháng'!$4:$4</definedName>
    <definedName name="_xlnm.Print_Titles" localSheetId="4">'Nhân công'!$5:$7</definedName>
    <definedName name="_xlnm.Print_Titles" localSheetId="18">'TH kinh phí'!$4:$4</definedName>
    <definedName name="_xlnm.Print_Titles" localSheetId="13">'THKP hạng mục'!$4:$4</definedName>
    <definedName name="_xlnm.Print_Titles" localSheetId="7">'Tổng hợp VT'!$4:$4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P6" i="7" l="1"/>
  <c r="AB32" i="1"/>
  <c r="G74" i="18"/>
  <c r="Q4" i="1"/>
  <c r="U4" i="1"/>
  <c r="P8" i="1"/>
  <c r="X8" i="1" s="1"/>
  <c r="P10" i="1"/>
  <c r="U10" i="1" s="1"/>
  <c r="W10" i="1"/>
  <c r="X10" i="1"/>
  <c r="P32" i="1"/>
  <c r="W32" i="1" s="1"/>
  <c r="P34" i="1"/>
  <c r="U34" i="1" s="1"/>
  <c r="P36" i="1"/>
  <c r="P39" i="1"/>
  <c r="W39" i="1" s="1"/>
  <c r="P41" i="1"/>
  <c r="U41" i="1" s="1"/>
  <c r="P44" i="1"/>
  <c r="U44" i="1" s="1"/>
  <c r="X44" i="1"/>
  <c r="P47" i="1"/>
  <c r="U47" i="1" s="1"/>
  <c r="P49" i="1"/>
  <c r="X49" i="1" s="1"/>
  <c r="W49" i="1"/>
  <c r="P51" i="1"/>
  <c r="U51" i="1" s="1"/>
  <c r="X51" i="1"/>
  <c r="P53" i="1"/>
  <c r="U53" i="1" s="1"/>
  <c r="P55" i="1"/>
  <c r="T55" i="1"/>
  <c r="X55" i="1" s="1"/>
  <c r="U55" i="1"/>
  <c r="V55" i="1"/>
  <c r="W55" i="1"/>
  <c r="P57" i="1"/>
  <c r="P59" i="1"/>
  <c r="X59" i="1" s="1"/>
  <c r="W59" i="1"/>
  <c r="P61" i="1"/>
  <c r="W61" i="1" s="1"/>
  <c r="P63" i="1"/>
  <c r="V63" i="1" s="1"/>
  <c r="W63" i="1"/>
  <c r="U63" i="1"/>
  <c r="X63" i="1"/>
  <c r="P65" i="1"/>
  <c r="U65" i="1" s="1"/>
  <c r="P67" i="1"/>
  <c r="U67" i="1" s="1"/>
  <c r="P69" i="1"/>
  <c r="U69" i="1" s="1"/>
  <c r="X69" i="1"/>
  <c r="P72" i="1"/>
  <c r="X72" i="1" s="1"/>
  <c r="W72" i="1"/>
  <c r="U72" i="1"/>
  <c r="V72" i="1"/>
  <c r="P74" i="1"/>
  <c r="U74" i="1" s="1"/>
  <c r="P76" i="1"/>
  <c r="X76" i="1" s="1"/>
  <c r="W76" i="1"/>
  <c r="P78" i="1"/>
  <c r="U78" i="1" s="1"/>
  <c r="P81" i="1"/>
  <c r="V81" i="1" s="1"/>
  <c r="P83" i="1"/>
  <c r="U83" i="1" s="1"/>
  <c r="X83" i="1"/>
  <c r="P85" i="1"/>
  <c r="X85" i="1" s="1"/>
  <c r="P87" i="1"/>
  <c r="X87" i="1" s="1"/>
  <c r="U87" i="1"/>
  <c r="W87" i="1"/>
  <c r="P90" i="1"/>
  <c r="P92" i="1"/>
  <c r="U92" i="1" s="1"/>
  <c r="P94" i="1"/>
  <c r="P96" i="1"/>
  <c r="W96" i="1" s="1"/>
  <c r="V96" i="1"/>
  <c r="X96" i="1"/>
  <c r="P98" i="1"/>
  <c r="W98" i="1" s="1"/>
  <c r="P100" i="1"/>
  <c r="X100" i="1" s="1"/>
  <c r="U100" i="1"/>
  <c r="P103" i="1"/>
  <c r="U103" i="1" s="1"/>
  <c r="P105" i="1"/>
  <c r="U105" i="1" s="1"/>
  <c r="V105" i="1"/>
  <c r="W105" i="1"/>
  <c r="P107" i="1"/>
  <c r="W107" i="1" s="1"/>
  <c r="U107" i="1"/>
  <c r="V107" i="1"/>
  <c r="P110" i="1"/>
  <c r="E311" i="6" s="1"/>
  <c r="P112" i="1"/>
  <c r="U112" i="1" s="1"/>
  <c r="A2" i="2"/>
  <c r="E4" i="2"/>
  <c r="F4" i="2"/>
  <c r="I4" i="2"/>
  <c r="K8" i="2"/>
  <c r="K9" i="2"/>
  <c r="S13" i="7" s="1"/>
  <c r="K10" i="2"/>
  <c r="K11" i="2"/>
  <c r="K12" i="2"/>
  <c r="K15" i="2"/>
  <c r="K16" i="2"/>
  <c r="S20" i="7" s="1"/>
  <c r="K17" i="2"/>
  <c r="K18" i="2"/>
  <c r="K19" i="2"/>
  <c r="K20" i="2"/>
  <c r="K21" i="2"/>
  <c r="K22" i="2"/>
  <c r="K23" i="2"/>
  <c r="S27" i="7" s="1"/>
  <c r="A2" i="3"/>
  <c r="D22" i="3"/>
  <c r="E39" i="3"/>
  <c r="E40" i="3"/>
  <c r="K83" i="5" s="1"/>
  <c r="K82" i="5" s="1"/>
  <c r="A3" i="4"/>
  <c r="A4" i="4"/>
  <c r="I5" i="4"/>
  <c r="I6" i="4"/>
  <c r="J6" i="4"/>
  <c r="K6" i="4"/>
  <c r="L6" i="4"/>
  <c r="M6" i="4"/>
  <c r="N6" i="4"/>
  <c r="O6" i="4"/>
  <c r="P6" i="4"/>
  <c r="Q6" i="4"/>
  <c r="R6" i="4"/>
  <c r="I7" i="4"/>
  <c r="J7" i="4"/>
  <c r="K7" i="4"/>
  <c r="L7" i="4"/>
  <c r="M7" i="4"/>
  <c r="N7" i="4"/>
  <c r="O7" i="4"/>
  <c r="P7" i="4"/>
  <c r="Q7" i="4"/>
  <c r="R7" i="4"/>
  <c r="B8" i="4"/>
  <c r="C8" i="4"/>
  <c r="D8" i="4"/>
  <c r="E8" i="4"/>
  <c r="H8" i="4" s="1"/>
  <c r="B9" i="4"/>
  <c r="C9" i="4"/>
  <c r="D9" i="4"/>
  <c r="E9" i="4"/>
  <c r="H9" i="4" s="1"/>
  <c r="J9" i="4" s="1"/>
  <c r="B10" i="4"/>
  <c r="C10" i="4"/>
  <c r="D10" i="4"/>
  <c r="E10" i="4"/>
  <c r="H10" i="4" s="1"/>
  <c r="J10" i="4" s="1"/>
  <c r="B11" i="4"/>
  <c r="C11" i="4"/>
  <c r="D11" i="4"/>
  <c r="E11" i="4"/>
  <c r="H11" i="4"/>
  <c r="A3" i="5"/>
  <c r="A4" i="5"/>
  <c r="E5" i="5"/>
  <c r="H5" i="5"/>
  <c r="K5" i="5"/>
  <c r="B6" i="5"/>
  <c r="C6" i="5"/>
  <c r="D6" i="5"/>
  <c r="C8" i="5"/>
  <c r="D8" i="5"/>
  <c r="H8" i="5"/>
  <c r="I8" i="5"/>
  <c r="K11" i="5"/>
  <c r="K13" i="5"/>
  <c r="K14" i="5"/>
  <c r="K15" i="5"/>
  <c r="H17" i="5"/>
  <c r="I17" i="5"/>
  <c r="H18" i="5"/>
  <c r="K18" i="5" s="1"/>
  <c r="H19" i="5"/>
  <c r="K19" i="5" s="1"/>
  <c r="B20" i="5"/>
  <c r="C20" i="5"/>
  <c r="D20" i="5"/>
  <c r="C22" i="5"/>
  <c r="D22" i="5"/>
  <c r="H22" i="5"/>
  <c r="I22" i="5"/>
  <c r="K25" i="5"/>
  <c r="K27" i="5"/>
  <c r="H29" i="5"/>
  <c r="K29" i="5" s="1"/>
  <c r="I29" i="5"/>
  <c r="H30" i="5"/>
  <c r="K30" i="5" s="1"/>
  <c r="H31" i="5"/>
  <c r="K31" i="5"/>
  <c r="B32" i="5"/>
  <c r="C32" i="5"/>
  <c r="D32" i="5"/>
  <c r="C34" i="5"/>
  <c r="D34" i="5"/>
  <c r="H34" i="5"/>
  <c r="K34" i="5" s="1"/>
  <c r="K33" i="5" s="1"/>
  <c r="I34" i="5"/>
  <c r="K37" i="5"/>
  <c r="K39" i="5"/>
  <c r="K41" i="5"/>
  <c r="K43" i="5"/>
  <c r="K44" i="5"/>
  <c r="K45" i="5"/>
  <c r="H47" i="5"/>
  <c r="K47" i="5" s="1"/>
  <c r="I47" i="5"/>
  <c r="H48" i="5"/>
  <c r="K48" i="5" s="1"/>
  <c r="H49" i="5"/>
  <c r="K49" i="5"/>
  <c r="B50" i="5"/>
  <c r="C50" i="5"/>
  <c r="D50" i="5"/>
  <c r="C52" i="5"/>
  <c r="D52" i="5"/>
  <c r="H52" i="5"/>
  <c r="K52" i="5" s="1"/>
  <c r="K51" i="5" s="1"/>
  <c r="I52" i="5"/>
  <c r="K54" i="5"/>
  <c r="K55" i="5"/>
  <c r="K57" i="5"/>
  <c r="H59" i="5"/>
  <c r="I59" i="5"/>
  <c r="K59" i="5" s="1"/>
  <c r="H60" i="5"/>
  <c r="K60" i="5" s="1"/>
  <c r="H61" i="5"/>
  <c r="K61" i="5" s="1"/>
  <c r="B62" i="5"/>
  <c r="C62" i="5"/>
  <c r="D62" i="5"/>
  <c r="C64" i="5"/>
  <c r="D64" i="5"/>
  <c r="H64" i="5"/>
  <c r="I64" i="5"/>
  <c r="H66" i="5"/>
  <c r="I66" i="5"/>
  <c r="H67" i="5"/>
  <c r="K67" i="5" s="1"/>
  <c r="H68" i="5"/>
  <c r="K68" i="5" s="1"/>
  <c r="B69" i="5"/>
  <c r="C69" i="5"/>
  <c r="D69" i="5"/>
  <c r="C71" i="5"/>
  <c r="D71" i="5"/>
  <c r="H71" i="5"/>
  <c r="K71" i="5" s="1"/>
  <c r="K70" i="5" s="1"/>
  <c r="I71" i="5"/>
  <c r="K74" i="5"/>
  <c r="H76" i="5"/>
  <c r="K76" i="5"/>
  <c r="I76" i="5"/>
  <c r="H77" i="5"/>
  <c r="K77" i="5" s="1"/>
  <c r="H78" i="5"/>
  <c r="K78" i="5" s="1"/>
  <c r="B79" i="5"/>
  <c r="C79" i="5"/>
  <c r="D79" i="5"/>
  <c r="C81" i="5"/>
  <c r="D81" i="5"/>
  <c r="H81" i="5"/>
  <c r="I81" i="5"/>
  <c r="K81" i="5" s="1"/>
  <c r="K80" i="5" s="1"/>
  <c r="K84" i="5"/>
  <c r="H86" i="5"/>
  <c r="K86" i="5" s="1"/>
  <c r="I86" i="5"/>
  <c r="H87" i="5"/>
  <c r="K87" i="5" s="1"/>
  <c r="H88" i="5"/>
  <c r="K88" i="5" s="1"/>
  <c r="B89" i="5"/>
  <c r="C89" i="5"/>
  <c r="D89" i="5"/>
  <c r="C91" i="5"/>
  <c r="D91" i="5"/>
  <c r="H91" i="5"/>
  <c r="I91" i="5"/>
  <c r="H93" i="5"/>
  <c r="I93" i="5"/>
  <c r="H94" i="5"/>
  <c r="K94" i="5" s="1"/>
  <c r="H95" i="5"/>
  <c r="K95" i="5"/>
  <c r="B96" i="5"/>
  <c r="C96" i="5"/>
  <c r="D96" i="5"/>
  <c r="C98" i="5"/>
  <c r="D98" i="5"/>
  <c r="H98" i="5"/>
  <c r="I98" i="5"/>
  <c r="K98" i="5"/>
  <c r="K97" i="5" s="1"/>
  <c r="K101" i="5"/>
  <c r="H103" i="5"/>
  <c r="I103" i="5"/>
  <c r="H104" i="5"/>
  <c r="K104" i="5" s="1"/>
  <c r="H105" i="5"/>
  <c r="K105" i="5" s="1"/>
  <c r="B106" i="5"/>
  <c r="C106" i="5"/>
  <c r="D106" i="5"/>
  <c r="C108" i="5"/>
  <c r="D108" i="5"/>
  <c r="H108" i="5"/>
  <c r="K108" i="5" s="1"/>
  <c r="K107" i="5" s="1"/>
  <c r="I108" i="5"/>
  <c r="K111" i="5"/>
  <c r="K110" i="5"/>
  <c r="K109" i="5" s="1"/>
  <c r="H113" i="5"/>
  <c r="I113" i="5"/>
  <c r="K113" i="5"/>
  <c r="H114" i="5"/>
  <c r="K114" i="5" s="1"/>
  <c r="H115" i="5"/>
  <c r="K115" i="5" s="1"/>
  <c r="B116" i="5"/>
  <c r="C116" i="5"/>
  <c r="D116" i="5"/>
  <c r="C118" i="5"/>
  <c r="D118" i="5"/>
  <c r="H118" i="5"/>
  <c r="I118" i="5"/>
  <c r="K121" i="5"/>
  <c r="H123" i="5"/>
  <c r="K123" i="5" s="1"/>
  <c r="I123" i="5"/>
  <c r="H124" i="5"/>
  <c r="K124" i="5" s="1"/>
  <c r="H125" i="5"/>
  <c r="K125" i="5" s="1"/>
  <c r="B126" i="5"/>
  <c r="C126" i="5"/>
  <c r="D126" i="5"/>
  <c r="C128" i="5"/>
  <c r="D128" i="5"/>
  <c r="H128" i="5"/>
  <c r="I128" i="5"/>
  <c r="K130" i="5"/>
  <c r="K129" i="5" s="1"/>
  <c r="K131" i="5"/>
  <c r="H133" i="5"/>
  <c r="I133" i="5"/>
  <c r="H134" i="5"/>
  <c r="K134" i="5" s="1"/>
  <c r="H135" i="5"/>
  <c r="K135" i="5" s="1"/>
  <c r="B136" i="5"/>
  <c r="C136" i="5"/>
  <c r="D136" i="5"/>
  <c r="C138" i="5"/>
  <c r="D138" i="5"/>
  <c r="H138" i="5"/>
  <c r="I138" i="5"/>
  <c r="C139" i="5"/>
  <c r="D139" i="5"/>
  <c r="H139" i="5"/>
  <c r="I139" i="5"/>
  <c r="K142" i="5"/>
  <c r="H144" i="5"/>
  <c r="K144" i="5" s="1"/>
  <c r="I144" i="5"/>
  <c r="H145" i="5"/>
  <c r="K145" i="5" s="1"/>
  <c r="H146" i="5"/>
  <c r="K146" i="5" s="1"/>
  <c r="B147" i="5"/>
  <c r="C147" i="5"/>
  <c r="D147" i="5"/>
  <c r="C149" i="5"/>
  <c r="D149" i="5"/>
  <c r="H149" i="5"/>
  <c r="I149" i="5"/>
  <c r="K152" i="5"/>
  <c r="H154" i="5"/>
  <c r="I154" i="5"/>
  <c r="H155" i="5"/>
  <c r="K155" i="5"/>
  <c r="H156" i="5"/>
  <c r="K156" i="5" s="1"/>
  <c r="B157" i="5"/>
  <c r="C157" i="5"/>
  <c r="D157" i="5"/>
  <c r="C159" i="5"/>
  <c r="D159" i="5"/>
  <c r="H159" i="5"/>
  <c r="I159" i="5"/>
  <c r="K162" i="5"/>
  <c r="H164" i="5"/>
  <c r="I164" i="5"/>
  <c r="H165" i="5"/>
  <c r="K165" i="5" s="1"/>
  <c r="H166" i="5"/>
  <c r="K166" i="5" s="1"/>
  <c r="B167" i="5"/>
  <c r="C167" i="5"/>
  <c r="D167" i="5"/>
  <c r="C169" i="5"/>
  <c r="D169" i="5"/>
  <c r="H169" i="5"/>
  <c r="K169" i="5" s="1"/>
  <c r="K168" i="5" s="1"/>
  <c r="I169" i="5"/>
  <c r="K172" i="5"/>
  <c r="H174" i="5"/>
  <c r="K174" i="5" s="1"/>
  <c r="I174" i="5"/>
  <c r="H175" i="5"/>
  <c r="K175" i="5" s="1"/>
  <c r="H176" i="5"/>
  <c r="K176" i="5"/>
  <c r="B177" i="5"/>
  <c r="C177" i="5"/>
  <c r="D177" i="5"/>
  <c r="C179" i="5"/>
  <c r="D179" i="5"/>
  <c r="H179" i="5"/>
  <c r="I179" i="5"/>
  <c r="K179" i="5"/>
  <c r="K178" i="5" s="1"/>
  <c r="K182" i="5"/>
  <c r="H184" i="5"/>
  <c r="I184" i="5"/>
  <c r="K184" i="5" s="1"/>
  <c r="H185" i="5"/>
  <c r="K185" i="5" s="1"/>
  <c r="H186" i="5"/>
  <c r="K186" i="5"/>
  <c r="B187" i="5"/>
  <c r="C187" i="5"/>
  <c r="D187" i="5"/>
  <c r="C189" i="5"/>
  <c r="D189" i="5"/>
  <c r="H189" i="5"/>
  <c r="K189" i="5" s="1"/>
  <c r="K188" i="5" s="1"/>
  <c r="I189" i="5"/>
  <c r="K192" i="5"/>
  <c r="K191" i="5" s="1"/>
  <c r="K190" i="5" s="1"/>
  <c r="H194" i="5"/>
  <c r="K194" i="5" s="1"/>
  <c r="K193" i="5" s="1"/>
  <c r="I194" i="5"/>
  <c r="H195" i="5"/>
  <c r="K195" i="5" s="1"/>
  <c r="H196" i="5"/>
  <c r="K196" i="5" s="1"/>
  <c r="B197" i="5"/>
  <c r="C197" i="5"/>
  <c r="D197" i="5"/>
  <c r="C199" i="5"/>
  <c r="D199" i="5"/>
  <c r="H199" i="5"/>
  <c r="K199" i="5" s="1"/>
  <c r="K198" i="5" s="1"/>
  <c r="I199" i="5"/>
  <c r="K202" i="5"/>
  <c r="H204" i="5"/>
  <c r="K204" i="5"/>
  <c r="I204" i="5"/>
  <c r="H205" i="5"/>
  <c r="K205" i="5" s="1"/>
  <c r="H206" i="5"/>
  <c r="K206" i="5"/>
  <c r="B207" i="5"/>
  <c r="C207" i="5"/>
  <c r="D207" i="5"/>
  <c r="H209" i="5"/>
  <c r="K209" i="5" s="1"/>
  <c r="I209" i="5"/>
  <c r="H210" i="5"/>
  <c r="K210" i="5" s="1"/>
  <c r="K208" i="5" s="1"/>
  <c r="K207" i="5" s="1"/>
  <c r="F52" i="2" s="1"/>
  <c r="H61" i="7" s="1"/>
  <c r="K61" i="7" s="1"/>
  <c r="L61" i="7" s="1"/>
  <c r="H211" i="5"/>
  <c r="K211" i="5"/>
  <c r="A2" i="6"/>
  <c r="A3" i="6"/>
  <c r="A6" i="6"/>
  <c r="B6" i="6"/>
  <c r="C6" i="6"/>
  <c r="D6" i="6"/>
  <c r="E6" i="6"/>
  <c r="M9" i="6" s="1"/>
  <c r="H8" i="6"/>
  <c r="B8" i="6"/>
  <c r="C8" i="6"/>
  <c r="D8" i="6"/>
  <c r="G8" i="6"/>
  <c r="B11" i="6"/>
  <c r="C11" i="6"/>
  <c r="D11" i="6"/>
  <c r="G11" i="6"/>
  <c r="B13" i="6"/>
  <c r="C13" i="6"/>
  <c r="D13" i="6"/>
  <c r="G13" i="6"/>
  <c r="A15" i="6"/>
  <c r="B15" i="6"/>
  <c r="C15" i="6"/>
  <c r="D15" i="6"/>
  <c r="B17" i="6"/>
  <c r="C17" i="6"/>
  <c r="D17" i="6"/>
  <c r="G17" i="6"/>
  <c r="B20" i="6"/>
  <c r="C20" i="6"/>
  <c r="D20" i="6"/>
  <c r="G20" i="6"/>
  <c r="B22" i="6"/>
  <c r="C22" i="6"/>
  <c r="D22" i="6"/>
  <c r="G22" i="6"/>
  <c r="A24" i="6"/>
  <c r="B24" i="6"/>
  <c r="C24" i="6"/>
  <c r="D24" i="6"/>
  <c r="E24" i="6"/>
  <c r="B26" i="6"/>
  <c r="C26" i="6"/>
  <c r="D26" i="6"/>
  <c r="G26" i="6"/>
  <c r="B29" i="6"/>
  <c r="C29" i="6"/>
  <c r="D29" i="6"/>
  <c r="G29" i="6"/>
  <c r="A30" i="6"/>
  <c r="B30" i="6"/>
  <c r="C30" i="6"/>
  <c r="D30" i="6"/>
  <c r="E30" i="6"/>
  <c r="H32" i="6" s="1"/>
  <c r="B32" i="6"/>
  <c r="C32" i="6"/>
  <c r="D32" i="6"/>
  <c r="G32" i="6"/>
  <c r="B34" i="6"/>
  <c r="C34" i="6"/>
  <c r="D34" i="6"/>
  <c r="G34" i="6"/>
  <c r="A35" i="6"/>
  <c r="B35" i="6"/>
  <c r="C35" i="6"/>
  <c r="D35" i="6"/>
  <c r="E35" i="6"/>
  <c r="H37" i="6" s="1"/>
  <c r="B37" i="6"/>
  <c r="C37" i="6"/>
  <c r="D37" i="6"/>
  <c r="G37" i="6"/>
  <c r="B38" i="6"/>
  <c r="C38" i="6"/>
  <c r="D38" i="6"/>
  <c r="G38" i="6"/>
  <c r="B39" i="6"/>
  <c r="C39" i="6"/>
  <c r="D39" i="6"/>
  <c r="G39" i="6"/>
  <c r="H39" i="6"/>
  <c r="M40" i="6"/>
  <c r="B42" i="6"/>
  <c r="C42" i="6"/>
  <c r="D42" i="6"/>
  <c r="G42" i="6"/>
  <c r="B44" i="6"/>
  <c r="C44" i="6"/>
  <c r="D44" i="6"/>
  <c r="G44" i="6"/>
  <c r="H44" i="6" s="1"/>
  <c r="E56" i="7" s="1"/>
  <c r="B45" i="6"/>
  <c r="C45" i="6"/>
  <c r="D45" i="6"/>
  <c r="G45" i="6"/>
  <c r="B46" i="6"/>
  <c r="C46" i="6"/>
  <c r="D46" i="6"/>
  <c r="G46" i="6"/>
  <c r="H46" i="6"/>
  <c r="B47" i="6"/>
  <c r="C47" i="6"/>
  <c r="D47" i="6"/>
  <c r="G47" i="6"/>
  <c r="H47" i="6"/>
  <c r="B48" i="6"/>
  <c r="C48" i="6"/>
  <c r="D48" i="6"/>
  <c r="G48" i="6"/>
  <c r="B49" i="6"/>
  <c r="C49" i="6"/>
  <c r="D49" i="6"/>
  <c r="G49" i="6"/>
  <c r="H49" i="6" s="1"/>
  <c r="E46" i="7" s="1"/>
  <c r="G46" i="7" s="1"/>
  <c r="A50" i="6"/>
  <c r="B50" i="6"/>
  <c r="C50" i="6"/>
  <c r="D50" i="6"/>
  <c r="E50" i="6"/>
  <c r="B52" i="6"/>
  <c r="C52" i="6"/>
  <c r="D52" i="6"/>
  <c r="G52" i="6"/>
  <c r="B54" i="6"/>
  <c r="C54" i="6"/>
  <c r="D54" i="6"/>
  <c r="G54" i="6"/>
  <c r="A55" i="6"/>
  <c r="B55" i="6"/>
  <c r="C55" i="6"/>
  <c r="D55" i="6"/>
  <c r="E55" i="6"/>
  <c r="H57" i="6" s="1"/>
  <c r="B57" i="6"/>
  <c r="C57" i="6"/>
  <c r="D57" i="6"/>
  <c r="G57" i="6"/>
  <c r="B59" i="6"/>
  <c r="C59" i="6"/>
  <c r="D59" i="6"/>
  <c r="G59" i="6"/>
  <c r="B60" i="6"/>
  <c r="C60" i="6"/>
  <c r="D60" i="6"/>
  <c r="G60" i="6"/>
  <c r="A61" i="6"/>
  <c r="B61" i="6"/>
  <c r="C61" i="6"/>
  <c r="D61" i="6"/>
  <c r="E61" i="6"/>
  <c r="H63" i="6" s="1"/>
  <c r="B63" i="6"/>
  <c r="C63" i="6"/>
  <c r="D63" i="6"/>
  <c r="G63" i="6"/>
  <c r="A64" i="6"/>
  <c r="B64" i="6"/>
  <c r="C64" i="6"/>
  <c r="D64" i="6"/>
  <c r="E64" i="6"/>
  <c r="B66" i="6"/>
  <c r="C66" i="6"/>
  <c r="D66" i="6"/>
  <c r="G66" i="6"/>
  <c r="A67" i="6"/>
  <c r="B67" i="6"/>
  <c r="C67" i="6"/>
  <c r="D67" i="6"/>
  <c r="B69" i="6"/>
  <c r="C69" i="6"/>
  <c r="D69" i="6"/>
  <c r="G69" i="6"/>
  <c r="B70" i="6"/>
  <c r="C70" i="6"/>
  <c r="D70" i="6"/>
  <c r="G70" i="6"/>
  <c r="B71" i="6"/>
  <c r="C71" i="6"/>
  <c r="D71" i="6"/>
  <c r="G71" i="6"/>
  <c r="B74" i="6"/>
  <c r="C74" i="6"/>
  <c r="D74" i="6"/>
  <c r="G74" i="6"/>
  <c r="A75" i="6"/>
  <c r="B75" i="6"/>
  <c r="C75" i="6"/>
  <c r="D75" i="6"/>
  <c r="E75" i="6"/>
  <c r="M78" i="6" s="1"/>
  <c r="B77" i="6"/>
  <c r="C77" i="6"/>
  <c r="D77" i="6"/>
  <c r="G77" i="6"/>
  <c r="H77" i="6"/>
  <c r="B80" i="6"/>
  <c r="C80" i="6"/>
  <c r="D80" i="6"/>
  <c r="G80" i="6"/>
  <c r="A81" i="6"/>
  <c r="B81" i="6"/>
  <c r="C81" i="6"/>
  <c r="D81" i="6"/>
  <c r="B83" i="6"/>
  <c r="C83" i="6"/>
  <c r="D83" i="6"/>
  <c r="G83" i="6"/>
  <c r="B84" i="6"/>
  <c r="C84" i="6"/>
  <c r="D84" i="6"/>
  <c r="G84" i="6"/>
  <c r="B85" i="6"/>
  <c r="C85" i="6"/>
  <c r="D85" i="6"/>
  <c r="G85" i="6"/>
  <c r="B88" i="6"/>
  <c r="C88" i="6"/>
  <c r="D88" i="6"/>
  <c r="G88" i="6"/>
  <c r="B90" i="6"/>
  <c r="C90" i="6"/>
  <c r="D90" i="6"/>
  <c r="G90" i="6"/>
  <c r="A92" i="6"/>
  <c r="B92" i="6"/>
  <c r="C92" i="6"/>
  <c r="D92" i="6"/>
  <c r="E92" i="6"/>
  <c r="H94" i="6"/>
  <c r="B94" i="6"/>
  <c r="C94" i="6"/>
  <c r="D94" i="6"/>
  <c r="G94" i="6"/>
  <c r="B95" i="6"/>
  <c r="C95" i="6"/>
  <c r="D95" i="6"/>
  <c r="G95" i="6"/>
  <c r="B96" i="6"/>
  <c r="C96" i="6"/>
  <c r="D96" i="6"/>
  <c r="G96" i="6"/>
  <c r="B97" i="6"/>
  <c r="C97" i="6"/>
  <c r="D97" i="6"/>
  <c r="G97" i="6"/>
  <c r="B100" i="6"/>
  <c r="C100" i="6"/>
  <c r="D100" i="6"/>
  <c r="G100" i="6"/>
  <c r="B102" i="6"/>
  <c r="C102" i="6"/>
  <c r="D102" i="6"/>
  <c r="G102" i="6"/>
  <c r="B103" i="6"/>
  <c r="C103" i="6"/>
  <c r="D103" i="6"/>
  <c r="G103" i="6"/>
  <c r="A104" i="6"/>
  <c r="B104" i="6"/>
  <c r="C104" i="6"/>
  <c r="D104" i="6"/>
  <c r="E104" i="6"/>
  <c r="H110" i="6" s="1"/>
  <c r="B106" i="6"/>
  <c r="C106" i="6"/>
  <c r="D106" i="6"/>
  <c r="G106" i="6"/>
  <c r="H106" i="6" s="1"/>
  <c r="E27" i="7" s="1"/>
  <c r="B107" i="6"/>
  <c r="C107" i="6"/>
  <c r="D107" i="6"/>
  <c r="G107" i="6"/>
  <c r="H107" i="6" s="1"/>
  <c r="B108" i="6"/>
  <c r="C108" i="6"/>
  <c r="D108" i="6"/>
  <c r="G108" i="6"/>
  <c r="B110" i="6"/>
  <c r="C110" i="6"/>
  <c r="D110" i="6"/>
  <c r="G110" i="6"/>
  <c r="B112" i="6"/>
  <c r="C112" i="6"/>
  <c r="D112" i="6"/>
  <c r="G112" i="6"/>
  <c r="H112" i="6" s="1"/>
  <c r="B113" i="6"/>
  <c r="C113" i="6"/>
  <c r="D113" i="6"/>
  <c r="G113" i="6"/>
  <c r="A114" i="6"/>
  <c r="B114" i="6"/>
  <c r="C114" i="6"/>
  <c r="D114" i="6"/>
  <c r="B116" i="6"/>
  <c r="C116" i="6"/>
  <c r="D116" i="6"/>
  <c r="G116" i="6"/>
  <c r="B117" i="6"/>
  <c r="C117" i="6"/>
  <c r="D117" i="6"/>
  <c r="G117" i="6"/>
  <c r="B118" i="6"/>
  <c r="C118" i="6"/>
  <c r="D118" i="6"/>
  <c r="G118" i="6"/>
  <c r="B121" i="6"/>
  <c r="C121" i="6"/>
  <c r="D121" i="6"/>
  <c r="G121" i="6"/>
  <c r="B123" i="6"/>
  <c r="C123" i="6"/>
  <c r="D123" i="6"/>
  <c r="G123" i="6"/>
  <c r="A125" i="6"/>
  <c r="B125" i="6"/>
  <c r="C125" i="6"/>
  <c r="D125" i="6"/>
  <c r="E125" i="6"/>
  <c r="H127" i="6" s="1"/>
  <c r="B127" i="6"/>
  <c r="C127" i="6"/>
  <c r="D127" i="6"/>
  <c r="G127" i="6"/>
  <c r="B128" i="6"/>
  <c r="C128" i="6"/>
  <c r="D128" i="6"/>
  <c r="G128" i="6"/>
  <c r="B129" i="6"/>
  <c r="C129" i="6"/>
  <c r="D129" i="6"/>
  <c r="G129" i="6"/>
  <c r="B130" i="6"/>
  <c r="C130" i="6"/>
  <c r="D130" i="6"/>
  <c r="G130" i="6"/>
  <c r="B133" i="6"/>
  <c r="C133" i="6"/>
  <c r="D133" i="6"/>
  <c r="G133" i="6"/>
  <c r="H133" i="6"/>
  <c r="B135" i="6"/>
  <c r="C135" i="6"/>
  <c r="D135" i="6"/>
  <c r="G135" i="6"/>
  <c r="B136" i="6"/>
  <c r="C136" i="6"/>
  <c r="D136" i="6"/>
  <c r="G136" i="6"/>
  <c r="A137" i="6"/>
  <c r="B137" i="6"/>
  <c r="C137" i="6"/>
  <c r="D137" i="6"/>
  <c r="E137" i="6"/>
  <c r="B139" i="6"/>
  <c r="C139" i="6"/>
  <c r="D139" i="6"/>
  <c r="G139" i="6"/>
  <c r="B140" i="6"/>
  <c r="C140" i="6"/>
  <c r="D140" i="6"/>
  <c r="G140" i="6"/>
  <c r="H140" i="6" s="1"/>
  <c r="B142" i="6"/>
  <c r="C142" i="6"/>
  <c r="D142" i="6"/>
  <c r="G142" i="6"/>
  <c r="B144" i="6"/>
  <c r="C144" i="6"/>
  <c r="D144" i="6"/>
  <c r="G144" i="6"/>
  <c r="A145" i="6"/>
  <c r="B145" i="6"/>
  <c r="C145" i="6"/>
  <c r="D145" i="6"/>
  <c r="E145" i="6"/>
  <c r="B147" i="6"/>
  <c r="C147" i="6"/>
  <c r="D147" i="6"/>
  <c r="G147" i="6"/>
  <c r="B148" i="6"/>
  <c r="C148" i="6"/>
  <c r="D148" i="6"/>
  <c r="G148" i="6"/>
  <c r="B149" i="6"/>
  <c r="C149" i="6"/>
  <c r="D149" i="6"/>
  <c r="G149" i="6"/>
  <c r="B150" i="6"/>
  <c r="C150" i="6"/>
  <c r="D150" i="6"/>
  <c r="G150" i="6"/>
  <c r="B153" i="6"/>
  <c r="C153" i="6"/>
  <c r="D153" i="6"/>
  <c r="G153" i="6"/>
  <c r="B155" i="6"/>
  <c r="C155" i="6"/>
  <c r="D155" i="6"/>
  <c r="G155" i="6"/>
  <c r="B156" i="6"/>
  <c r="C156" i="6"/>
  <c r="D156" i="6"/>
  <c r="G156" i="6"/>
  <c r="B157" i="6"/>
  <c r="C157" i="6"/>
  <c r="D157" i="6"/>
  <c r="G157" i="6"/>
  <c r="A159" i="6"/>
  <c r="B159" i="6"/>
  <c r="C159" i="6"/>
  <c r="D159" i="6"/>
  <c r="E159" i="6"/>
  <c r="B161" i="6"/>
  <c r="C161" i="6"/>
  <c r="D161" i="6"/>
  <c r="G161" i="6"/>
  <c r="B162" i="6"/>
  <c r="C162" i="6"/>
  <c r="D162" i="6"/>
  <c r="G162" i="6"/>
  <c r="B163" i="6"/>
  <c r="C163" i="6"/>
  <c r="D163" i="6"/>
  <c r="G163" i="6"/>
  <c r="B164" i="6"/>
  <c r="C164" i="6"/>
  <c r="D164" i="6"/>
  <c r="G164" i="6"/>
  <c r="B167" i="6"/>
  <c r="C167" i="6"/>
  <c r="D167" i="6"/>
  <c r="G167" i="6"/>
  <c r="B169" i="6"/>
  <c r="C169" i="6"/>
  <c r="D169" i="6"/>
  <c r="G169" i="6"/>
  <c r="B170" i="6"/>
  <c r="C170" i="6"/>
  <c r="D170" i="6"/>
  <c r="G170" i="6"/>
  <c r="A171" i="6"/>
  <c r="B171" i="6"/>
  <c r="C171" i="6"/>
  <c r="D171" i="6"/>
  <c r="B173" i="6"/>
  <c r="C173" i="6"/>
  <c r="D173" i="6"/>
  <c r="G173" i="6"/>
  <c r="B174" i="6"/>
  <c r="C174" i="6"/>
  <c r="D174" i="6"/>
  <c r="G174" i="6"/>
  <c r="B175" i="6"/>
  <c r="C175" i="6"/>
  <c r="D175" i="6"/>
  <c r="G175" i="6"/>
  <c r="B176" i="6"/>
  <c r="C176" i="6"/>
  <c r="D176" i="6"/>
  <c r="G176" i="6"/>
  <c r="B179" i="6"/>
  <c r="C179" i="6"/>
  <c r="D179" i="6"/>
  <c r="G179" i="6"/>
  <c r="B181" i="6"/>
  <c r="C181" i="6"/>
  <c r="D181" i="6"/>
  <c r="G181" i="6"/>
  <c r="B182" i="6"/>
  <c r="C182" i="6"/>
  <c r="D182" i="6"/>
  <c r="G182" i="6"/>
  <c r="B183" i="6"/>
  <c r="C183" i="6"/>
  <c r="D183" i="6"/>
  <c r="G183" i="6"/>
  <c r="A185" i="6"/>
  <c r="B185" i="6"/>
  <c r="C185" i="6"/>
  <c r="D185" i="6"/>
  <c r="E185" i="6"/>
  <c r="B187" i="6"/>
  <c r="C187" i="6"/>
  <c r="D187" i="6"/>
  <c r="G187" i="6"/>
  <c r="B188" i="6"/>
  <c r="C188" i="6"/>
  <c r="D188" i="6"/>
  <c r="G188" i="6"/>
  <c r="B190" i="6"/>
  <c r="C190" i="6"/>
  <c r="D190" i="6"/>
  <c r="G190" i="6"/>
  <c r="B192" i="6"/>
  <c r="C192" i="6"/>
  <c r="D192" i="6"/>
  <c r="G192" i="6"/>
  <c r="H192" i="6" s="1"/>
  <c r="B193" i="6"/>
  <c r="C193" i="6"/>
  <c r="D193" i="6"/>
  <c r="G193" i="6"/>
  <c r="B194" i="6"/>
  <c r="C194" i="6"/>
  <c r="D194" i="6"/>
  <c r="G194" i="6"/>
  <c r="A196" i="6"/>
  <c r="B196" i="6"/>
  <c r="C196" i="6"/>
  <c r="D196" i="6"/>
  <c r="B198" i="6"/>
  <c r="C198" i="6"/>
  <c r="D198" i="6"/>
  <c r="G198" i="6"/>
  <c r="B199" i="6"/>
  <c r="C199" i="6"/>
  <c r="D199" i="6"/>
  <c r="G199" i="6"/>
  <c r="B200" i="6"/>
  <c r="C200" i="6"/>
  <c r="D200" i="6"/>
  <c r="G200" i="6"/>
  <c r="B201" i="6"/>
  <c r="C201" i="6"/>
  <c r="D201" i="6"/>
  <c r="G201" i="6"/>
  <c r="B204" i="6"/>
  <c r="C204" i="6"/>
  <c r="D204" i="6"/>
  <c r="G204" i="6"/>
  <c r="B206" i="6"/>
  <c r="C206" i="6"/>
  <c r="D206" i="6"/>
  <c r="G206" i="6"/>
  <c r="B207" i="6"/>
  <c r="C207" i="6"/>
  <c r="D207" i="6"/>
  <c r="G207" i="6"/>
  <c r="A209" i="6"/>
  <c r="B209" i="6"/>
  <c r="C209" i="6"/>
  <c r="D209" i="6"/>
  <c r="E209" i="6"/>
  <c r="B211" i="6"/>
  <c r="C211" i="6"/>
  <c r="D211" i="6"/>
  <c r="G211" i="6"/>
  <c r="B213" i="6"/>
  <c r="C213" i="6"/>
  <c r="D213" i="6"/>
  <c r="G213" i="6"/>
  <c r="H213" i="6"/>
  <c r="B215" i="6"/>
  <c r="C215" i="6"/>
  <c r="D215" i="6"/>
  <c r="G215" i="6"/>
  <c r="N216" i="6"/>
  <c r="A217" i="6"/>
  <c r="B217" i="6"/>
  <c r="C217" i="6"/>
  <c r="D217" i="6"/>
  <c r="B219" i="6"/>
  <c r="C219" i="6"/>
  <c r="D219" i="6"/>
  <c r="G219" i="6"/>
  <c r="B220" i="6"/>
  <c r="C220" i="6"/>
  <c r="D220" i="6"/>
  <c r="G220" i="6"/>
  <c r="B221" i="6"/>
  <c r="C221" i="6"/>
  <c r="D221" i="6"/>
  <c r="G221" i="6"/>
  <c r="B224" i="6"/>
  <c r="C224" i="6"/>
  <c r="D224" i="6"/>
  <c r="G224" i="6"/>
  <c r="A225" i="6"/>
  <c r="B225" i="6"/>
  <c r="C225" i="6"/>
  <c r="D225" i="6"/>
  <c r="E225" i="6"/>
  <c r="H227" i="6"/>
  <c r="B227" i="6"/>
  <c r="C227" i="6"/>
  <c r="D227" i="6"/>
  <c r="G227" i="6"/>
  <c r="M228" i="6"/>
  <c r="B230" i="6"/>
  <c r="C230" i="6"/>
  <c r="D230" i="6"/>
  <c r="G230" i="6"/>
  <c r="H230" i="6"/>
  <c r="A231" i="6"/>
  <c r="B231" i="6"/>
  <c r="C231" i="6"/>
  <c r="D231" i="6"/>
  <c r="B233" i="6"/>
  <c r="C233" i="6"/>
  <c r="D233" i="6"/>
  <c r="G233" i="6"/>
  <c r="B234" i="6"/>
  <c r="C234" i="6"/>
  <c r="D234" i="6"/>
  <c r="G234" i="6"/>
  <c r="B235" i="6"/>
  <c r="C235" i="6"/>
  <c r="D235" i="6"/>
  <c r="G235" i="6"/>
  <c r="B238" i="6"/>
  <c r="C238" i="6"/>
  <c r="D238" i="6"/>
  <c r="G238" i="6"/>
  <c r="B240" i="6"/>
  <c r="C240" i="6"/>
  <c r="D240" i="6"/>
  <c r="G240" i="6"/>
  <c r="A242" i="6"/>
  <c r="B242" i="6"/>
  <c r="C242" i="6"/>
  <c r="D242" i="6"/>
  <c r="E242" i="6"/>
  <c r="H244" i="6"/>
  <c r="B244" i="6"/>
  <c r="C244" i="6"/>
  <c r="D244" i="6"/>
  <c r="G244" i="6"/>
  <c r="B245" i="6"/>
  <c r="C245" i="6"/>
  <c r="D245" i="6"/>
  <c r="G245" i="6"/>
  <c r="H245" i="6" s="1"/>
  <c r="B246" i="6"/>
  <c r="C246" i="6"/>
  <c r="D246" i="6"/>
  <c r="G246" i="6"/>
  <c r="B247" i="6"/>
  <c r="C247" i="6"/>
  <c r="D247" i="6"/>
  <c r="G247" i="6"/>
  <c r="B250" i="6"/>
  <c r="C250" i="6"/>
  <c r="D250" i="6"/>
  <c r="G250" i="6"/>
  <c r="H250" i="6"/>
  <c r="B252" i="6"/>
  <c r="C252" i="6"/>
  <c r="D252" i="6"/>
  <c r="G252" i="6"/>
  <c r="H252" i="6" s="1"/>
  <c r="B253" i="6"/>
  <c r="C253" i="6"/>
  <c r="D253" i="6"/>
  <c r="G253" i="6"/>
  <c r="A254" i="6"/>
  <c r="B254" i="6"/>
  <c r="C254" i="6"/>
  <c r="D254" i="6"/>
  <c r="E254" i="6"/>
  <c r="B256" i="6"/>
  <c r="C256" i="6"/>
  <c r="D256" i="6"/>
  <c r="G256" i="6"/>
  <c r="B257" i="6"/>
  <c r="C257" i="6"/>
  <c r="D257" i="6"/>
  <c r="G257" i="6"/>
  <c r="B258" i="6"/>
  <c r="C258" i="6"/>
  <c r="D258" i="6"/>
  <c r="G258" i="6"/>
  <c r="B261" i="6"/>
  <c r="C261" i="6"/>
  <c r="D261" i="6"/>
  <c r="G261" i="6"/>
  <c r="B263" i="6"/>
  <c r="C263" i="6"/>
  <c r="D263" i="6"/>
  <c r="G263" i="6"/>
  <c r="A265" i="6"/>
  <c r="B265" i="6"/>
  <c r="C265" i="6"/>
  <c r="D265" i="6"/>
  <c r="E265" i="6"/>
  <c r="M271" i="6" s="1"/>
  <c r="B267" i="6"/>
  <c r="C267" i="6"/>
  <c r="D267" i="6"/>
  <c r="G267" i="6"/>
  <c r="B268" i="6"/>
  <c r="C268" i="6"/>
  <c r="D268" i="6"/>
  <c r="G268" i="6"/>
  <c r="H268" i="6" s="1"/>
  <c r="B269" i="6"/>
  <c r="C269" i="6"/>
  <c r="D269" i="6"/>
  <c r="G269" i="6"/>
  <c r="H269" i="6" s="1"/>
  <c r="B270" i="6"/>
  <c r="C270" i="6"/>
  <c r="D270" i="6"/>
  <c r="G270" i="6"/>
  <c r="H270" i="6"/>
  <c r="B273" i="6"/>
  <c r="C273" i="6"/>
  <c r="D273" i="6"/>
  <c r="G273" i="6"/>
  <c r="H273" i="6"/>
  <c r="B275" i="6"/>
  <c r="C275" i="6"/>
  <c r="D275" i="6"/>
  <c r="G275" i="6"/>
  <c r="B276" i="6"/>
  <c r="C276" i="6"/>
  <c r="D276" i="6"/>
  <c r="G276" i="6"/>
  <c r="H276" i="6" s="1"/>
  <c r="A277" i="6"/>
  <c r="B277" i="6"/>
  <c r="C277" i="6"/>
  <c r="D277" i="6"/>
  <c r="E277" i="6"/>
  <c r="H279" i="6"/>
  <c r="B279" i="6"/>
  <c r="C279" i="6"/>
  <c r="D279" i="6"/>
  <c r="G279" i="6"/>
  <c r="B280" i="6"/>
  <c r="C280" i="6"/>
  <c r="D280" i="6"/>
  <c r="G280" i="6"/>
  <c r="B282" i="6"/>
  <c r="C282" i="6"/>
  <c r="D282" i="6"/>
  <c r="G282" i="6"/>
  <c r="H282" i="6" s="1"/>
  <c r="B284" i="6"/>
  <c r="C284" i="6"/>
  <c r="D284" i="6"/>
  <c r="G284" i="6"/>
  <c r="H284" i="6"/>
  <c r="A285" i="6"/>
  <c r="B285" i="6"/>
  <c r="C285" i="6"/>
  <c r="D285" i="6"/>
  <c r="E285" i="6"/>
  <c r="N298" i="6" s="1"/>
  <c r="B287" i="6"/>
  <c r="C287" i="6"/>
  <c r="D287" i="6"/>
  <c r="G287" i="6"/>
  <c r="B288" i="6"/>
  <c r="C288" i="6"/>
  <c r="D288" i="6"/>
  <c r="G288" i="6"/>
  <c r="B289" i="6"/>
  <c r="C289" i="6"/>
  <c r="D289" i="6"/>
  <c r="G289" i="6"/>
  <c r="H289" i="6" s="1"/>
  <c r="B290" i="6"/>
  <c r="C290" i="6"/>
  <c r="D290" i="6"/>
  <c r="G290" i="6"/>
  <c r="M291" i="6"/>
  <c r="B293" i="6"/>
  <c r="C293" i="6"/>
  <c r="D293" i="6"/>
  <c r="G293" i="6"/>
  <c r="B295" i="6"/>
  <c r="C295" i="6"/>
  <c r="D295" i="6"/>
  <c r="G295" i="6"/>
  <c r="H295" i="6" s="1"/>
  <c r="B296" i="6"/>
  <c r="C296" i="6"/>
  <c r="D296" i="6"/>
  <c r="G296" i="6"/>
  <c r="H296" i="6"/>
  <c r="B297" i="6"/>
  <c r="C297" i="6"/>
  <c r="D297" i="6"/>
  <c r="G297" i="6"/>
  <c r="H297" i="6"/>
  <c r="A299" i="6"/>
  <c r="B299" i="6"/>
  <c r="C299" i="6"/>
  <c r="D299" i="6"/>
  <c r="E299" i="6"/>
  <c r="H307" i="6" s="1"/>
  <c r="B301" i="6"/>
  <c r="C301" i="6"/>
  <c r="D301" i="6"/>
  <c r="G301" i="6"/>
  <c r="B302" i="6"/>
  <c r="C302" i="6"/>
  <c r="D302" i="6"/>
  <c r="G302" i="6"/>
  <c r="H302" i="6"/>
  <c r="B303" i="6"/>
  <c r="C303" i="6"/>
  <c r="D303" i="6"/>
  <c r="G303" i="6"/>
  <c r="B304" i="6"/>
  <c r="C304" i="6"/>
  <c r="D304" i="6"/>
  <c r="G304" i="6"/>
  <c r="B307" i="6"/>
  <c r="C307" i="6"/>
  <c r="D307" i="6"/>
  <c r="G307" i="6"/>
  <c r="B309" i="6"/>
  <c r="C309" i="6"/>
  <c r="D309" i="6"/>
  <c r="G309" i="6"/>
  <c r="B310" i="6"/>
  <c r="C310" i="6"/>
  <c r="D310" i="6"/>
  <c r="G310" i="6"/>
  <c r="H310" i="6"/>
  <c r="A311" i="6"/>
  <c r="B311" i="6"/>
  <c r="C311" i="6"/>
  <c r="D311" i="6"/>
  <c r="B313" i="6"/>
  <c r="C313" i="6"/>
  <c r="D313" i="6"/>
  <c r="G313" i="6"/>
  <c r="B315" i="6"/>
  <c r="C315" i="6"/>
  <c r="D315" i="6"/>
  <c r="G315" i="6"/>
  <c r="A2" i="7"/>
  <c r="A3" i="7"/>
  <c r="F4" i="7"/>
  <c r="G4" i="7"/>
  <c r="H4" i="7"/>
  <c r="I4" i="7"/>
  <c r="K4" i="7"/>
  <c r="L4" i="7"/>
  <c r="M4" i="7"/>
  <c r="N4" i="7"/>
  <c r="O4" i="7"/>
  <c r="P4" i="7"/>
  <c r="Q4" i="7"/>
  <c r="R4" i="7"/>
  <c r="B6" i="7"/>
  <c r="C6" i="7"/>
  <c r="D6" i="7"/>
  <c r="E6" i="7"/>
  <c r="I6" i="7" s="1"/>
  <c r="F6" i="7"/>
  <c r="H6" i="7"/>
  <c r="M6" i="7"/>
  <c r="B7" i="7"/>
  <c r="C7" i="7"/>
  <c r="D7" i="7"/>
  <c r="F7" i="7"/>
  <c r="H7" i="7"/>
  <c r="K7" i="7" s="1"/>
  <c r="M7" i="7"/>
  <c r="B8" i="7"/>
  <c r="C8" i="7"/>
  <c r="D8" i="7"/>
  <c r="E8" i="7"/>
  <c r="F8" i="7"/>
  <c r="H8" i="7"/>
  <c r="M8" i="7"/>
  <c r="B9" i="7"/>
  <c r="C9" i="7"/>
  <c r="D9" i="7"/>
  <c r="E9" i="7"/>
  <c r="F9" i="7"/>
  <c r="G9" i="7" s="1"/>
  <c r="H9" i="7"/>
  <c r="M9" i="7"/>
  <c r="N9" i="7" s="1"/>
  <c r="B10" i="7"/>
  <c r="C10" i="7"/>
  <c r="D10" i="7"/>
  <c r="F10" i="7"/>
  <c r="H10" i="7"/>
  <c r="K10" i="7" s="1"/>
  <c r="S10" i="7"/>
  <c r="B11" i="7"/>
  <c r="C11" i="7"/>
  <c r="D11" i="7"/>
  <c r="F11" i="7"/>
  <c r="H11" i="7"/>
  <c r="K11" i="7" s="1"/>
  <c r="AX7" i="9" s="1"/>
  <c r="AP7" i="9" s="1"/>
  <c r="S11" i="7"/>
  <c r="B12" i="7"/>
  <c r="C12" i="7"/>
  <c r="D12" i="7"/>
  <c r="F12" i="7"/>
  <c r="H12" i="7"/>
  <c r="K12" i="7" s="1"/>
  <c r="AX8" i="9" s="1"/>
  <c r="S12" i="7"/>
  <c r="B13" i="7"/>
  <c r="C13" i="7"/>
  <c r="D13" i="7"/>
  <c r="F13" i="7"/>
  <c r="H13" i="7"/>
  <c r="B14" i="7"/>
  <c r="C14" i="7"/>
  <c r="D14" i="7"/>
  <c r="F14" i="7"/>
  <c r="H14" i="7"/>
  <c r="K14" i="7" s="1"/>
  <c r="S14" i="7"/>
  <c r="B15" i="7"/>
  <c r="C15" i="7"/>
  <c r="D15" i="7"/>
  <c r="F15" i="7"/>
  <c r="H15" i="7"/>
  <c r="K15" i="7" s="1"/>
  <c r="Y11" i="10" s="1"/>
  <c r="S15" i="7"/>
  <c r="B16" i="7"/>
  <c r="C16" i="7"/>
  <c r="D16" i="7"/>
  <c r="F16" i="7"/>
  <c r="H16" i="7"/>
  <c r="K16" i="7" s="1"/>
  <c r="Y12" i="10" s="1"/>
  <c r="S16" i="7"/>
  <c r="B17" i="7"/>
  <c r="C17" i="7"/>
  <c r="D17" i="7"/>
  <c r="F17" i="7"/>
  <c r="H17" i="7"/>
  <c r="K17" i="7" s="1"/>
  <c r="Y13" i="10" s="1"/>
  <c r="S17" i="7"/>
  <c r="B18" i="7"/>
  <c r="C18" i="7"/>
  <c r="D18" i="7"/>
  <c r="F18" i="7"/>
  <c r="H18" i="7"/>
  <c r="K18" i="7" s="1"/>
  <c r="AX14" i="9" s="1"/>
  <c r="AP14" i="9" s="1"/>
  <c r="S18" i="7"/>
  <c r="B19" i="7"/>
  <c r="C19" i="7"/>
  <c r="D19" i="7"/>
  <c r="F19" i="7"/>
  <c r="H19" i="7"/>
  <c r="K19" i="7"/>
  <c r="AX15" i="9" s="1"/>
  <c r="AP15" i="9" s="1"/>
  <c r="S19" i="7"/>
  <c r="B20" i="7"/>
  <c r="C20" i="7"/>
  <c r="D20" i="7"/>
  <c r="F20" i="7"/>
  <c r="H20" i="7"/>
  <c r="K20" i="7" s="1"/>
  <c r="AX16" i="9" s="1"/>
  <c r="B21" i="7"/>
  <c r="C21" i="7"/>
  <c r="D21" i="7"/>
  <c r="E21" i="7"/>
  <c r="I21" i="7" s="1"/>
  <c r="F21" i="7"/>
  <c r="H21" i="7"/>
  <c r="K21" i="7"/>
  <c r="S21" i="7"/>
  <c r="B22" i="7"/>
  <c r="C22" i="7"/>
  <c r="D22" i="7"/>
  <c r="E22" i="7"/>
  <c r="E18" i="10" s="1"/>
  <c r="AA18" i="10" s="1"/>
  <c r="F22" i="7"/>
  <c r="H22" i="7"/>
  <c r="K22" i="7"/>
  <c r="Y18" i="10" s="1"/>
  <c r="S22" i="7"/>
  <c r="B23" i="7"/>
  <c r="C23" i="7"/>
  <c r="D23" i="7"/>
  <c r="F23" i="7"/>
  <c r="H23" i="7"/>
  <c r="S23" i="7"/>
  <c r="B24" i="7"/>
  <c r="C24" i="7"/>
  <c r="D24" i="7"/>
  <c r="F24" i="7"/>
  <c r="H24" i="7"/>
  <c r="K24" i="7"/>
  <c r="Y20" i="10" s="1"/>
  <c r="S24" i="7"/>
  <c r="B25" i="7"/>
  <c r="C25" i="7"/>
  <c r="D25" i="7"/>
  <c r="F25" i="7"/>
  <c r="H25" i="7"/>
  <c r="K25" i="7" s="1"/>
  <c r="S25" i="7"/>
  <c r="B26" i="7"/>
  <c r="C26" i="7"/>
  <c r="D26" i="7"/>
  <c r="F26" i="7"/>
  <c r="H26" i="7"/>
  <c r="K26" i="7" s="1"/>
  <c r="AX22" i="9" s="1"/>
  <c r="S26" i="7"/>
  <c r="B27" i="7"/>
  <c r="C27" i="7"/>
  <c r="D27" i="7"/>
  <c r="F27" i="7"/>
  <c r="H27" i="7"/>
  <c r="K27" i="7" s="1"/>
  <c r="AX23" i="9" s="1"/>
  <c r="AP23" i="9" s="1"/>
  <c r="B28" i="7"/>
  <c r="C28" i="7"/>
  <c r="D28" i="7"/>
  <c r="F28" i="7"/>
  <c r="H28" i="7"/>
  <c r="K28" i="7" s="1"/>
  <c r="Y24" i="10" s="1"/>
  <c r="S28" i="7"/>
  <c r="B29" i="7"/>
  <c r="C29" i="7"/>
  <c r="D29" i="7"/>
  <c r="F29" i="7"/>
  <c r="H29" i="7"/>
  <c r="K29" i="7" s="1"/>
  <c r="S29" i="7"/>
  <c r="B33" i="7"/>
  <c r="C33" i="7"/>
  <c r="D33" i="7"/>
  <c r="E33" i="7"/>
  <c r="F33" i="7"/>
  <c r="G33" i="7" s="1"/>
  <c r="H33" i="7"/>
  <c r="O33" i="7" s="1"/>
  <c r="K33" i="7"/>
  <c r="B34" i="7"/>
  <c r="C34" i="7"/>
  <c r="D34" i="7"/>
  <c r="F34" i="7"/>
  <c r="S34" i="7"/>
  <c r="B35" i="7"/>
  <c r="C35" i="7"/>
  <c r="D35" i="7"/>
  <c r="F35" i="7"/>
  <c r="S35" i="7"/>
  <c r="B36" i="7"/>
  <c r="C36" i="7"/>
  <c r="D36" i="7"/>
  <c r="F36" i="7"/>
  <c r="S36" i="7"/>
  <c r="B37" i="7"/>
  <c r="C37" i="7"/>
  <c r="D37" i="7"/>
  <c r="F37" i="7"/>
  <c r="S37" i="7"/>
  <c r="N38" i="7"/>
  <c r="B40" i="7"/>
  <c r="C40" i="7"/>
  <c r="D40" i="7"/>
  <c r="E40" i="7"/>
  <c r="F40" i="7"/>
  <c r="H40" i="7"/>
  <c r="B41" i="7"/>
  <c r="C41" i="7"/>
  <c r="D41" i="7"/>
  <c r="E41" i="7"/>
  <c r="F41" i="7"/>
  <c r="H41" i="7"/>
  <c r="B42" i="7"/>
  <c r="C42" i="7"/>
  <c r="D42" i="7"/>
  <c r="E42" i="7"/>
  <c r="F42" i="7"/>
  <c r="N42" i="7"/>
  <c r="S42" i="7"/>
  <c r="B43" i="7"/>
  <c r="C43" i="7"/>
  <c r="D43" i="7"/>
  <c r="F43" i="7"/>
  <c r="S43" i="7"/>
  <c r="B44" i="7"/>
  <c r="C44" i="7"/>
  <c r="D44" i="7"/>
  <c r="F44" i="7"/>
  <c r="S44" i="7"/>
  <c r="B45" i="7"/>
  <c r="C45" i="7"/>
  <c r="D45" i="7"/>
  <c r="F45" i="7"/>
  <c r="S45" i="7"/>
  <c r="B46" i="7"/>
  <c r="C46" i="7"/>
  <c r="D46" i="7"/>
  <c r="F46" i="7"/>
  <c r="S46" i="7"/>
  <c r="B47" i="7"/>
  <c r="C47" i="7"/>
  <c r="D47" i="7"/>
  <c r="F47" i="7"/>
  <c r="S47" i="7"/>
  <c r="B48" i="7"/>
  <c r="C48" i="7"/>
  <c r="D48" i="7"/>
  <c r="F48" i="7"/>
  <c r="S48" i="7"/>
  <c r="B49" i="7"/>
  <c r="C49" i="7"/>
  <c r="D49" i="7"/>
  <c r="F49" i="7"/>
  <c r="S49" i="7"/>
  <c r="B50" i="7"/>
  <c r="C50" i="7"/>
  <c r="D50" i="7"/>
  <c r="F50" i="7"/>
  <c r="S50" i="7"/>
  <c r="B51" i="7"/>
  <c r="C51" i="7"/>
  <c r="D51" i="7"/>
  <c r="F51" i="7"/>
  <c r="S51" i="7"/>
  <c r="B52" i="7"/>
  <c r="C52" i="7"/>
  <c r="D52" i="7"/>
  <c r="F52" i="7"/>
  <c r="S52" i="7"/>
  <c r="B53" i="7"/>
  <c r="C53" i="7"/>
  <c r="D53" i="7"/>
  <c r="F53" i="7"/>
  <c r="S53" i="7"/>
  <c r="B54" i="7"/>
  <c r="C54" i="7"/>
  <c r="D54" i="7"/>
  <c r="F54" i="7"/>
  <c r="S54" i="7"/>
  <c r="B55" i="7"/>
  <c r="C55" i="7"/>
  <c r="D55" i="7"/>
  <c r="F55" i="7"/>
  <c r="S55" i="7"/>
  <c r="B56" i="7"/>
  <c r="C56" i="7"/>
  <c r="D56" i="7"/>
  <c r="F56" i="7"/>
  <c r="S56" i="7"/>
  <c r="B57" i="7"/>
  <c r="C57" i="7"/>
  <c r="D57" i="7"/>
  <c r="F57" i="7"/>
  <c r="S57" i="7"/>
  <c r="B58" i="7"/>
  <c r="C58" i="7"/>
  <c r="D58" i="7"/>
  <c r="F58" i="7"/>
  <c r="S58" i="7"/>
  <c r="B59" i="7"/>
  <c r="C59" i="7"/>
  <c r="D59" i="7"/>
  <c r="F59" i="7"/>
  <c r="S59" i="7"/>
  <c r="B60" i="7"/>
  <c r="C60" i="7"/>
  <c r="D60" i="7"/>
  <c r="F60" i="7"/>
  <c r="S60" i="7"/>
  <c r="B61" i="7"/>
  <c r="C61" i="7"/>
  <c r="D61" i="7"/>
  <c r="E61" i="7"/>
  <c r="N61" i="7" s="1"/>
  <c r="F61" i="7"/>
  <c r="S61" i="7"/>
  <c r="A2" i="9"/>
  <c r="N4" i="9"/>
  <c r="O4" i="9"/>
  <c r="P4" i="9"/>
  <c r="Q4" i="9"/>
  <c r="R4" i="9"/>
  <c r="S4" i="9"/>
  <c r="T4" i="9"/>
  <c r="U4" i="9"/>
  <c r="A5" i="9"/>
  <c r="B5" i="9"/>
  <c r="C5" i="9"/>
  <c r="D5" i="9"/>
  <c r="E5" i="9"/>
  <c r="F5" i="9"/>
  <c r="G5" i="9"/>
  <c r="H5" i="9"/>
  <c r="I5" i="9"/>
  <c r="J5" i="9"/>
  <c r="K5" i="9"/>
  <c r="L5" i="9"/>
  <c r="V5" i="9"/>
  <c r="W5" i="9"/>
  <c r="X5" i="9"/>
  <c r="Y5" i="9"/>
  <c r="Z5" i="9"/>
  <c r="AA5" i="9"/>
  <c r="AB5" i="9"/>
  <c r="AC5" i="9"/>
  <c r="AD5" i="9"/>
  <c r="AE5" i="9"/>
  <c r="AF5" i="9"/>
  <c r="AG5" i="9"/>
  <c r="AH5" i="9"/>
  <c r="AI5" i="9"/>
  <c r="AJ5" i="9"/>
  <c r="AK5" i="9"/>
  <c r="AL5" i="9"/>
  <c r="AM5" i="9"/>
  <c r="AN5" i="9"/>
  <c r="AO5" i="9"/>
  <c r="AP5" i="9"/>
  <c r="AQ5" i="9"/>
  <c r="AR5" i="9"/>
  <c r="AS5" i="9"/>
  <c r="AT5" i="9"/>
  <c r="AU5" i="9"/>
  <c r="AV5" i="9"/>
  <c r="AW5" i="9"/>
  <c r="AX5" i="9"/>
  <c r="AY5" i="9"/>
  <c r="AZ5" i="9"/>
  <c r="AE6" i="9"/>
  <c r="AG6" i="9" s="1"/>
  <c r="AI6" i="9" s="1"/>
  <c r="AN6" i="9"/>
  <c r="AS6" i="9"/>
  <c r="AE7" i="9"/>
  <c r="AG7" i="9" s="1"/>
  <c r="AI7" i="9" s="1"/>
  <c r="AN7" i="9"/>
  <c r="AS7" i="9"/>
  <c r="AE8" i="9"/>
  <c r="AG8" i="9" s="1"/>
  <c r="AI8" i="9" s="1"/>
  <c r="AU8" i="9" s="1"/>
  <c r="AV8" i="9" s="1"/>
  <c r="AN8" i="9"/>
  <c r="AP8" i="9"/>
  <c r="AS8" i="9"/>
  <c r="AE9" i="9"/>
  <c r="AG9" i="9" s="1"/>
  <c r="AI9" i="9" s="1"/>
  <c r="AN9" i="9"/>
  <c r="AS9" i="9"/>
  <c r="AE10" i="9"/>
  <c r="AG10" i="9" s="1"/>
  <c r="AI10" i="9" s="1"/>
  <c r="AN10" i="9"/>
  <c r="AP10" i="9"/>
  <c r="AS10" i="9"/>
  <c r="AE11" i="9"/>
  <c r="AG11" i="9" s="1"/>
  <c r="AI11" i="9" s="1"/>
  <c r="AN11" i="9"/>
  <c r="AS11" i="9"/>
  <c r="AX11" i="9"/>
  <c r="AP11" i="9" s="1"/>
  <c r="AU11" i="9" s="1"/>
  <c r="AV11" i="9" s="1"/>
  <c r="AY11" i="9" s="1"/>
  <c r="AE12" i="9"/>
  <c r="AG12" i="9" s="1"/>
  <c r="AI12" i="9" s="1"/>
  <c r="AN12" i="9"/>
  <c r="AS12" i="9"/>
  <c r="AX12" i="9"/>
  <c r="AP12" i="9" s="1"/>
  <c r="AE13" i="9"/>
  <c r="AG13" i="9" s="1"/>
  <c r="AI13" i="9" s="1"/>
  <c r="AN13" i="9"/>
  <c r="AS13" i="9"/>
  <c r="AX13" i="9"/>
  <c r="AP13" i="9" s="1"/>
  <c r="AE14" i="9"/>
  <c r="AG14" i="9" s="1"/>
  <c r="AI14" i="9" s="1"/>
  <c r="AN14" i="9"/>
  <c r="AS14" i="9"/>
  <c r="AE15" i="9"/>
  <c r="AG15" i="9" s="1"/>
  <c r="AI15" i="9" s="1"/>
  <c r="AN15" i="9"/>
  <c r="AS15" i="9"/>
  <c r="AE16" i="9"/>
  <c r="AG16" i="9" s="1"/>
  <c r="AI16" i="9" s="1"/>
  <c r="AU16" i="9" s="1"/>
  <c r="AV16" i="9" s="1"/>
  <c r="AY16" i="9" s="1"/>
  <c r="AN16" i="9"/>
  <c r="AS16" i="9"/>
  <c r="AP16" i="9"/>
  <c r="E17" i="9"/>
  <c r="AE17" i="9"/>
  <c r="AG17" i="9" s="1"/>
  <c r="AI17" i="9" s="1"/>
  <c r="AN17" i="9"/>
  <c r="AS17" i="9"/>
  <c r="AE18" i="9"/>
  <c r="AG18" i="9" s="1"/>
  <c r="AI18" i="9" s="1"/>
  <c r="AN18" i="9"/>
  <c r="AS18" i="9"/>
  <c r="AX18" i="9"/>
  <c r="AP18" i="9" s="1"/>
  <c r="AE19" i="9"/>
  <c r="AG19" i="9" s="1"/>
  <c r="AI19" i="9" s="1"/>
  <c r="AN19" i="9"/>
  <c r="AS19" i="9"/>
  <c r="AE20" i="9"/>
  <c r="AG20" i="9" s="1"/>
  <c r="AI20" i="9" s="1"/>
  <c r="AN20" i="9"/>
  <c r="AS20" i="9"/>
  <c r="AX20" i="9"/>
  <c r="AP20" i="9" s="1"/>
  <c r="AE21" i="9"/>
  <c r="AG21" i="9" s="1"/>
  <c r="AI21" i="9" s="1"/>
  <c r="AN21" i="9"/>
  <c r="AS21" i="9"/>
  <c r="AE22" i="9"/>
  <c r="AG22" i="9"/>
  <c r="AI22" i="9" s="1"/>
  <c r="AN22" i="9"/>
  <c r="AS22" i="9"/>
  <c r="AP22" i="9"/>
  <c r="AU22" i="9" s="1"/>
  <c r="AE23" i="9"/>
  <c r="AG23" i="9" s="1"/>
  <c r="AI23" i="9" s="1"/>
  <c r="AU23" i="9" s="1"/>
  <c r="AN23" i="9"/>
  <c r="AS23" i="9"/>
  <c r="AE24" i="9"/>
  <c r="AG24" i="9" s="1"/>
  <c r="AI24" i="9" s="1"/>
  <c r="AN24" i="9"/>
  <c r="AS24" i="9"/>
  <c r="AE25" i="9"/>
  <c r="AG25" i="9" s="1"/>
  <c r="AI25" i="9" s="1"/>
  <c r="AN25" i="9"/>
  <c r="AS25" i="9"/>
  <c r="A2" i="10"/>
  <c r="M4" i="10"/>
  <c r="N4" i="10"/>
  <c r="P4" i="10"/>
  <c r="Q4" i="10"/>
  <c r="A5" i="10"/>
  <c r="B5" i="10"/>
  <c r="C5" i="10"/>
  <c r="D5" i="10"/>
  <c r="E5" i="10"/>
  <c r="F5" i="10"/>
  <c r="G5" i="10"/>
  <c r="H5" i="10"/>
  <c r="I5" i="10"/>
  <c r="J5" i="10"/>
  <c r="K5" i="10"/>
  <c r="R5" i="10"/>
  <c r="S5" i="10"/>
  <c r="T5" i="10"/>
  <c r="U5" i="10"/>
  <c r="V5" i="10"/>
  <c r="W5" i="10"/>
  <c r="X5" i="10"/>
  <c r="Y5" i="10"/>
  <c r="Z5" i="10"/>
  <c r="AA5" i="10"/>
  <c r="W6" i="10"/>
  <c r="W7" i="10"/>
  <c r="R162" i="6" s="1"/>
  <c r="W8" i="10"/>
  <c r="R70" i="6" s="1"/>
  <c r="Y8" i="10"/>
  <c r="Z8" i="10" s="1"/>
  <c r="W9" i="10"/>
  <c r="W10" i="10"/>
  <c r="W11" i="10"/>
  <c r="W12" i="10"/>
  <c r="W13" i="10"/>
  <c r="W14" i="10"/>
  <c r="W15" i="10"/>
  <c r="Y15" i="10"/>
  <c r="W16" i="10"/>
  <c r="E17" i="10"/>
  <c r="W17" i="10"/>
  <c r="U21" i="7" s="1"/>
  <c r="W18" i="10"/>
  <c r="W19" i="10"/>
  <c r="W20" i="10"/>
  <c r="R234" i="6" s="1"/>
  <c r="W21" i="10"/>
  <c r="W22" i="10"/>
  <c r="W23" i="10"/>
  <c r="U27" i="7" s="1"/>
  <c r="Y23" i="10"/>
  <c r="Z23" i="10"/>
  <c r="W24" i="10"/>
  <c r="R26" i="6" s="1"/>
  <c r="W25" i="10"/>
  <c r="R301" i="6" s="1"/>
  <c r="H4" i="13"/>
  <c r="D6" i="13"/>
  <c r="D10" i="13"/>
  <c r="D14" i="13"/>
  <c r="A18" i="13"/>
  <c r="C19" i="13"/>
  <c r="D19" i="13"/>
  <c r="A23" i="13"/>
  <c r="A25" i="13"/>
  <c r="E26" i="13"/>
  <c r="G26" i="13"/>
  <c r="A2" i="14"/>
  <c r="A3" i="14"/>
  <c r="B5" i="14"/>
  <c r="J1" i="15"/>
  <c r="A2" i="15"/>
  <c r="J2" i="15"/>
  <c r="J3" i="15"/>
  <c r="E4" i="15"/>
  <c r="F4" i="15"/>
  <c r="I4" i="15"/>
  <c r="H5" i="15"/>
  <c r="F6" i="15"/>
  <c r="F7" i="15"/>
  <c r="H7" i="15" s="1"/>
  <c r="F8" i="15"/>
  <c r="F9" i="15"/>
  <c r="H9" i="15" s="1"/>
  <c r="F10" i="15"/>
  <c r="F11" i="15"/>
  <c r="I11" i="15" s="1"/>
  <c r="H11" i="15"/>
  <c r="F12" i="15"/>
  <c r="H12" i="15" s="1"/>
  <c r="F13" i="15"/>
  <c r="H13" i="15"/>
  <c r="I13" i="15" s="1"/>
  <c r="F14" i="15"/>
  <c r="F15" i="15"/>
  <c r="H15" i="15" s="1"/>
  <c r="F16" i="15"/>
  <c r="H16" i="15" s="1"/>
  <c r="F17" i="15"/>
  <c r="F18" i="15"/>
  <c r="F19" i="15"/>
  <c r="H19" i="15" s="1"/>
  <c r="A1" i="17"/>
  <c r="F4" i="17"/>
  <c r="F5" i="17"/>
  <c r="F6" i="17"/>
  <c r="F7" i="17"/>
  <c r="C12" i="17"/>
  <c r="D12" i="17"/>
  <c r="E12" i="17"/>
  <c r="H12" i="17"/>
  <c r="I12" i="17"/>
  <c r="E13" i="17"/>
  <c r="E14" i="17"/>
  <c r="D16" i="17"/>
  <c r="A3" i="18"/>
  <c r="F5" i="18"/>
  <c r="F6" i="18"/>
  <c r="F7" i="18"/>
  <c r="B8" i="18"/>
  <c r="F9" i="18"/>
  <c r="G9" i="18"/>
  <c r="H9" i="18" s="1"/>
  <c r="F10" i="18"/>
  <c r="I10" i="18"/>
  <c r="F11" i="18"/>
  <c r="F12" i="18"/>
  <c r="I12" i="18"/>
  <c r="F13" i="18"/>
  <c r="F14" i="18"/>
  <c r="B15" i="18"/>
  <c r="H15" i="18"/>
  <c r="I15" i="18" s="1"/>
  <c r="L15" i="18"/>
  <c r="L10" i="18" s="1"/>
  <c r="M15" i="18"/>
  <c r="M10" i="18" s="1"/>
  <c r="N15" i="18"/>
  <c r="N10" i="18" s="1"/>
  <c r="H17" i="18"/>
  <c r="I17" i="18"/>
  <c r="H19" i="18"/>
  <c r="I19" i="18" s="1"/>
  <c r="H20" i="18"/>
  <c r="I20" i="18" s="1"/>
  <c r="H21" i="18"/>
  <c r="I21" i="18" s="1"/>
  <c r="H22" i="18"/>
  <c r="H23" i="18"/>
  <c r="H24" i="18"/>
  <c r="I24" i="18" s="1"/>
  <c r="H25" i="18"/>
  <c r="I25" i="18" s="1"/>
  <c r="H26" i="18"/>
  <c r="I26" i="18" s="1"/>
  <c r="H27" i="18"/>
  <c r="I27" i="18" s="1"/>
  <c r="H28" i="18"/>
  <c r="I28" i="18" s="1"/>
  <c r="H30" i="18"/>
  <c r="I30" i="18" s="1"/>
  <c r="H31" i="18"/>
  <c r="I31" i="18" s="1"/>
  <c r="H32" i="18"/>
  <c r="I32" i="18" s="1"/>
  <c r="H33" i="18"/>
  <c r="I33" i="18" s="1"/>
  <c r="H34" i="18"/>
  <c r="I34" i="18" s="1"/>
  <c r="H35" i="18"/>
  <c r="I35" i="18"/>
  <c r="H36" i="18"/>
  <c r="I36" i="18" s="1"/>
  <c r="H37" i="18"/>
  <c r="I37" i="18" s="1"/>
  <c r="H38" i="18"/>
  <c r="I38" i="18" s="1"/>
  <c r="H39" i="18"/>
  <c r="I39" i="18"/>
  <c r="H40" i="18"/>
  <c r="I40" i="18" s="1"/>
  <c r="H41" i="18"/>
  <c r="I41" i="18" s="1"/>
  <c r="H42" i="18"/>
  <c r="I42" i="18" s="1"/>
  <c r="H46" i="18"/>
  <c r="I46" i="18" s="1"/>
  <c r="H47" i="18"/>
  <c r="I47" i="18" s="1"/>
  <c r="H48" i="18"/>
  <c r="I48" i="18" s="1"/>
  <c r="H49" i="18"/>
  <c r="I49" i="18" s="1"/>
  <c r="H51" i="18"/>
  <c r="I51" i="18"/>
  <c r="H52" i="18"/>
  <c r="I52" i="18" s="1"/>
  <c r="H54" i="18"/>
  <c r="I54" i="18" s="1"/>
  <c r="H56" i="18"/>
  <c r="I56" i="18" s="1"/>
  <c r="H57" i="18"/>
  <c r="I57" i="18" s="1"/>
  <c r="H58" i="18"/>
  <c r="I58" i="18" s="1"/>
  <c r="H59" i="18"/>
  <c r="I59" i="18" s="1"/>
  <c r="H60" i="18"/>
  <c r="I60" i="18" s="1"/>
  <c r="H61" i="18"/>
  <c r="I61" i="18" s="1"/>
  <c r="H64" i="18"/>
  <c r="I64" i="18" s="1"/>
  <c r="H68" i="18"/>
  <c r="I68" i="18" s="1"/>
  <c r="H69" i="18"/>
  <c r="I69" i="18" s="1"/>
  <c r="H70" i="18"/>
  <c r="I70" i="18" s="1"/>
  <c r="I71" i="18"/>
  <c r="I72" i="18"/>
  <c r="H75" i="18"/>
  <c r="I75" i="18" s="1"/>
  <c r="H76" i="18"/>
  <c r="I76" i="18"/>
  <c r="F81" i="18"/>
  <c r="F83" i="18"/>
  <c r="H83" i="18"/>
  <c r="I83" i="18" s="1"/>
  <c r="I82" i="18" s="1"/>
  <c r="F84" i="18"/>
  <c r="H84" i="18"/>
  <c r="I84" i="18" s="1"/>
  <c r="F85" i="18"/>
  <c r="H85" i="18"/>
  <c r="I85" i="18"/>
  <c r="F86" i="18"/>
  <c r="H86" i="18"/>
  <c r="I86" i="18" s="1"/>
  <c r="F87" i="18"/>
  <c r="F88" i="18"/>
  <c r="L88" i="18"/>
  <c r="A2" i="21"/>
  <c r="A3" i="21"/>
  <c r="F4" i="21"/>
  <c r="K4" i="21"/>
  <c r="A2" i="22"/>
  <c r="A3" i="22"/>
  <c r="F4" i="22"/>
  <c r="H4" i="22"/>
  <c r="A5" i="22"/>
  <c r="B5" i="22"/>
  <c r="C5" i="22"/>
  <c r="D5" i="22"/>
  <c r="B7" i="22"/>
  <c r="D7" i="22"/>
  <c r="D9" i="22"/>
  <c r="E16" i="22"/>
  <c r="A18" i="22"/>
  <c r="B18" i="22"/>
  <c r="C18" i="22"/>
  <c r="D18" i="22"/>
  <c r="B20" i="22"/>
  <c r="C20" i="22"/>
  <c r="D20" i="22"/>
  <c r="E20" i="22"/>
  <c r="G20" i="22"/>
  <c r="E21" i="22"/>
  <c r="B24" i="22"/>
  <c r="C24" i="22"/>
  <c r="D24" i="22"/>
  <c r="E24" i="22"/>
  <c r="G24" i="22"/>
  <c r="B26" i="22"/>
  <c r="C26" i="22"/>
  <c r="D26" i="22"/>
  <c r="E26" i="22"/>
  <c r="G26" i="22"/>
  <c r="E27" i="22"/>
  <c r="D30" i="22"/>
  <c r="E37" i="22"/>
  <c r="A39" i="22"/>
  <c r="B39" i="22"/>
  <c r="C39" i="22"/>
  <c r="D39" i="22"/>
  <c r="B41" i="22"/>
  <c r="D41" i="22"/>
  <c r="D43" i="22"/>
  <c r="E50" i="22"/>
  <c r="A52" i="22"/>
  <c r="B52" i="22"/>
  <c r="C52" i="22"/>
  <c r="D52" i="22"/>
  <c r="B54" i="22"/>
  <c r="D54" i="22"/>
  <c r="F54" i="22"/>
  <c r="H54" i="22" s="1"/>
  <c r="H53" i="22" s="1"/>
  <c r="B56" i="22"/>
  <c r="D56" i="22"/>
  <c r="D58" i="22"/>
  <c r="E65" i="22"/>
  <c r="A67" i="22"/>
  <c r="B67" i="22"/>
  <c r="C67" i="22"/>
  <c r="D67" i="22"/>
  <c r="B69" i="22"/>
  <c r="D69" i="22"/>
  <c r="D71" i="22"/>
  <c r="E78" i="22"/>
  <c r="A80" i="22"/>
  <c r="B80" i="22"/>
  <c r="C80" i="22"/>
  <c r="D80" i="22"/>
  <c r="B82" i="22"/>
  <c r="C82" i="22"/>
  <c r="D82" i="22"/>
  <c r="E82" i="22"/>
  <c r="G82" i="22"/>
  <c r="E83" i="22"/>
  <c r="B86" i="22"/>
  <c r="C86" i="22"/>
  <c r="D86" i="22"/>
  <c r="E86" i="22"/>
  <c r="G86" i="22"/>
  <c r="B88" i="22"/>
  <c r="C88" i="22"/>
  <c r="D88" i="22"/>
  <c r="E88" i="22"/>
  <c r="G88" i="22"/>
  <c r="E89" i="22"/>
  <c r="D92" i="22"/>
  <c r="E99" i="22"/>
  <c r="A101" i="22"/>
  <c r="B101" i="22"/>
  <c r="C101" i="22"/>
  <c r="D101" i="22"/>
  <c r="B103" i="22"/>
  <c r="C103" i="22"/>
  <c r="D103" i="22"/>
  <c r="E103" i="22"/>
  <c r="G103" i="22"/>
  <c r="E104" i="22"/>
  <c r="B107" i="22"/>
  <c r="C107" i="22"/>
  <c r="D107" i="22"/>
  <c r="E107" i="22"/>
  <c r="G107" i="22"/>
  <c r="D109" i="22"/>
  <c r="E116" i="22"/>
  <c r="A118" i="22"/>
  <c r="B118" i="22"/>
  <c r="C118" i="22"/>
  <c r="D118" i="22"/>
  <c r="B120" i="22"/>
  <c r="C120" i="22"/>
  <c r="D120" i="22"/>
  <c r="E120" i="22"/>
  <c r="G120" i="22"/>
  <c r="B122" i="22"/>
  <c r="C122" i="22"/>
  <c r="D122" i="22"/>
  <c r="E122" i="22"/>
  <c r="G122" i="22"/>
  <c r="D124" i="22"/>
  <c r="E131" i="22"/>
  <c r="A133" i="22"/>
  <c r="B133" i="22"/>
  <c r="C133" i="22"/>
  <c r="D133" i="22"/>
  <c r="B135" i="22"/>
  <c r="C135" i="22"/>
  <c r="D135" i="22"/>
  <c r="E135" i="22"/>
  <c r="G135" i="22"/>
  <c r="B136" i="22"/>
  <c r="C136" i="22"/>
  <c r="D136" i="22"/>
  <c r="E136" i="22"/>
  <c r="G136" i="22"/>
  <c r="B137" i="22"/>
  <c r="C137" i="22"/>
  <c r="D137" i="22"/>
  <c r="E137" i="22"/>
  <c r="G137" i="22"/>
  <c r="E138" i="22"/>
  <c r="B141" i="22"/>
  <c r="C141" i="22"/>
  <c r="D141" i="22"/>
  <c r="E141" i="22"/>
  <c r="G141" i="22"/>
  <c r="B143" i="22"/>
  <c r="C143" i="22"/>
  <c r="D143" i="22"/>
  <c r="E143" i="22"/>
  <c r="G143" i="22"/>
  <c r="B144" i="22"/>
  <c r="C144" i="22"/>
  <c r="D144" i="22"/>
  <c r="E144" i="22"/>
  <c r="G144" i="22"/>
  <c r="B145" i="22"/>
  <c r="C145" i="22"/>
  <c r="D145" i="22"/>
  <c r="E145" i="22"/>
  <c r="G145" i="22"/>
  <c r="B146" i="22"/>
  <c r="C146" i="22"/>
  <c r="D146" i="22"/>
  <c r="E146" i="22"/>
  <c r="G146" i="22"/>
  <c r="B147" i="22"/>
  <c r="C147" i="22"/>
  <c r="D147" i="22"/>
  <c r="E147" i="22"/>
  <c r="G147" i="22"/>
  <c r="B148" i="22"/>
  <c r="C148" i="22"/>
  <c r="D148" i="22"/>
  <c r="E148" i="22"/>
  <c r="G148" i="22"/>
  <c r="D151" i="22"/>
  <c r="E158" i="22"/>
  <c r="A160" i="22"/>
  <c r="B160" i="22"/>
  <c r="C160" i="22"/>
  <c r="D160" i="22"/>
  <c r="B162" i="22"/>
  <c r="C162" i="22"/>
  <c r="D162" i="22"/>
  <c r="E162" i="22"/>
  <c r="G162" i="22"/>
  <c r="B164" i="22"/>
  <c r="C164" i="22"/>
  <c r="D164" i="22"/>
  <c r="E164" i="22"/>
  <c r="G164" i="22"/>
  <c r="D166" i="22"/>
  <c r="E173" i="22"/>
  <c r="A175" i="22"/>
  <c r="B175" i="22"/>
  <c r="C175" i="22"/>
  <c r="D175" i="22"/>
  <c r="B177" i="22"/>
  <c r="C177" i="22"/>
  <c r="D177" i="22"/>
  <c r="E177" i="22"/>
  <c r="G177" i="22"/>
  <c r="B179" i="22"/>
  <c r="C179" i="22"/>
  <c r="D179" i="22"/>
  <c r="E179" i="22"/>
  <c r="G179" i="22"/>
  <c r="B180" i="22"/>
  <c r="C180" i="22"/>
  <c r="D180" i="22"/>
  <c r="E180" i="22"/>
  <c r="G180" i="22"/>
  <c r="D183" i="22"/>
  <c r="E190" i="22"/>
  <c r="A192" i="22"/>
  <c r="B192" i="22"/>
  <c r="C192" i="22"/>
  <c r="D192" i="22"/>
  <c r="B194" i="22"/>
  <c r="C194" i="22"/>
  <c r="D194" i="22"/>
  <c r="E194" i="22"/>
  <c r="G194" i="22"/>
  <c r="D196" i="22"/>
  <c r="E203" i="22"/>
  <c r="A205" i="22"/>
  <c r="B205" i="22"/>
  <c r="C205" i="22"/>
  <c r="D205" i="22"/>
  <c r="B207" i="22"/>
  <c r="C207" i="22"/>
  <c r="D207" i="22"/>
  <c r="E207" i="22"/>
  <c r="G207" i="22"/>
  <c r="D209" i="22"/>
  <c r="E216" i="22"/>
  <c r="A218" i="22"/>
  <c r="B218" i="22"/>
  <c r="C218" i="22"/>
  <c r="D218" i="22"/>
  <c r="B220" i="22"/>
  <c r="C220" i="22"/>
  <c r="D220" i="22"/>
  <c r="E220" i="22"/>
  <c r="G220" i="22"/>
  <c r="B221" i="22"/>
  <c r="C221" i="22"/>
  <c r="D221" i="22"/>
  <c r="E221" i="22"/>
  <c r="G221" i="22"/>
  <c r="B222" i="22"/>
  <c r="C222" i="22"/>
  <c r="D222" i="22"/>
  <c r="E222" i="22"/>
  <c r="G222" i="22"/>
  <c r="E223" i="22"/>
  <c r="B226" i="22"/>
  <c r="C226" i="22"/>
  <c r="D226" i="22"/>
  <c r="E226" i="22"/>
  <c r="G226" i="22"/>
  <c r="D228" i="22"/>
  <c r="E235" i="22"/>
  <c r="A237" i="22"/>
  <c r="B237" i="22"/>
  <c r="C237" i="22"/>
  <c r="D237" i="22"/>
  <c r="B239" i="22"/>
  <c r="C239" i="22"/>
  <c r="D239" i="22"/>
  <c r="E239" i="22"/>
  <c r="G239" i="22"/>
  <c r="E240" i="22"/>
  <c r="B243" i="22"/>
  <c r="C243" i="22"/>
  <c r="D243" i="22"/>
  <c r="E243" i="22"/>
  <c r="G243" i="22"/>
  <c r="D245" i="22"/>
  <c r="E252" i="22"/>
  <c r="A254" i="22"/>
  <c r="B254" i="22"/>
  <c r="C254" i="22"/>
  <c r="D254" i="22"/>
  <c r="B256" i="22"/>
  <c r="C256" i="22"/>
  <c r="D256" i="22"/>
  <c r="E256" i="22"/>
  <c r="G256" i="22"/>
  <c r="B257" i="22"/>
  <c r="C257" i="22"/>
  <c r="D257" i="22"/>
  <c r="E257" i="22"/>
  <c r="G257" i="22"/>
  <c r="B258" i="22"/>
  <c r="C258" i="22"/>
  <c r="D258" i="22"/>
  <c r="E258" i="22"/>
  <c r="G258" i="22"/>
  <c r="E259" i="22"/>
  <c r="B262" i="22"/>
  <c r="C262" i="22"/>
  <c r="D262" i="22"/>
  <c r="E262" i="22"/>
  <c r="G262" i="22"/>
  <c r="B264" i="22"/>
  <c r="C264" i="22"/>
  <c r="D264" i="22"/>
  <c r="E264" i="22"/>
  <c r="G264" i="22"/>
  <c r="E265" i="22"/>
  <c r="D268" i="22"/>
  <c r="E275" i="22"/>
  <c r="A277" i="22"/>
  <c r="B277" i="22"/>
  <c r="C277" i="22"/>
  <c r="D277" i="22"/>
  <c r="B279" i="22"/>
  <c r="C279" i="22"/>
  <c r="D279" i="22"/>
  <c r="E279" i="22"/>
  <c r="G279" i="22"/>
  <c r="B280" i="22"/>
  <c r="C280" i="22"/>
  <c r="D280" i="22"/>
  <c r="E280" i="22"/>
  <c r="G280" i="22"/>
  <c r="B281" i="22"/>
  <c r="C281" i="22"/>
  <c r="D281" i="22"/>
  <c r="E281" i="22"/>
  <c r="G281" i="22"/>
  <c r="B282" i="22"/>
  <c r="C282" i="22"/>
  <c r="D282" i="22"/>
  <c r="E282" i="22"/>
  <c r="G282" i="22"/>
  <c r="E283" i="22"/>
  <c r="B286" i="22"/>
  <c r="C286" i="22"/>
  <c r="D286" i="22"/>
  <c r="E286" i="22"/>
  <c r="G286" i="22"/>
  <c r="B288" i="22"/>
  <c r="C288" i="22"/>
  <c r="D288" i="22"/>
  <c r="E288" i="22"/>
  <c r="G288" i="22"/>
  <c r="B289" i="22"/>
  <c r="C289" i="22"/>
  <c r="D289" i="22"/>
  <c r="E289" i="22"/>
  <c r="G289" i="22"/>
  <c r="D292" i="22"/>
  <c r="E299" i="22"/>
  <c r="A301" i="22"/>
  <c r="B301" i="22"/>
  <c r="C301" i="22"/>
  <c r="D301" i="22"/>
  <c r="B303" i="22"/>
  <c r="C303" i="22"/>
  <c r="D303" i="22"/>
  <c r="E303" i="22"/>
  <c r="G303" i="22"/>
  <c r="B304" i="22"/>
  <c r="C304" i="22"/>
  <c r="D304" i="22"/>
  <c r="E304" i="22"/>
  <c r="G304" i="22"/>
  <c r="B305" i="22"/>
  <c r="C305" i="22"/>
  <c r="D305" i="22"/>
  <c r="E305" i="22"/>
  <c r="G305" i="22"/>
  <c r="B308" i="22"/>
  <c r="C308" i="22"/>
  <c r="D308" i="22"/>
  <c r="E308" i="22"/>
  <c r="G308" i="22"/>
  <c r="B310" i="22"/>
  <c r="C310" i="22"/>
  <c r="D310" i="22"/>
  <c r="E310" i="22"/>
  <c r="G310" i="22"/>
  <c r="B311" i="22"/>
  <c r="C311" i="22"/>
  <c r="D311" i="22"/>
  <c r="E311" i="22"/>
  <c r="G311" i="22"/>
  <c r="D314" i="22"/>
  <c r="E321" i="22"/>
  <c r="A323" i="22"/>
  <c r="B323" i="22"/>
  <c r="C323" i="22"/>
  <c r="D323" i="22"/>
  <c r="B325" i="22"/>
  <c r="C325" i="22"/>
  <c r="D325" i="22"/>
  <c r="E325" i="22"/>
  <c r="G325" i="22"/>
  <c r="B326" i="22"/>
  <c r="C326" i="22"/>
  <c r="D326" i="22"/>
  <c r="E326" i="22"/>
  <c r="G326" i="22"/>
  <c r="B327" i="22"/>
  <c r="C327" i="22"/>
  <c r="D327" i="22"/>
  <c r="E327" i="22"/>
  <c r="G327" i="22"/>
  <c r="E328" i="22"/>
  <c r="B331" i="22"/>
  <c r="C331" i="22"/>
  <c r="D331" i="22"/>
  <c r="E331" i="22"/>
  <c r="G331" i="22"/>
  <c r="B333" i="22"/>
  <c r="C333" i="22"/>
  <c r="D333" i="22"/>
  <c r="E333" i="22"/>
  <c r="G333" i="22"/>
  <c r="E334" i="22"/>
  <c r="D337" i="22"/>
  <c r="E344" i="22"/>
  <c r="A346" i="22"/>
  <c r="B346" i="22"/>
  <c r="C346" i="22"/>
  <c r="D346" i="22"/>
  <c r="B348" i="22"/>
  <c r="C348" i="22"/>
  <c r="D348" i="22"/>
  <c r="E348" i="22"/>
  <c r="G348" i="22"/>
  <c r="B349" i="22"/>
  <c r="C349" i="22"/>
  <c r="D349" i="22"/>
  <c r="E349" i="22"/>
  <c r="G349" i="22"/>
  <c r="B350" i="22"/>
  <c r="C350" i="22"/>
  <c r="D350" i="22"/>
  <c r="E350" i="22"/>
  <c r="G350" i="22"/>
  <c r="B351" i="22"/>
  <c r="C351" i="22"/>
  <c r="D351" i="22"/>
  <c r="E351" i="22"/>
  <c r="G351" i="22"/>
  <c r="E352" i="22"/>
  <c r="B355" i="22"/>
  <c r="C355" i="22"/>
  <c r="D355" i="22"/>
  <c r="E355" i="22"/>
  <c r="G355" i="22"/>
  <c r="B357" i="22"/>
  <c r="C357" i="22"/>
  <c r="D357" i="22"/>
  <c r="E357" i="22"/>
  <c r="G357" i="22"/>
  <c r="B358" i="22"/>
  <c r="C358" i="22"/>
  <c r="D358" i="22"/>
  <c r="E358" i="22"/>
  <c r="G358" i="22"/>
  <c r="D361" i="22"/>
  <c r="E368" i="22"/>
  <c r="A370" i="22"/>
  <c r="B370" i="22"/>
  <c r="C370" i="22"/>
  <c r="D370" i="22"/>
  <c r="B372" i="22"/>
  <c r="C372" i="22"/>
  <c r="D372" i="22"/>
  <c r="E372" i="22"/>
  <c r="G372" i="22"/>
  <c r="B373" i="22"/>
  <c r="C373" i="22"/>
  <c r="D373" i="22"/>
  <c r="E373" i="22"/>
  <c r="G373" i="22"/>
  <c r="B376" i="22"/>
  <c r="C376" i="22"/>
  <c r="D376" i="22"/>
  <c r="E376" i="22"/>
  <c r="G376" i="22"/>
  <c r="B378" i="22"/>
  <c r="C378" i="22"/>
  <c r="D378" i="22"/>
  <c r="E378" i="22"/>
  <c r="G378" i="22"/>
  <c r="D380" i="22"/>
  <c r="E387" i="22"/>
  <c r="A389" i="22"/>
  <c r="B389" i="22"/>
  <c r="C389" i="22"/>
  <c r="D389" i="22"/>
  <c r="B391" i="22"/>
  <c r="C391" i="22"/>
  <c r="D391" i="22"/>
  <c r="E391" i="22"/>
  <c r="G391" i="22"/>
  <c r="B392" i="22"/>
  <c r="C392" i="22"/>
  <c r="D392" i="22"/>
  <c r="E392" i="22"/>
  <c r="G392" i="22"/>
  <c r="B393" i="22"/>
  <c r="C393" i="22"/>
  <c r="D393" i="22"/>
  <c r="E393" i="22"/>
  <c r="G393" i="22"/>
  <c r="B394" i="22"/>
  <c r="C394" i="22"/>
  <c r="D394" i="22"/>
  <c r="E394" i="22"/>
  <c r="G394" i="22"/>
  <c r="E395" i="22"/>
  <c r="B398" i="22"/>
  <c r="C398" i="22"/>
  <c r="D398" i="22"/>
  <c r="E398" i="22"/>
  <c r="G398" i="22"/>
  <c r="B400" i="22"/>
  <c r="C400" i="22"/>
  <c r="D400" i="22"/>
  <c r="E400" i="22"/>
  <c r="G400" i="22"/>
  <c r="B401" i="22"/>
  <c r="C401" i="22"/>
  <c r="D401" i="22"/>
  <c r="E401" i="22"/>
  <c r="G401" i="22"/>
  <c r="B402" i="22"/>
  <c r="C402" i="22"/>
  <c r="D402" i="22"/>
  <c r="E402" i="22"/>
  <c r="G402" i="22"/>
  <c r="E403" i="22"/>
  <c r="D406" i="22"/>
  <c r="E413" i="22"/>
  <c r="A415" i="22"/>
  <c r="B415" i="22"/>
  <c r="C415" i="22"/>
  <c r="D415" i="22"/>
  <c r="B417" i="22"/>
  <c r="C417" i="22"/>
  <c r="D417" i="22"/>
  <c r="E417" i="22"/>
  <c r="G417" i="22"/>
  <c r="B418" i="22"/>
  <c r="C418" i="22"/>
  <c r="D418" i="22"/>
  <c r="E418" i="22"/>
  <c r="G418" i="22"/>
  <c r="B419" i="22"/>
  <c r="C419" i="22"/>
  <c r="D419" i="22"/>
  <c r="E419" i="22"/>
  <c r="G419" i="22"/>
  <c r="B420" i="22"/>
  <c r="C420" i="22"/>
  <c r="D420" i="22"/>
  <c r="E420" i="22"/>
  <c r="G420" i="22"/>
  <c r="E421" i="22"/>
  <c r="B424" i="22"/>
  <c r="C424" i="22"/>
  <c r="D424" i="22"/>
  <c r="E424" i="22"/>
  <c r="G424" i="22"/>
  <c r="B426" i="22"/>
  <c r="C426" i="22"/>
  <c r="D426" i="22"/>
  <c r="E426" i="22"/>
  <c r="G426" i="22"/>
  <c r="B427" i="22"/>
  <c r="C427" i="22"/>
  <c r="D427" i="22"/>
  <c r="E427" i="22"/>
  <c r="G427" i="22"/>
  <c r="D430" i="22"/>
  <c r="E437" i="22"/>
  <c r="A439" i="22"/>
  <c r="B439" i="22"/>
  <c r="C439" i="22"/>
  <c r="D439" i="22"/>
  <c r="B441" i="22"/>
  <c r="D441" i="22"/>
  <c r="D443" i="22"/>
  <c r="E450" i="22"/>
  <c r="A452" i="22"/>
  <c r="B452" i="22"/>
  <c r="C452" i="22"/>
  <c r="D452" i="22"/>
  <c r="B454" i="22"/>
  <c r="C454" i="22"/>
  <c r="D454" i="22"/>
  <c r="E454" i="22"/>
  <c r="G454" i="22"/>
  <c r="B455" i="22"/>
  <c r="C455" i="22"/>
  <c r="D455" i="22"/>
  <c r="E455" i="22"/>
  <c r="G455" i="22"/>
  <c r="B456" i="22"/>
  <c r="C456" i="22"/>
  <c r="D456" i="22"/>
  <c r="E456" i="22"/>
  <c r="G456" i="22"/>
  <c r="B457" i="22"/>
  <c r="C457" i="22"/>
  <c r="D457" i="22"/>
  <c r="E457" i="22"/>
  <c r="G457" i="22"/>
  <c r="E458" i="22"/>
  <c r="B461" i="22"/>
  <c r="C461" i="22"/>
  <c r="D461" i="22"/>
  <c r="E461" i="22"/>
  <c r="G461" i="22"/>
  <c r="B463" i="22"/>
  <c r="C463" i="22"/>
  <c r="D463" i="22"/>
  <c r="E463" i="22"/>
  <c r="G463" i="22"/>
  <c r="B464" i="22"/>
  <c r="C464" i="22"/>
  <c r="D464" i="22"/>
  <c r="E464" i="22"/>
  <c r="G464" i="22"/>
  <c r="B465" i="22"/>
  <c r="C465" i="22"/>
  <c r="D465" i="22"/>
  <c r="E465" i="22"/>
  <c r="G465" i="22"/>
  <c r="E466" i="22"/>
  <c r="D469" i="22"/>
  <c r="E476" i="22"/>
  <c r="A478" i="22"/>
  <c r="B478" i="22"/>
  <c r="C478" i="22"/>
  <c r="D478" i="22"/>
  <c r="B480" i="22"/>
  <c r="C480" i="22"/>
  <c r="D480" i="22"/>
  <c r="E480" i="22"/>
  <c r="G480" i="22"/>
  <c r="B481" i="22"/>
  <c r="C481" i="22"/>
  <c r="D481" i="22"/>
  <c r="E481" i="22"/>
  <c r="G481" i="22"/>
  <c r="B484" i="22"/>
  <c r="C484" i="22"/>
  <c r="D484" i="22"/>
  <c r="E484" i="22"/>
  <c r="G484" i="22"/>
  <c r="B486" i="22"/>
  <c r="C486" i="22"/>
  <c r="D486" i="22"/>
  <c r="E486" i="22"/>
  <c r="G486" i="22"/>
  <c r="B487" i="22"/>
  <c r="C487" i="22"/>
  <c r="D487" i="22"/>
  <c r="E487" i="22"/>
  <c r="G487" i="22"/>
  <c r="B488" i="22"/>
  <c r="C488" i="22"/>
  <c r="D488" i="22"/>
  <c r="E488" i="22"/>
  <c r="G488" i="22"/>
  <c r="E489" i="22"/>
  <c r="D492" i="22"/>
  <c r="E499" i="22"/>
  <c r="A501" i="22"/>
  <c r="B501" i="22"/>
  <c r="C501" i="22"/>
  <c r="D501" i="22"/>
  <c r="B503" i="22"/>
  <c r="C503" i="22"/>
  <c r="D503" i="22"/>
  <c r="E503" i="22"/>
  <c r="G503" i="22"/>
  <c r="B504" i="22"/>
  <c r="C504" i="22"/>
  <c r="D504" i="22"/>
  <c r="E504" i="22"/>
  <c r="G504" i="22"/>
  <c r="B505" i="22"/>
  <c r="C505" i="22"/>
  <c r="D505" i="22"/>
  <c r="E505" i="22"/>
  <c r="G505" i="22"/>
  <c r="B506" i="22"/>
  <c r="C506" i="22"/>
  <c r="D506" i="22"/>
  <c r="E506" i="22"/>
  <c r="G506" i="22"/>
  <c r="E507" i="22"/>
  <c r="B510" i="22"/>
  <c r="C510" i="22"/>
  <c r="D510" i="22"/>
  <c r="E510" i="22"/>
  <c r="G510" i="22"/>
  <c r="B512" i="22"/>
  <c r="C512" i="22"/>
  <c r="D512" i="22"/>
  <c r="E512" i="22"/>
  <c r="G512" i="22"/>
  <c r="B513" i="22"/>
  <c r="C513" i="22"/>
  <c r="D513" i="22"/>
  <c r="E513" i="22"/>
  <c r="G513" i="22"/>
  <c r="E514" i="22"/>
  <c r="D517" i="22"/>
  <c r="E524" i="22"/>
  <c r="A526" i="22"/>
  <c r="B526" i="22"/>
  <c r="C526" i="22"/>
  <c r="D526" i="22"/>
  <c r="B528" i="22"/>
  <c r="C528" i="22"/>
  <c r="D528" i="22"/>
  <c r="E528" i="22"/>
  <c r="G528" i="22"/>
  <c r="B530" i="22"/>
  <c r="C530" i="22"/>
  <c r="D530" i="22"/>
  <c r="E530" i="22"/>
  <c r="G530" i="22"/>
  <c r="B532" i="22"/>
  <c r="C532" i="22"/>
  <c r="D532" i="22"/>
  <c r="E532" i="22"/>
  <c r="G532" i="22"/>
  <c r="E533" i="22"/>
  <c r="D536" i="22"/>
  <c r="E543" i="22"/>
  <c r="A545" i="22"/>
  <c r="B545" i="22"/>
  <c r="C545" i="22"/>
  <c r="D545" i="22"/>
  <c r="B547" i="22"/>
  <c r="C547" i="22"/>
  <c r="D547" i="22"/>
  <c r="E547" i="22"/>
  <c r="G547" i="22"/>
  <c r="B548" i="22"/>
  <c r="C548" i="22"/>
  <c r="D548" i="22"/>
  <c r="E548" i="22"/>
  <c r="G548" i="22"/>
  <c r="B549" i="22"/>
  <c r="C549" i="22"/>
  <c r="D549" i="22"/>
  <c r="E549" i="22"/>
  <c r="G549" i="22"/>
  <c r="E550" i="22"/>
  <c r="B553" i="22"/>
  <c r="C553" i="22"/>
  <c r="D553" i="22"/>
  <c r="E553" i="22"/>
  <c r="G553" i="22"/>
  <c r="D555" i="22"/>
  <c r="E562" i="22"/>
  <c r="A564" i="22"/>
  <c r="B564" i="22"/>
  <c r="C564" i="22"/>
  <c r="D564" i="22"/>
  <c r="B566" i="22"/>
  <c r="C566" i="22"/>
  <c r="D566" i="22"/>
  <c r="E566" i="22"/>
  <c r="G566" i="22"/>
  <c r="E567" i="22"/>
  <c r="B570" i="22"/>
  <c r="C570" i="22"/>
  <c r="D570" i="22"/>
  <c r="E570" i="22"/>
  <c r="G570" i="22"/>
  <c r="D572" i="22"/>
  <c r="E579" i="22"/>
  <c r="A581" i="22"/>
  <c r="B581" i="22"/>
  <c r="C581" i="22"/>
  <c r="D581" i="22"/>
  <c r="B583" i="22"/>
  <c r="C583" i="22"/>
  <c r="D583" i="22"/>
  <c r="E583" i="22"/>
  <c r="G583" i="22"/>
  <c r="B584" i="22"/>
  <c r="C584" i="22"/>
  <c r="D584" i="22"/>
  <c r="E584" i="22"/>
  <c r="G584" i="22"/>
  <c r="B585" i="22"/>
  <c r="C585" i="22"/>
  <c r="D585" i="22"/>
  <c r="E585" i="22"/>
  <c r="G585" i="22"/>
  <c r="E586" i="22"/>
  <c r="B589" i="22"/>
  <c r="C589" i="22"/>
  <c r="D589" i="22"/>
  <c r="E589" i="22"/>
  <c r="G589" i="22"/>
  <c r="B591" i="22"/>
  <c r="C591" i="22"/>
  <c r="D591" i="22"/>
  <c r="E591" i="22"/>
  <c r="G591" i="22"/>
  <c r="E592" i="22"/>
  <c r="D595" i="22"/>
  <c r="E602" i="22"/>
  <c r="A604" i="22"/>
  <c r="B604" i="22"/>
  <c r="C604" i="22"/>
  <c r="D604" i="22"/>
  <c r="B606" i="22"/>
  <c r="C606" i="22"/>
  <c r="D606" i="22"/>
  <c r="E606" i="22"/>
  <c r="G606" i="22"/>
  <c r="B607" i="22"/>
  <c r="C607" i="22"/>
  <c r="D607" i="22"/>
  <c r="E607" i="22"/>
  <c r="G607" i="22"/>
  <c r="B608" i="22"/>
  <c r="C608" i="22"/>
  <c r="D608" i="22"/>
  <c r="E608" i="22"/>
  <c r="G608" i="22"/>
  <c r="B609" i="22"/>
  <c r="C609" i="22"/>
  <c r="D609" i="22"/>
  <c r="E609" i="22"/>
  <c r="G609" i="22"/>
  <c r="E610" i="22"/>
  <c r="B613" i="22"/>
  <c r="C613" i="22"/>
  <c r="D613" i="22"/>
  <c r="E613" i="22"/>
  <c r="G613" i="22"/>
  <c r="B615" i="22"/>
  <c r="C615" i="22"/>
  <c r="D615" i="22"/>
  <c r="E615" i="22"/>
  <c r="G615" i="22"/>
  <c r="B616" i="22"/>
  <c r="C616" i="22"/>
  <c r="D616" i="22"/>
  <c r="E616" i="22"/>
  <c r="G616" i="22"/>
  <c r="D619" i="22"/>
  <c r="E626" i="22"/>
  <c r="A628" i="22"/>
  <c r="B628" i="22"/>
  <c r="C628" i="22"/>
  <c r="D628" i="22"/>
  <c r="B630" i="22"/>
  <c r="C630" i="22"/>
  <c r="D630" i="22"/>
  <c r="E630" i="22"/>
  <c r="G630" i="22"/>
  <c r="B631" i="22"/>
  <c r="C631" i="22"/>
  <c r="D631" i="22"/>
  <c r="E631" i="22"/>
  <c r="G631" i="22"/>
  <c r="B632" i="22"/>
  <c r="C632" i="22"/>
  <c r="D632" i="22"/>
  <c r="E632" i="22"/>
  <c r="G632" i="22"/>
  <c r="E633" i="22"/>
  <c r="B636" i="22"/>
  <c r="C636" i="22"/>
  <c r="D636" i="22"/>
  <c r="E636" i="22"/>
  <c r="G636" i="22"/>
  <c r="B638" i="22"/>
  <c r="C638" i="22"/>
  <c r="D638" i="22"/>
  <c r="E638" i="22"/>
  <c r="G638" i="22"/>
  <c r="E639" i="22"/>
  <c r="D642" i="22"/>
  <c r="E649" i="22"/>
  <c r="A651" i="22"/>
  <c r="B651" i="22"/>
  <c r="C651" i="22"/>
  <c r="D651" i="22"/>
  <c r="B653" i="22"/>
  <c r="C653" i="22"/>
  <c r="D653" i="22"/>
  <c r="E653" i="22"/>
  <c r="G653" i="22"/>
  <c r="B654" i="22"/>
  <c r="C654" i="22"/>
  <c r="D654" i="22"/>
  <c r="E654" i="22"/>
  <c r="G654" i="22"/>
  <c r="B655" i="22"/>
  <c r="C655" i="22"/>
  <c r="D655" i="22"/>
  <c r="E655" i="22"/>
  <c r="G655" i="22"/>
  <c r="B656" i="22"/>
  <c r="C656" i="22"/>
  <c r="D656" i="22"/>
  <c r="E656" i="22"/>
  <c r="G656" i="22"/>
  <c r="E657" i="22"/>
  <c r="B660" i="22"/>
  <c r="C660" i="22"/>
  <c r="D660" i="22"/>
  <c r="E660" i="22"/>
  <c r="G660" i="22"/>
  <c r="B662" i="22"/>
  <c r="C662" i="22"/>
  <c r="D662" i="22"/>
  <c r="E662" i="22"/>
  <c r="G662" i="22"/>
  <c r="B663" i="22"/>
  <c r="C663" i="22"/>
  <c r="D663" i="22"/>
  <c r="E663" i="22"/>
  <c r="G663" i="22"/>
  <c r="D666" i="22"/>
  <c r="E673" i="22"/>
  <c r="A675" i="22"/>
  <c r="B675" i="22"/>
  <c r="C675" i="22"/>
  <c r="D675" i="22"/>
  <c r="B677" i="22"/>
  <c r="C677" i="22"/>
  <c r="D677" i="22"/>
  <c r="E677" i="22"/>
  <c r="G677" i="22"/>
  <c r="B678" i="22"/>
  <c r="C678" i="22"/>
  <c r="D678" i="22"/>
  <c r="E678" i="22"/>
  <c r="G678" i="22"/>
  <c r="B681" i="22"/>
  <c r="C681" i="22"/>
  <c r="D681" i="22"/>
  <c r="E681" i="22"/>
  <c r="G681" i="22"/>
  <c r="B683" i="22"/>
  <c r="C683" i="22"/>
  <c r="D683" i="22"/>
  <c r="E683" i="22"/>
  <c r="G683" i="22"/>
  <c r="D685" i="22"/>
  <c r="E692" i="22"/>
  <c r="A694" i="22"/>
  <c r="B694" i="22"/>
  <c r="C694" i="22"/>
  <c r="D694" i="22"/>
  <c r="B696" i="22"/>
  <c r="C696" i="22"/>
  <c r="D696" i="22"/>
  <c r="E696" i="22"/>
  <c r="G696" i="22"/>
  <c r="B697" i="22"/>
  <c r="C697" i="22"/>
  <c r="D697" i="22"/>
  <c r="E697" i="22"/>
  <c r="G697" i="22"/>
  <c r="B698" i="22"/>
  <c r="C698" i="22"/>
  <c r="D698" i="22"/>
  <c r="E698" i="22"/>
  <c r="G698" i="22"/>
  <c r="B699" i="22"/>
  <c r="C699" i="22"/>
  <c r="D699" i="22"/>
  <c r="E699" i="22"/>
  <c r="G699" i="22"/>
  <c r="E700" i="22"/>
  <c r="B703" i="22"/>
  <c r="C703" i="22"/>
  <c r="D703" i="22"/>
  <c r="E703" i="22"/>
  <c r="G703" i="22"/>
  <c r="B705" i="22"/>
  <c r="C705" i="22"/>
  <c r="D705" i="22"/>
  <c r="E705" i="22"/>
  <c r="G705" i="22"/>
  <c r="B706" i="22"/>
  <c r="C706" i="22"/>
  <c r="D706" i="22"/>
  <c r="E706" i="22"/>
  <c r="G706" i="22"/>
  <c r="B707" i="22"/>
  <c r="C707" i="22"/>
  <c r="D707" i="22"/>
  <c r="E707" i="22"/>
  <c r="G707" i="22"/>
  <c r="E708" i="22"/>
  <c r="D711" i="22"/>
  <c r="E718" i="22"/>
  <c r="A720" i="22"/>
  <c r="B720" i="22"/>
  <c r="C720" i="22"/>
  <c r="D720" i="22"/>
  <c r="B722" i="22"/>
  <c r="C722" i="22"/>
  <c r="D722" i="22"/>
  <c r="E722" i="22"/>
  <c r="G722" i="22"/>
  <c r="B723" i="22"/>
  <c r="C723" i="22"/>
  <c r="D723" i="22"/>
  <c r="E723" i="22"/>
  <c r="G723" i="22"/>
  <c r="B724" i="22"/>
  <c r="C724" i="22"/>
  <c r="D724" i="22"/>
  <c r="E724" i="22"/>
  <c r="G724" i="22"/>
  <c r="B725" i="22"/>
  <c r="C725" i="22"/>
  <c r="D725" i="22"/>
  <c r="E725" i="22"/>
  <c r="G725" i="22"/>
  <c r="E726" i="22"/>
  <c r="B729" i="22"/>
  <c r="C729" i="22"/>
  <c r="D729" i="22"/>
  <c r="E729" i="22"/>
  <c r="G729" i="22"/>
  <c r="B731" i="22"/>
  <c r="C731" i="22"/>
  <c r="D731" i="22"/>
  <c r="E731" i="22"/>
  <c r="G731" i="22"/>
  <c r="B732" i="22"/>
  <c r="C732" i="22"/>
  <c r="D732" i="22"/>
  <c r="E732" i="22"/>
  <c r="G732" i="22"/>
  <c r="D735" i="22"/>
  <c r="E742" i="22"/>
  <c r="A744" i="22"/>
  <c r="B744" i="22"/>
  <c r="C744" i="22"/>
  <c r="D744" i="22"/>
  <c r="B746" i="22"/>
  <c r="C746" i="22"/>
  <c r="D746" i="22"/>
  <c r="E746" i="22"/>
  <c r="G746" i="22"/>
  <c r="B748" i="22"/>
  <c r="C748" i="22"/>
  <c r="D748" i="22"/>
  <c r="E748" i="22"/>
  <c r="G748" i="22"/>
  <c r="D750" i="22"/>
  <c r="E757" i="22"/>
  <c r="A759" i="22"/>
  <c r="B759" i="22"/>
  <c r="C759" i="22"/>
  <c r="D759" i="22"/>
  <c r="B761" i="22"/>
  <c r="D761" i="22"/>
  <c r="D763" i="22"/>
  <c r="E770" i="22"/>
  <c r="A2" i="23"/>
  <c r="A3" i="23"/>
  <c r="H4" i="23"/>
  <c r="E4" i="24"/>
  <c r="J4" i="24"/>
  <c r="O4" i="24"/>
  <c r="A2" i="25"/>
  <c r="A3" i="25"/>
  <c r="F4" i="25"/>
  <c r="G4" i="25"/>
  <c r="H4" i="25"/>
  <c r="I4" i="25"/>
  <c r="J4" i="25"/>
  <c r="B5" i="25"/>
  <c r="C5" i="25"/>
  <c r="A6" i="25"/>
  <c r="B6" i="25"/>
  <c r="C6" i="25"/>
  <c r="D6" i="25"/>
  <c r="E6" i="25"/>
  <c r="F6" i="25"/>
  <c r="G6" i="25"/>
  <c r="A7" i="25"/>
  <c r="B7" i="25"/>
  <c r="C7" i="25"/>
  <c r="D7" i="25"/>
  <c r="E7" i="25"/>
  <c r="A8" i="25"/>
  <c r="B8" i="25"/>
  <c r="C8" i="25"/>
  <c r="D8" i="25"/>
  <c r="E8" i="25"/>
  <c r="G8" i="25"/>
  <c r="H8" i="25"/>
  <c r="A9" i="25"/>
  <c r="B9" i="25"/>
  <c r="C9" i="25"/>
  <c r="D9" i="25"/>
  <c r="E9" i="25"/>
  <c r="F9" i="25"/>
  <c r="A10" i="25"/>
  <c r="B10" i="25"/>
  <c r="C10" i="25"/>
  <c r="D10" i="25"/>
  <c r="E10" i="25"/>
  <c r="G10" i="25"/>
  <c r="H10" i="25"/>
  <c r="A11" i="25"/>
  <c r="B11" i="25"/>
  <c r="C11" i="25"/>
  <c r="D11" i="25"/>
  <c r="E11" i="25"/>
  <c r="A12" i="25"/>
  <c r="B12" i="25"/>
  <c r="C12" i="25"/>
  <c r="D12" i="25"/>
  <c r="E12" i="25"/>
  <c r="H12" i="25"/>
  <c r="B13" i="25"/>
  <c r="C13" i="25"/>
  <c r="A14" i="25"/>
  <c r="B14" i="25"/>
  <c r="C14" i="25"/>
  <c r="D14" i="25"/>
  <c r="E14" i="25"/>
  <c r="F14" i="25"/>
  <c r="B15" i="25"/>
  <c r="C15" i="25"/>
  <c r="A16" i="25"/>
  <c r="B16" i="25"/>
  <c r="C16" i="25"/>
  <c r="D16" i="25"/>
  <c r="E16" i="25"/>
  <c r="A17" i="25"/>
  <c r="B17" i="25"/>
  <c r="C17" i="25"/>
  <c r="D17" i="25"/>
  <c r="E17" i="25"/>
  <c r="F17" i="25"/>
  <c r="A18" i="25"/>
  <c r="B18" i="25"/>
  <c r="C18" i="25"/>
  <c r="D18" i="25"/>
  <c r="E18" i="25"/>
  <c r="F18" i="25"/>
  <c r="A19" i="25"/>
  <c r="B19" i="25"/>
  <c r="C19" i="25"/>
  <c r="D19" i="25"/>
  <c r="E19" i="25"/>
  <c r="F19" i="25"/>
  <c r="G19" i="25"/>
  <c r="A20" i="25"/>
  <c r="B20" i="25"/>
  <c r="C20" i="25"/>
  <c r="D20" i="25"/>
  <c r="E20" i="25"/>
  <c r="F20" i="25"/>
  <c r="G20" i="25"/>
  <c r="A21" i="25"/>
  <c r="B21" i="25"/>
  <c r="C21" i="25"/>
  <c r="D21" i="25"/>
  <c r="E21" i="25"/>
  <c r="H21" i="25"/>
  <c r="A22" i="25"/>
  <c r="B22" i="25"/>
  <c r="C22" i="25"/>
  <c r="D22" i="25"/>
  <c r="E22" i="25"/>
  <c r="H22" i="25"/>
  <c r="A23" i="25"/>
  <c r="B23" i="25"/>
  <c r="C23" i="25"/>
  <c r="D23" i="25"/>
  <c r="E23" i="25"/>
  <c r="A24" i="25"/>
  <c r="B24" i="25"/>
  <c r="C24" i="25"/>
  <c r="D24" i="25"/>
  <c r="E24" i="25"/>
  <c r="A25" i="25"/>
  <c r="B25" i="25"/>
  <c r="C25" i="25"/>
  <c r="D25" i="25"/>
  <c r="E25" i="25"/>
  <c r="A26" i="25"/>
  <c r="B26" i="25"/>
  <c r="C26" i="25"/>
  <c r="D26" i="25"/>
  <c r="E26" i="25"/>
  <c r="A27" i="25"/>
  <c r="B27" i="25"/>
  <c r="C27" i="25"/>
  <c r="D27" i="25"/>
  <c r="E27" i="25"/>
  <c r="B28" i="25"/>
  <c r="C28" i="25"/>
  <c r="A29" i="25"/>
  <c r="B29" i="25"/>
  <c r="C29" i="25"/>
  <c r="D29" i="25"/>
  <c r="E29" i="25"/>
  <c r="A30" i="25"/>
  <c r="B30" i="25"/>
  <c r="C30" i="25"/>
  <c r="D30" i="25"/>
  <c r="E30" i="25"/>
  <c r="A31" i="25"/>
  <c r="B31" i="25"/>
  <c r="C31" i="25"/>
  <c r="D31" i="25"/>
  <c r="E31" i="25"/>
  <c r="A32" i="25"/>
  <c r="B32" i="25"/>
  <c r="C32" i="25"/>
  <c r="D32" i="25"/>
  <c r="E32" i="25"/>
  <c r="G32" i="25"/>
  <c r="H32" i="25"/>
  <c r="B33" i="25"/>
  <c r="C33" i="25"/>
  <c r="A34" i="25"/>
  <c r="B34" i="25"/>
  <c r="C34" i="25"/>
  <c r="D34" i="25"/>
  <c r="E34" i="25"/>
  <c r="A35" i="25"/>
  <c r="B35" i="25"/>
  <c r="C35" i="25"/>
  <c r="D35" i="25"/>
  <c r="E35" i="25"/>
  <c r="A36" i="25"/>
  <c r="B36" i="25"/>
  <c r="C36" i="25"/>
  <c r="D36" i="25"/>
  <c r="E36" i="25"/>
  <c r="A37" i="25"/>
  <c r="B37" i="25"/>
  <c r="C37" i="25"/>
  <c r="D37" i="25"/>
  <c r="E37" i="25"/>
  <c r="B38" i="25"/>
  <c r="C38" i="25"/>
  <c r="A39" i="25"/>
  <c r="B39" i="25"/>
  <c r="C39" i="25"/>
  <c r="D39" i="25"/>
  <c r="E39" i="25"/>
  <c r="H39" i="25"/>
  <c r="A40" i="25"/>
  <c r="B40" i="25"/>
  <c r="C40" i="25"/>
  <c r="D40" i="25"/>
  <c r="E40" i="25"/>
  <c r="H40" i="25"/>
  <c r="A41" i="25"/>
  <c r="B41" i="25"/>
  <c r="C41" i="25"/>
  <c r="D41" i="25"/>
  <c r="E41" i="25"/>
  <c r="A42" i="25"/>
  <c r="B42" i="25"/>
  <c r="C42" i="25"/>
  <c r="D42" i="25"/>
  <c r="E42" i="25"/>
  <c r="A43" i="25"/>
  <c r="B43" i="25"/>
  <c r="C43" i="25"/>
  <c r="D43" i="25"/>
  <c r="E43" i="25"/>
  <c r="A44" i="25"/>
  <c r="B44" i="25"/>
  <c r="C44" i="25"/>
  <c r="D44" i="25"/>
  <c r="E44" i="25"/>
  <c r="A45" i="25"/>
  <c r="B45" i="25"/>
  <c r="C45" i="25"/>
  <c r="D45" i="25"/>
  <c r="E45" i="25"/>
  <c r="A46" i="25"/>
  <c r="B46" i="25"/>
  <c r="C46" i="25"/>
  <c r="D46" i="25"/>
  <c r="E46" i="25"/>
  <c r="A47" i="25"/>
  <c r="B47" i="25"/>
  <c r="C47" i="25"/>
  <c r="D47" i="25"/>
  <c r="E47" i="25"/>
  <c r="B48" i="25"/>
  <c r="C48" i="25"/>
  <c r="A49" i="25"/>
  <c r="B49" i="25"/>
  <c r="C49" i="25"/>
  <c r="D49" i="25"/>
  <c r="E49" i="25"/>
  <c r="F49" i="25"/>
  <c r="A50" i="25"/>
  <c r="B50" i="25"/>
  <c r="C50" i="25"/>
  <c r="D50" i="25"/>
  <c r="E50" i="25"/>
  <c r="G50" i="25"/>
  <c r="H50" i="25"/>
  <c r="A1" i="27"/>
  <c r="F4" i="27"/>
  <c r="F5" i="27"/>
  <c r="F6" i="27"/>
  <c r="F7" i="27"/>
  <c r="C12" i="27"/>
  <c r="D12" i="27"/>
  <c r="E12" i="27"/>
  <c r="H12" i="27"/>
  <c r="I12" i="27"/>
  <c r="E13" i="27"/>
  <c r="E14" i="27"/>
  <c r="D16" i="27"/>
  <c r="A6" i="28"/>
  <c r="B12" i="28"/>
  <c r="B15" i="28"/>
  <c r="B17" i="28"/>
  <c r="A2" i="35"/>
  <c r="A3" i="35"/>
  <c r="C13" i="35"/>
  <c r="C46" i="22" s="1"/>
  <c r="C14" i="35"/>
  <c r="E643" i="22" s="1"/>
  <c r="C15" i="35"/>
  <c r="C16" i="35"/>
  <c r="C17" i="35"/>
  <c r="C173" i="22" s="1"/>
  <c r="C18" i="35"/>
  <c r="D21" i="13" s="1"/>
  <c r="C19" i="35"/>
  <c r="A3" i="36"/>
  <c r="B3" i="36"/>
  <c r="F3" i="36"/>
  <c r="D16" i="18" s="1"/>
  <c r="A4" i="36"/>
  <c r="B4" i="36"/>
  <c r="A6" i="36"/>
  <c r="B6" i="36"/>
  <c r="F6" i="36"/>
  <c r="D43" i="18" s="1"/>
  <c r="A7" i="36"/>
  <c r="B7" i="36"/>
  <c r="F7" i="36"/>
  <c r="D44" i="18" s="1"/>
  <c r="A8" i="36"/>
  <c r="B8" i="36"/>
  <c r="F8" i="36"/>
  <c r="D45" i="18" s="1"/>
  <c r="A9" i="36"/>
  <c r="B9" i="36"/>
  <c r="F9" i="36"/>
  <c r="D55" i="18"/>
  <c r="A10" i="36"/>
  <c r="B10" i="36"/>
  <c r="F10" i="36"/>
  <c r="A11" i="36"/>
  <c r="B11" i="36"/>
  <c r="F11" i="36"/>
  <c r="A12" i="36"/>
  <c r="B12" i="36"/>
  <c r="F12" i="36"/>
  <c r="A14" i="36"/>
  <c r="B14" i="36"/>
  <c r="F14" i="36"/>
  <c r="A15" i="36"/>
  <c r="B15" i="36"/>
  <c r="F15" i="36"/>
  <c r="A17" i="36"/>
  <c r="B17" i="36"/>
  <c r="F17" i="36"/>
  <c r="A18" i="36"/>
  <c r="B18" i="36"/>
  <c r="F18" i="36"/>
  <c r="A20" i="36"/>
  <c r="B20" i="36"/>
  <c r="F20" i="36"/>
  <c r="A21" i="36"/>
  <c r="B21" i="36"/>
  <c r="F21" i="36"/>
  <c r="A23" i="36"/>
  <c r="B23" i="36"/>
  <c r="F23" i="36"/>
  <c r="A24" i="36"/>
  <c r="B24" i="36"/>
  <c r="F24" i="36"/>
  <c r="A26" i="36"/>
  <c r="B26" i="36"/>
  <c r="F26" i="36"/>
  <c r="G73" i="18"/>
  <c r="I73" i="18" s="1"/>
  <c r="C11" i="22"/>
  <c r="C32" i="22"/>
  <c r="C73" i="22"/>
  <c r="C94" i="22"/>
  <c r="C111" i="22"/>
  <c r="E11" i="22"/>
  <c r="E73" i="22"/>
  <c r="E94" i="22"/>
  <c r="E111" i="22"/>
  <c r="E230" i="22"/>
  <c r="E247" i="22"/>
  <c r="C363" i="22"/>
  <c r="C382" i="22"/>
  <c r="C198" i="22"/>
  <c r="C211" i="22"/>
  <c r="C316" i="22"/>
  <c r="E363" i="22"/>
  <c r="E382" i="22"/>
  <c r="E126" i="22"/>
  <c r="C153" i="22"/>
  <c r="E198" i="22"/>
  <c r="E211" i="22"/>
  <c r="E316" i="22"/>
  <c r="C230" i="22"/>
  <c r="E294" i="22"/>
  <c r="C339" i="22"/>
  <c r="C408" i="22"/>
  <c r="C538" i="22"/>
  <c r="E644" i="22"/>
  <c r="C668" i="22"/>
  <c r="C687" i="22"/>
  <c r="C752" i="22"/>
  <c r="E538" i="22"/>
  <c r="C621" i="22"/>
  <c r="E687" i="22"/>
  <c r="C765" i="22"/>
  <c r="E408" i="22"/>
  <c r="C494" i="22"/>
  <c r="C557" i="22"/>
  <c r="C574" i="22"/>
  <c r="E445" i="22"/>
  <c r="E557" i="22"/>
  <c r="E574" i="22"/>
  <c r="C644" i="22"/>
  <c r="H74" i="18"/>
  <c r="I74" i="18"/>
  <c r="C50" i="22"/>
  <c r="C16" i="22"/>
  <c r="C37" i="22"/>
  <c r="C203" i="22"/>
  <c r="C216" i="22"/>
  <c r="C275" i="22"/>
  <c r="C158" i="22"/>
  <c r="C235" i="22"/>
  <c r="C344" i="22"/>
  <c r="C450" i="22"/>
  <c r="C770" i="22"/>
  <c r="C562" i="22"/>
  <c r="C579" i="22"/>
  <c r="C718" i="22"/>
  <c r="C543" i="22"/>
  <c r="C757" i="22"/>
  <c r="G22" i="13"/>
  <c r="E12" i="22"/>
  <c r="E33" i="22"/>
  <c r="E74" i="22"/>
  <c r="E95" i="22"/>
  <c r="E112" i="22"/>
  <c r="E127" i="22"/>
  <c r="E46" i="22"/>
  <c r="D22" i="13"/>
  <c r="C12" i="22"/>
  <c r="E61" i="22"/>
  <c r="C74" i="22"/>
  <c r="C95" i="22"/>
  <c r="C112" i="22"/>
  <c r="C127" i="22"/>
  <c r="C154" i="22"/>
  <c r="C169" i="22"/>
  <c r="C199" i="22"/>
  <c r="C212" i="22"/>
  <c r="C271" i="22"/>
  <c r="C317" i="22"/>
  <c r="E364" i="22"/>
  <c r="E383" i="22"/>
  <c r="C61" i="22"/>
  <c r="E169" i="22"/>
  <c r="E186" i="22"/>
  <c r="E199" i="22"/>
  <c r="E212" i="22"/>
  <c r="E271" i="22"/>
  <c r="C295" i="22"/>
  <c r="E317" i="22"/>
  <c r="C231" i="22"/>
  <c r="C248" i="22"/>
  <c r="E295" i="22"/>
  <c r="C340" i="22"/>
  <c r="E231" i="22"/>
  <c r="E248" i="22"/>
  <c r="E340" i="22"/>
  <c r="C383" i="22"/>
  <c r="E409" i="22"/>
  <c r="C433" i="22"/>
  <c r="C472" i="22"/>
  <c r="C446" i="22"/>
  <c r="C495" i="22"/>
  <c r="E539" i="22"/>
  <c r="C622" i="22"/>
  <c r="E669" i="22"/>
  <c r="E688" i="22"/>
  <c r="E738" i="22"/>
  <c r="E753" i="22"/>
  <c r="C766" i="22"/>
  <c r="E472" i="22"/>
  <c r="C520" i="22"/>
  <c r="C558" i="22"/>
  <c r="C575" i="22"/>
  <c r="E622" i="22"/>
  <c r="E766" i="22"/>
  <c r="E433" i="22"/>
  <c r="E520" i="22"/>
  <c r="E575" i="22"/>
  <c r="C645" i="22"/>
  <c r="C714" i="22"/>
  <c r="C409" i="22"/>
  <c r="C539" i="22"/>
  <c r="C598" i="22"/>
  <c r="E645" i="22"/>
  <c r="C688" i="22"/>
  <c r="E714" i="22"/>
  <c r="C738" i="22"/>
  <c r="C753" i="22"/>
  <c r="D24" i="13"/>
  <c r="E14" i="22"/>
  <c r="E35" i="22"/>
  <c r="E76" i="22"/>
  <c r="E97" i="22"/>
  <c r="E114" i="22"/>
  <c r="E129" i="22"/>
  <c r="G24" i="13"/>
  <c r="E48" i="22"/>
  <c r="C14" i="22"/>
  <c r="E63" i="22"/>
  <c r="C76" i="22"/>
  <c r="C97" i="22"/>
  <c r="C114" i="22"/>
  <c r="C129" i="22"/>
  <c r="E156" i="22"/>
  <c r="C171" i="22"/>
  <c r="C201" i="22"/>
  <c r="C214" i="22"/>
  <c r="C273" i="22"/>
  <c r="C319" i="22"/>
  <c r="E366" i="22"/>
  <c r="E385" i="22"/>
  <c r="E171" i="22"/>
  <c r="E201" i="22"/>
  <c r="E214" i="22"/>
  <c r="E273" i="22"/>
  <c r="C297" i="22"/>
  <c r="E319" i="22"/>
  <c r="E448" i="22"/>
  <c r="C63" i="22"/>
  <c r="C250" i="22"/>
  <c r="E297" i="22"/>
  <c r="C342" i="22"/>
  <c r="C156" i="22"/>
  <c r="E233" i="22"/>
  <c r="E250" i="22"/>
  <c r="E342" i="22"/>
  <c r="C385" i="22"/>
  <c r="E411" i="22"/>
  <c r="C435" i="22"/>
  <c r="C474" i="22"/>
  <c r="E435" i="22"/>
  <c r="E474" i="22"/>
  <c r="E497" i="22"/>
  <c r="E541" i="22"/>
  <c r="E600" i="22"/>
  <c r="C624" i="22"/>
  <c r="E671" i="22"/>
  <c r="E690" i="22"/>
  <c r="E740" i="22"/>
  <c r="E755" i="22"/>
  <c r="C411" i="22"/>
  <c r="E522" i="22"/>
  <c r="C560" i="22"/>
  <c r="C577" i="22"/>
  <c r="E624" i="22"/>
  <c r="E768" i="22"/>
  <c r="C448" i="22"/>
  <c r="E577" i="22"/>
  <c r="C647" i="22"/>
  <c r="C716" i="22"/>
  <c r="C497" i="22"/>
  <c r="C541" i="22"/>
  <c r="C600" i="22"/>
  <c r="E647" i="22"/>
  <c r="C690" i="22"/>
  <c r="E716" i="22"/>
  <c r="C740" i="22"/>
  <c r="C755" i="22"/>
  <c r="H14" i="15"/>
  <c r="I14" i="15"/>
  <c r="R71" i="6"/>
  <c r="U18" i="7"/>
  <c r="R221" i="6"/>
  <c r="H10" i="15"/>
  <c r="I10" i="15" s="1"/>
  <c r="U26" i="7"/>
  <c r="R37" i="6"/>
  <c r="U22" i="7"/>
  <c r="Z18" i="10"/>
  <c r="I19" i="15"/>
  <c r="H6" i="15"/>
  <c r="I6" i="15" s="1"/>
  <c r="R95" i="6"/>
  <c r="R128" i="6"/>
  <c r="R268" i="6"/>
  <c r="R302" i="6"/>
  <c r="R199" i="6"/>
  <c r="R245" i="6"/>
  <c r="U11" i="7"/>
  <c r="AV23" i="9"/>
  <c r="H18" i="15"/>
  <c r="I18" i="15" s="1"/>
  <c r="R176" i="6"/>
  <c r="R258" i="6"/>
  <c r="R290" i="6"/>
  <c r="U23" i="7"/>
  <c r="R149" i="6"/>
  <c r="R175" i="6"/>
  <c r="R289" i="6"/>
  <c r="U15" i="7"/>
  <c r="R220" i="6"/>
  <c r="U12" i="7"/>
  <c r="N46" i="7"/>
  <c r="R127" i="6"/>
  <c r="R161" i="6"/>
  <c r="R94" i="6"/>
  <c r="R198" i="6"/>
  <c r="R244" i="6"/>
  <c r="R267" i="6"/>
  <c r="U29" i="7"/>
  <c r="R287" i="6"/>
  <c r="R256" i="6"/>
  <c r="U25" i="7"/>
  <c r="R39" i="6"/>
  <c r="R96" i="6"/>
  <c r="R129" i="6"/>
  <c r="R163" i="6"/>
  <c r="R200" i="6"/>
  <c r="R269" i="6"/>
  <c r="R303" i="6"/>
  <c r="U17" i="7"/>
  <c r="R246" i="6"/>
  <c r="R17" i="6"/>
  <c r="R8" i="6"/>
  <c r="U14" i="7"/>
  <c r="R77" i="6"/>
  <c r="U10" i="7"/>
  <c r="R227" i="6"/>
  <c r="U28" i="7"/>
  <c r="R174" i="6"/>
  <c r="R84" i="6"/>
  <c r="R148" i="6"/>
  <c r="R117" i="6"/>
  <c r="R288" i="6"/>
  <c r="R257" i="6"/>
  <c r="U24" i="7"/>
  <c r="R38" i="6"/>
  <c r="U20" i="7"/>
  <c r="R69" i="6"/>
  <c r="R219" i="6"/>
  <c r="U13" i="7"/>
  <c r="G61" i="7"/>
  <c r="L33" i="7"/>
  <c r="I27" i="7"/>
  <c r="K23" i="7"/>
  <c r="G42" i="7"/>
  <c r="K13" i="7"/>
  <c r="AX9" i="9" s="1"/>
  <c r="AP9" i="9" s="1"/>
  <c r="AU9" i="9" s="1"/>
  <c r="AV9" i="9" s="1"/>
  <c r="H315" i="6"/>
  <c r="H280" i="6"/>
  <c r="H247" i="6"/>
  <c r="H194" i="6"/>
  <c r="O9" i="7"/>
  <c r="Q9" i="7" s="1"/>
  <c r="K9" i="7"/>
  <c r="L9" i="7" s="1"/>
  <c r="O8" i="7"/>
  <c r="K8" i="7"/>
  <c r="L8" i="7" s="1"/>
  <c r="O6" i="7"/>
  <c r="F41" i="22" s="1"/>
  <c r="H41" i="22" s="1"/>
  <c r="H40" i="22" s="1"/>
  <c r="K6" i="7"/>
  <c r="L6" i="7"/>
  <c r="H253" i="6"/>
  <c r="M248" i="6"/>
  <c r="K203" i="5"/>
  <c r="K122" i="5"/>
  <c r="H187" i="6"/>
  <c r="H193" i="6"/>
  <c r="H188" i="6"/>
  <c r="H190" i="6"/>
  <c r="N195" i="6"/>
  <c r="L21" i="7"/>
  <c r="N158" i="6"/>
  <c r="H153" i="6"/>
  <c r="H149" i="6"/>
  <c r="H100" i="6"/>
  <c r="H96" i="6"/>
  <c r="H60" i="6"/>
  <c r="E58" i="7" s="1"/>
  <c r="G58" i="7" s="1"/>
  <c r="H13" i="6"/>
  <c r="K118" i="5"/>
  <c r="K117" i="5" s="1"/>
  <c r="K91" i="5"/>
  <c r="K90" i="5" s="1"/>
  <c r="K28" i="5"/>
  <c r="H157" i="6"/>
  <c r="H150" i="6"/>
  <c r="H97" i="6"/>
  <c r="H59" i="6"/>
  <c r="E51" i="7"/>
  <c r="H29" i="6"/>
  <c r="H11" i="6"/>
  <c r="K164" i="5"/>
  <c r="K163" i="5"/>
  <c r="K149" i="5"/>
  <c r="K148" i="5" s="1"/>
  <c r="H156" i="6"/>
  <c r="M151" i="6"/>
  <c r="H103" i="6"/>
  <c r="M98" i="6"/>
  <c r="K58" i="5"/>
  <c r="K46" i="5"/>
  <c r="K56" i="5"/>
  <c r="K53" i="5" s="1"/>
  <c r="K26" i="5"/>
  <c r="L11" i="4"/>
  <c r="L10" i="4"/>
  <c r="L9" i="4"/>
  <c r="V112" i="1"/>
  <c r="W110" i="1"/>
  <c r="V103" i="1"/>
  <c r="W100" i="1"/>
  <c r="V94" i="1"/>
  <c r="W92" i="1"/>
  <c r="V85" i="1"/>
  <c r="W83" i="1"/>
  <c r="V76" i="1"/>
  <c r="W74" i="1"/>
  <c r="V67" i="1"/>
  <c r="W65" i="1"/>
  <c r="V59" i="1"/>
  <c r="W57" i="1"/>
  <c r="V53" i="1"/>
  <c r="W51" i="1"/>
  <c r="V44" i="1"/>
  <c r="W41" i="1"/>
  <c r="V34" i="1"/>
  <c r="U8" i="1"/>
  <c r="K100" i="5"/>
  <c r="K99" i="5"/>
  <c r="K73" i="5"/>
  <c r="K72" i="5"/>
  <c r="K42" i="5"/>
  <c r="K38" i="5"/>
  <c r="R11" i="4"/>
  <c r="K11" i="4"/>
  <c r="R10" i="4"/>
  <c r="K10" i="4"/>
  <c r="R9" i="4"/>
  <c r="K9" i="4"/>
  <c r="V110" i="1"/>
  <c r="V100" i="1"/>
  <c r="V92" i="1"/>
  <c r="V83" i="1"/>
  <c r="V74" i="1"/>
  <c r="V65" i="1"/>
  <c r="V57" i="1"/>
  <c r="V51" i="1"/>
  <c r="V41" i="1"/>
  <c r="Q11" i="4"/>
  <c r="Q10" i="4"/>
  <c r="Q9" i="4"/>
  <c r="Q8" i="4"/>
  <c r="T27" i="7"/>
  <c r="M27" i="7" s="1"/>
  <c r="N27" i="7" s="1"/>
  <c r="AY23" i="9"/>
  <c r="P9" i="7"/>
  <c r="R9" i="7"/>
  <c r="Y19" i="10"/>
  <c r="AX19" i="9"/>
  <c r="AP19" i="9" s="1"/>
  <c r="AU19" i="9" s="1"/>
  <c r="Q219" i="6" l="1"/>
  <c r="AY9" i="9"/>
  <c r="Q69" i="6"/>
  <c r="T13" i="7"/>
  <c r="M13" i="7" s="1"/>
  <c r="O13" i="7" s="1"/>
  <c r="AX6" i="9"/>
  <c r="AP6" i="9" s="1"/>
  <c r="AU6" i="9" s="1"/>
  <c r="AV6" i="9" s="1"/>
  <c r="Y6" i="10"/>
  <c r="Z6" i="10" s="1"/>
  <c r="G51" i="7"/>
  <c r="N51" i="7"/>
  <c r="F8" i="25"/>
  <c r="H42" i="22"/>
  <c r="Q70" i="6"/>
  <c r="T12" i="7"/>
  <c r="M12" i="7" s="1"/>
  <c r="O12" i="7" s="1"/>
  <c r="Q220" i="6"/>
  <c r="C59" i="22"/>
  <c r="C125" i="22"/>
  <c r="E362" i="22"/>
  <c r="C712" i="22"/>
  <c r="C573" i="22"/>
  <c r="E246" i="22"/>
  <c r="E444" i="22"/>
  <c r="E667" i="22"/>
  <c r="C72" i="22"/>
  <c r="E31" i="22"/>
  <c r="C643" i="22"/>
  <c r="C93" i="22"/>
  <c r="C596" i="22"/>
  <c r="E59" i="22"/>
  <c r="C470" i="22"/>
  <c r="E573" i="22"/>
  <c r="C556" i="22"/>
  <c r="E620" i="22"/>
  <c r="E72" i="22"/>
  <c r="H17" i="15"/>
  <c r="I17" i="15"/>
  <c r="R173" i="6"/>
  <c r="R147" i="6"/>
  <c r="R83" i="6"/>
  <c r="T20" i="7"/>
  <c r="M20" i="7" s="1"/>
  <c r="N58" i="7"/>
  <c r="E110" i="22"/>
  <c r="K40" i="7"/>
  <c r="L40" i="7" s="1"/>
  <c r="O40" i="7"/>
  <c r="AY8" i="9"/>
  <c r="E315" i="22"/>
  <c r="P8" i="7"/>
  <c r="F441" i="22"/>
  <c r="H441" i="22" s="1"/>
  <c r="H440" i="22" s="1"/>
  <c r="Q8" i="7"/>
  <c r="E93" i="22"/>
  <c r="Q6" i="7"/>
  <c r="C293" i="22"/>
  <c r="Q175" i="6"/>
  <c r="Q149" i="6"/>
  <c r="Q289" i="6"/>
  <c r="I40" i="7"/>
  <c r="R270" i="6"/>
  <c r="R130" i="6"/>
  <c r="R247" i="6"/>
  <c r="R164" i="6"/>
  <c r="R201" i="6"/>
  <c r="G20" i="13"/>
  <c r="Q38" i="6"/>
  <c r="T15" i="7"/>
  <c r="M15" i="7" s="1"/>
  <c r="O15" i="7" s="1"/>
  <c r="Q15" i="7" s="1"/>
  <c r="U19" i="7"/>
  <c r="C620" i="22"/>
  <c r="E229" i="22"/>
  <c r="R304" i="6"/>
  <c r="E596" i="22"/>
  <c r="E125" i="22"/>
  <c r="Y9" i="10"/>
  <c r="Z9" i="10" s="1"/>
  <c r="R97" i="6"/>
  <c r="C667" i="22"/>
  <c r="E152" i="22"/>
  <c r="G56" i="7"/>
  <c r="N56" i="7"/>
  <c r="R235" i="6"/>
  <c r="Z19" i="10"/>
  <c r="AU20" i="9"/>
  <c r="AV20" i="9" s="1"/>
  <c r="F761" i="22"/>
  <c r="H761" i="22" s="1"/>
  <c r="H760" i="22" s="1"/>
  <c r="U16" i="7"/>
  <c r="Z12" i="10"/>
  <c r="Y17" i="10"/>
  <c r="Z17" i="10" s="1"/>
  <c r="AA17" i="10" s="1"/>
  <c r="AX17" i="9"/>
  <c r="AP17" i="9" s="1"/>
  <c r="R85" i="6"/>
  <c r="C673" i="22"/>
  <c r="C476" i="22"/>
  <c r="C48" i="22"/>
  <c r="C35" i="22"/>
  <c r="C188" i="22"/>
  <c r="E188" i="22"/>
  <c r="C233" i="22"/>
  <c r="C366" i="22"/>
  <c r="C522" i="22"/>
  <c r="C768" i="22"/>
  <c r="E560" i="22"/>
  <c r="C671" i="22"/>
  <c r="Z11" i="10"/>
  <c r="K75" i="5"/>
  <c r="K69" i="5" s="1"/>
  <c r="F37" i="2" s="1"/>
  <c r="H47" i="7" s="1"/>
  <c r="G41" i="7"/>
  <c r="M259" i="6"/>
  <c r="H263" i="6"/>
  <c r="H261" i="6"/>
  <c r="H256" i="6"/>
  <c r="R118" i="6"/>
  <c r="C116" i="22"/>
  <c r="C131" i="22"/>
  <c r="C65" i="22"/>
  <c r="C413" i="22"/>
  <c r="O7" i="7"/>
  <c r="K50" i="5"/>
  <c r="F35" i="2" s="1"/>
  <c r="H45" i="7" s="1"/>
  <c r="K116" i="5"/>
  <c r="F42" i="2" s="1"/>
  <c r="H52" i="7" s="1"/>
  <c r="R150" i="6"/>
  <c r="C602" i="22"/>
  <c r="C368" i="22"/>
  <c r="C78" i="22"/>
  <c r="N264" i="6"/>
  <c r="AU12" i="9"/>
  <c r="AV12" i="9" s="1"/>
  <c r="Z13" i="10"/>
  <c r="N8" i="7"/>
  <c r="H290" i="6"/>
  <c r="H258" i="6"/>
  <c r="H135" i="6"/>
  <c r="H113" i="6"/>
  <c r="H80" i="6"/>
  <c r="H52" i="6"/>
  <c r="N14" i="6"/>
  <c r="K154" i="5"/>
  <c r="K153" i="5" s="1"/>
  <c r="K36" i="5"/>
  <c r="K35" i="5" s="1"/>
  <c r="K32" i="5" s="1"/>
  <c r="F34" i="2" s="1"/>
  <c r="H44" i="7" s="1"/>
  <c r="K24" i="5"/>
  <c r="K23" i="5" s="1"/>
  <c r="H313" i="6"/>
  <c r="W44" i="1"/>
  <c r="X34" i="1"/>
  <c r="V10" i="1"/>
  <c r="G4" i="17"/>
  <c r="E18" i="9"/>
  <c r="I9" i="7"/>
  <c r="H303" i="6"/>
  <c r="H288" i="6"/>
  <c r="H287" i="6"/>
  <c r="H211" i="6"/>
  <c r="E10" i="7" s="1"/>
  <c r="H108" i="6"/>
  <c r="H34" i="6"/>
  <c r="E49" i="7" s="1"/>
  <c r="K181" i="5"/>
  <c r="K180" i="5" s="1"/>
  <c r="K177" i="5" s="1"/>
  <c r="F48" i="2" s="1"/>
  <c r="H58" i="7" s="1"/>
  <c r="I58" i="7" s="1"/>
  <c r="K139" i="5"/>
  <c r="K22" i="5"/>
  <c r="K21" i="5" s="1"/>
  <c r="K20" i="5" s="1"/>
  <c r="F33" i="2" s="1"/>
  <c r="H43" i="7" s="1"/>
  <c r="K10" i="5"/>
  <c r="X107" i="1"/>
  <c r="U96" i="1"/>
  <c r="V87" i="1"/>
  <c r="W81" i="1"/>
  <c r="U76" i="1"/>
  <c r="U59" i="1"/>
  <c r="V49" i="1"/>
  <c r="W34" i="1"/>
  <c r="E16" i="7"/>
  <c r="N41" i="7"/>
  <c r="C669" i="22"/>
  <c r="E558" i="22"/>
  <c r="E495" i="22"/>
  <c r="E598" i="22"/>
  <c r="C364" i="22"/>
  <c r="E446" i="22"/>
  <c r="E154" i="22"/>
  <c r="C186" i="22"/>
  <c r="C33" i="22"/>
  <c r="E471" i="22"/>
  <c r="E668" i="22"/>
  <c r="C432" i="22"/>
  <c r="E185" i="22"/>
  <c r="E45" i="22"/>
  <c r="E32" i="22"/>
  <c r="I15" i="15"/>
  <c r="N40" i="7"/>
  <c r="N6" i="7"/>
  <c r="H309" i="6"/>
  <c r="H301" i="6"/>
  <c r="H130" i="6"/>
  <c r="K112" i="5"/>
  <c r="K106" i="5" s="1"/>
  <c r="F41" i="2" s="1"/>
  <c r="H51" i="7" s="1"/>
  <c r="X53" i="1"/>
  <c r="U49" i="1"/>
  <c r="X41" i="1"/>
  <c r="W8" i="1"/>
  <c r="G4" i="27"/>
  <c r="I9" i="15"/>
  <c r="AU13" i="9"/>
  <c r="AV13" i="9" s="1"/>
  <c r="I33" i="7"/>
  <c r="M305" i="6"/>
  <c r="H293" i="6"/>
  <c r="H275" i="6"/>
  <c r="H267" i="6"/>
  <c r="H246" i="6"/>
  <c r="H215" i="6"/>
  <c r="E53" i="7" s="1"/>
  <c r="H136" i="6"/>
  <c r="E114" i="6"/>
  <c r="H102" i="6"/>
  <c r="H38" i="6"/>
  <c r="E20" i="7" s="1"/>
  <c r="E15" i="6"/>
  <c r="K151" i="5"/>
  <c r="K150" i="5" s="1"/>
  <c r="K147" i="5" s="1"/>
  <c r="F45" i="2" s="1"/>
  <c r="K128" i="5"/>
  <c r="K127" i="5" s="1"/>
  <c r="K126" i="5" s="1"/>
  <c r="F43" i="2" s="1"/>
  <c r="K103" i="5"/>
  <c r="K102" i="5" s="1"/>
  <c r="K96" i="5" s="1"/>
  <c r="F40" i="2" s="1"/>
  <c r="H50" i="7" s="1"/>
  <c r="K93" i="5"/>
  <c r="K92" i="5" s="1"/>
  <c r="K89" i="5" s="1"/>
  <c r="F39" i="2" s="1"/>
  <c r="H49" i="7" s="1"/>
  <c r="K66" i="5"/>
  <c r="K65" i="5" s="1"/>
  <c r="X78" i="1"/>
  <c r="X74" i="1"/>
  <c r="W53" i="1"/>
  <c r="V8" i="1"/>
  <c r="H304" i="6"/>
  <c r="H128" i="6"/>
  <c r="H22" i="6"/>
  <c r="E54" i="7" s="1"/>
  <c r="K201" i="5"/>
  <c r="K200" i="5" s="1"/>
  <c r="K197" i="5" s="1"/>
  <c r="K183" i="5"/>
  <c r="X112" i="1"/>
  <c r="X98" i="1"/>
  <c r="X92" i="1"/>
  <c r="U85" i="1"/>
  <c r="W78" i="1"/>
  <c r="X67" i="1"/>
  <c r="V39" i="1"/>
  <c r="U32" i="1"/>
  <c r="K161" i="5"/>
  <c r="K160" i="5" s="1"/>
  <c r="K64" i="5"/>
  <c r="K63" i="5" s="1"/>
  <c r="K40" i="5"/>
  <c r="W112" i="1"/>
  <c r="V78" i="1"/>
  <c r="W67" i="1"/>
  <c r="U61" i="1"/>
  <c r="X47" i="1"/>
  <c r="U39" i="1"/>
  <c r="G40" i="7"/>
  <c r="Z24" i="10"/>
  <c r="G6" i="7"/>
  <c r="R6" i="7" s="1"/>
  <c r="H144" i="6"/>
  <c r="E48" i="7" s="1"/>
  <c r="Z20" i="10"/>
  <c r="G21" i="7"/>
  <c r="H129" i="6"/>
  <c r="H66" i="6"/>
  <c r="E60" i="7" s="1"/>
  <c r="H54" i="6"/>
  <c r="E50" i="7" s="1"/>
  <c r="H45" i="6"/>
  <c r="E47" i="7" s="1"/>
  <c r="K171" i="5"/>
  <c r="K170" i="5" s="1"/>
  <c r="K159" i="5"/>
  <c r="K158" i="5" s="1"/>
  <c r="K157" i="5" s="1"/>
  <c r="F46" i="2" s="1"/>
  <c r="H56" i="7" s="1"/>
  <c r="K141" i="5"/>
  <c r="K140" i="5" s="1"/>
  <c r="K133" i="5"/>
  <c r="K132" i="5" s="1"/>
  <c r="K120" i="5"/>
  <c r="K119" i="5" s="1"/>
  <c r="K12" i="5"/>
  <c r="U110" i="1"/>
  <c r="F456" i="22"/>
  <c r="H456" i="22" s="1"/>
  <c r="O20" i="7"/>
  <c r="I61" i="7"/>
  <c r="O61" i="7"/>
  <c r="AV19" i="9"/>
  <c r="E12" i="10"/>
  <c r="AA12" i="10" s="1"/>
  <c r="G16" i="7"/>
  <c r="L16" i="7"/>
  <c r="I16" i="7"/>
  <c r="O58" i="7"/>
  <c r="K45" i="7"/>
  <c r="O45" i="7"/>
  <c r="F393" i="22"/>
  <c r="H393" i="22" s="1"/>
  <c r="O52" i="7"/>
  <c r="K52" i="7"/>
  <c r="E12" i="9"/>
  <c r="K58" i="7"/>
  <c r="L58" i="7" s="1"/>
  <c r="AV24" i="9"/>
  <c r="AU18" i="9"/>
  <c r="AV18" i="9" s="1"/>
  <c r="G9" i="25"/>
  <c r="F15" i="17"/>
  <c r="F13" i="17"/>
  <c r="H13" i="17" s="1"/>
  <c r="I13" i="17" s="1"/>
  <c r="F14" i="17"/>
  <c r="H14" i="17" s="1"/>
  <c r="I14" i="17" s="1"/>
  <c r="AU15" i="9"/>
  <c r="AV15" i="9" s="1"/>
  <c r="F13" i="27"/>
  <c r="H13" i="27" s="1"/>
  <c r="I13" i="27" s="1"/>
  <c r="F14" i="27"/>
  <c r="H14" i="27" s="1"/>
  <c r="I14" i="27" s="1"/>
  <c r="F15" i="27"/>
  <c r="O27" i="7"/>
  <c r="AU10" i="9"/>
  <c r="AV10" i="9"/>
  <c r="AV22" i="9"/>
  <c r="AU17" i="9"/>
  <c r="AV17" i="9" s="1"/>
  <c r="AU7" i="9"/>
  <c r="AV7" i="9" s="1"/>
  <c r="R116" i="6"/>
  <c r="F20" i="15"/>
  <c r="C692" i="22"/>
  <c r="C499" i="22"/>
  <c r="C387" i="22"/>
  <c r="C321" i="22"/>
  <c r="C99" i="22"/>
  <c r="E764" i="22"/>
  <c r="E686" i="22"/>
  <c r="C686" i="22"/>
  <c r="E381" i="22"/>
  <c r="C493" i="22"/>
  <c r="E167" i="22"/>
  <c r="C184" i="22"/>
  <c r="E338" i="22"/>
  <c r="C229" i="22"/>
  <c r="C110" i="22"/>
  <c r="C713" i="22"/>
  <c r="E621" i="22"/>
  <c r="E737" i="22"/>
  <c r="E713" i="22"/>
  <c r="E494" i="22"/>
  <c r="E270" i="22"/>
  <c r="E432" i="22"/>
  <c r="C168" i="22"/>
  <c r="C60" i="22"/>
  <c r="C126" i="22"/>
  <c r="I12" i="15"/>
  <c r="AX24" i="9"/>
  <c r="AP24" i="9" s="1"/>
  <c r="AU24" i="9" s="1"/>
  <c r="E16" i="9"/>
  <c r="E6" i="9"/>
  <c r="G22" i="7"/>
  <c r="I22" i="7"/>
  <c r="L22" i="7"/>
  <c r="H63" i="18"/>
  <c r="I16" i="15"/>
  <c r="AU14" i="9"/>
  <c r="AV14" i="9" s="1"/>
  <c r="K41" i="7"/>
  <c r="L41" i="7" s="1"/>
  <c r="O41" i="7"/>
  <c r="Y21" i="10"/>
  <c r="Z21" i="10" s="1"/>
  <c r="AX21" i="9"/>
  <c r="AP21" i="9" s="1"/>
  <c r="I7" i="15"/>
  <c r="H162" i="6"/>
  <c r="H167" i="6"/>
  <c r="H164" i="6"/>
  <c r="H170" i="6"/>
  <c r="H161" i="6"/>
  <c r="M165" i="6"/>
  <c r="H163" i="6"/>
  <c r="H169" i="6"/>
  <c r="E57" i="7" s="1"/>
  <c r="O10" i="4"/>
  <c r="T10" i="4" s="1"/>
  <c r="F29" i="2" s="1"/>
  <c r="H36" i="7" s="1"/>
  <c r="Z15" i="10"/>
  <c r="K187" i="5"/>
  <c r="F49" i="2" s="1"/>
  <c r="H59" i="7" s="1"/>
  <c r="K8" i="5"/>
  <c r="K7" i="5" s="1"/>
  <c r="J8" i="4"/>
  <c r="K8" i="4"/>
  <c r="O8" i="4"/>
  <c r="L8" i="4"/>
  <c r="W94" i="1"/>
  <c r="X94" i="1"/>
  <c r="E231" i="6"/>
  <c r="U94" i="1"/>
  <c r="X57" i="1"/>
  <c r="E67" i="6"/>
  <c r="U57" i="1"/>
  <c r="R233" i="6"/>
  <c r="C524" i="22"/>
  <c r="C626" i="22"/>
  <c r="C252" i="22"/>
  <c r="C190" i="22"/>
  <c r="D26" i="13"/>
  <c r="E431" i="22"/>
  <c r="E537" i="22"/>
  <c r="C537" i="22"/>
  <c r="E556" i="22"/>
  <c r="E269" i="22"/>
  <c r="C315" i="22"/>
  <c r="C431" i="22"/>
  <c r="E10" i="22"/>
  <c r="C44" i="22"/>
  <c r="C31" i="22"/>
  <c r="C519" i="22"/>
  <c r="C471" i="22"/>
  <c r="E597" i="22"/>
  <c r="C597" i="22"/>
  <c r="C247" i="22"/>
  <c r="E168" i="22"/>
  <c r="C270" i="22"/>
  <c r="E339" i="22"/>
  <c r="C45" i="22"/>
  <c r="E60" i="22"/>
  <c r="Y14" i="10"/>
  <c r="Z14" i="10" s="1"/>
  <c r="I20" i="7"/>
  <c r="K17" i="5"/>
  <c r="K16" i="5" s="1"/>
  <c r="C764" i="22"/>
  <c r="C751" i="22"/>
  <c r="E518" i="22"/>
  <c r="E493" i="22"/>
  <c r="E210" i="22"/>
  <c r="C269" i="22"/>
  <c r="E407" i="22"/>
  <c r="C338" i="22"/>
  <c r="C167" i="22"/>
  <c r="C10" i="22"/>
  <c r="Y7" i="10"/>
  <c r="Z7" i="10" s="1"/>
  <c r="G27" i="7"/>
  <c r="L27" i="7"/>
  <c r="E23" i="9"/>
  <c r="E751" i="22"/>
  <c r="C736" i="22"/>
  <c r="E470" i="22"/>
  <c r="C407" i="22"/>
  <c r="E197" i="22"/>
  <c r="C210" i="22"/>
  <c r="C381" i="22"/>
  <c r="E293" i="22"/>
  <c r="C152" i="22"/>
  <c r="D20" i="13"/>
  <c r="E23" i="10"/>
  <c r="AA23" i="10" s="1"/>
  <c r="M27" i="6"/>
  <c r="H26" i="6"/>
  <c r="E28" i="7" s="1"/>
  <c r="K173" i="5"/>
  <c r="K167" i="5" s="1"/>
  <c r="F47" i="2" s="1"/>
  <c r="H57" i="7" s="1"/>
  <c r="K143" i="5"/>
  <c r="K138" i="5"/>
  <c r="K85" i="5"/>
  <c r="K79" i="5" s="1"/>
  <c r="F38" i="2" s="1"/>
  <c r="O11" i="4"/>
  <c r="J11" i="4"/>
  <c r="U90" i="1"/>
  <c r="V90" i="1"/>
  <c r="E217" i="6"/>
  <c r="X90" i="1"/>
  <c r="W90" i="1"/>
  <c r="C742" i="22"/>
  <c r="C649" i="22"/>
  <c r="C437" i="22"/>
  <c r="C299" i="22"/>
  <c r="E736" i="22"/>
  <c r="E712" i="22"/>
  <c r="C444" i="22"/>
  <c r="C518" i="22"/>
  <c r="E184" i="22"/>
  <c r="C197" i="22"/>
  <c r="C362" i="22"/>
  <c r="C246" i="22"/>
  <c r="E44" i="22"/>
  <c r="E765" i="22"/>
  <c r="E752" i="22"/>
  <c r="C737" i="22"/>
  <c r="E519" i="22"/>
  <c r="C294" i="22"/>
  <c r="C445" i="22"/>
  <c r="C185" i="22"/>
  <c r="E153" i="22"/>
  <c r="G21" i="13"/>
  <c r="H82" i="18"/>
  <c r="H87" i="18" s="1"/>
  <c r="H8" i="15"/>
  <c r="H20" i="15" s="1"/>
  <c r="Y16" i="10"/>
  <c r="Z16" i="10" s="1"/>
  <c r="P33" i="7"/>
  <c r="Q33" i="7"/>
  <c r="Y25" i="10"/>
  <c r="Z25" i="10" s="1"/>
  <c r="AX25" i="9"/>
  <c r="AP25" i="9" s="1"/>
  <c r="H148" i="6"/>
  <c r="H155" i="6"/>
  <c r="H147" i="6"/>
  <c r="R8" i="4"/>
  <c r="V36" i="1"/>
  <c r="W36" i="1"/>
  <c r="X36" i="1"/>
  <c r="U36" i="1"/>
  <c r="E7" i="7"/>
  <c r="I41" i="7"/>
  <c r="I8" i="7"/>
  <c r="E171" i="6"/>
  <c r="H95" i="6"/>
  <c r="X110" i="1"/>
  <c r="X105" i="1"/>
  <c r="W85" i="1"/>
  <c r="U81" i="1"/>
  <c r="V61" i="1"/>
  <c r="X39" i="1"/>
  <c r="V32" i="1"/>
  <c r="G8" i="7"/>
  <c r="R8" i="7" s="1"/>
  <c r="H142" i="6"/>
  <c r="H139" i="6"/>
  <c r="E26" i="7" s="1"/>
  <c r="Y22" i="10"/>
  <c r="Z22" i="10" s="1"/>
  <c r="H257" i="6"/>
  <c r="E196" i="6"/>
  <c r="H48" i="6"/>
  <c r="E44" i="7" s="1"/>
  <c r="O9" i="4"/>
  <c r="T9" i="4" s="1"/>
  <c r="F28" i="2" s="1"/>
  <c r="H35" i="7" s="1"/>
  <c r="X103" i="1"/>
  <c r="V98" i="1"/>
  <c r="W69" i="1"/>
  <c r="W47" i="1"/>
  <c r="M131" i="6"/>
  <c r="H121" i="6"/>
  <c r="E81" i="6"/>
  <c r="H42" i="6"/>
  <c r="E34" i="7" s="1"/>
  <c r="W103" i="1"/>
  <c r="U98" i="1"/>
  <c r="X81" i="1"/>
  <c r="V69" i="1"/>
  <c r="X65" i="1"/>
  <c r="X61" i="1"/>
  <c r="V47" i="1"/>
  <c r="X32" i="1"/>
  <c r="K56" i="7" l="1"/>
  <c r="L56" i="7" s="1"/>
  <c r="I56" i="7"/>
  <c r="O56" i="7"/>
  <c r="O50" i="7"/>
  <c r="K50" i="7"/>
  <c r="L50" i="7" s="1"/>
  <c r="K49" i="7"/>
  <c r="L49" i="7" s="1"/>
  <c r="O49" i="7"/>
  <c r="F122" i="22" s="1"/>
  <c r="H122" i="22" s="1"/>
  <c r="H121" i="22" s="1"/>
  <c r="H14" i="25" s="1"/>
  <c r="N60" i="7"/>
  <c r="G60" i="7"/>
  <c r="K44" i="7"/>
  <c r="O44" i="7"/>
  <c r="P264" i="6"/>
  <c r="P124" i="6"/>
  <c r="H55" i="7"/>
  <c r="I53" i="7"/>
  <c r="G53" i="7"/>
  <c r="N53" i="7"/>
  <c r="F51" i="2"/>
  <c r="F50" i="2"/>
  <c r="H60" i="7" s="1"/>
  <c r="O47" i="7"/>
  <c r="K47" i="7"/>
  <c r="L47" i="7" s="1"/>
  <c r="X119" i="1"/>
  <c r="H15" i="13" s="1"/>
  <c r="U119" i="1"/>
  <c r="I8" i="15"/>
  <c r="F698" i="22"/>
  <c r="H698" i="22" s="1"/>
  <c r="K62" i="5"/>
  <c r="F36" i="2" s="1"/>
  <c r="H46" i="7" s="1"/>
  <c r="H116" i="6"/>
  <c r="H118" i="6"/>
  <c r="M119" i="6"/>
  <c r="H123" i="6"/>
  <c r="H117" i="6"/>
  <c r="N124" i="6"/>
  <c r="O51" i="7"/>
  <c r="K51" i="7"/>
  <c r="L51" i="7" s="1"/>
  <c r="K9" i="5"/>
  <c r="H762" i="22"/>
  <c r="F50" i="25"/>
  <c r="Q12" i="7"/>
  <c r="F548" i="22"/>
  <c r="H548" i="22" s="1"/>
  <c r="F221" i="22"/>
  <c r="H221" i="22" s="1"/>
  <c r="G54" i="7"/>
  <c r="N54" i="7"/>
  <c r="Q246" i="6"/>
  <c r="Q269" i="6"/>
  <c r="Q96" i="6"/>
  <c r="Q129" i="6"/>
  <c r="Q163" i="6"/>
  <c r="K43" i="7"/>
  <c r="O43" i="7"/>
  <c r="F69" i="22"/>
  <c r="H69" i="22" s="1"/>
  <c r="H68" i="22" s="1"/>
  <c r="Q7" i="7"/>
  <c r="Q234" i="6"/>
  <c r="Q117" i="6"/>
  <c r="Q257" i="6"/>
  <c r="Q174" i="6"/>
  <c r="Q288" i="6"/>
  <c r="AY20" i="9"/>
  <c r="Q84" i="6"/>
  <c r="T24" i="7"/>
  <c r="M24" i="7" s="1"/>
  <c r="O24" i="7" s="1"/>
  <c r="Q148" i="6"/>
  <c r="F32" i="25"/>
  <c r="H442" i="22"/>
  <c r="Q77" i="6"/>
  <c r="O78" i="6" s="1"/>
  <c r="Q227" i="6"/>
  <c r="O228" i="6" s="1"/>
  <c r="T10" i="7"/>
  <c r="M10" i="7" s="1"/>
  <c r="O10" i="7" s="1"/>
  <c r="AY6" i="9"/>
  <c r="H44" i="22"/>
  <c r="H47" i="22" s="1"/>
  <c r="H45" i="22"/>
  <c r="H46" i="22"/>
  <c r="F547" i="22"/>
  <c r="H547" i="22" s="1"/>
  <c r="F220" i="22"/>
  <c r="H220" i="22" s="1"/>
  <c r="Q13" i="7"/>
  <c r="H53" i="7"/>
  <c r="P216" i="6"/>
  <c r="G47" i="7"/>
  <c r="N47" i="7"/>
  <c r="N49" i="7"/>
  <c r="G49" i="7"/>
  <c r="I49" i="7"/>
  <c r="G50" i="7"/>
  <c r="N50" i="7"/>
  <c r="N23" i="6"/>
  <c r="H17" i="6"/>
  <c r="E14" i="7" s="1"/>
  <c r="M18" i="6"/>
  <c r="H20" i="6"/>
  <c r="T16" i="7"/>
  <c r="M16" i="7" s="1"/>
  <c r="AY12" i="9"/>
  <c r="N20" i="7"/>
  <c r="G20" i="7"/>
  <c r="L20" i="7"/>
  <c r="E6" i="10"/>
  <c r="AA6" i="10" s="1"/>
  <c r="G10" i="7"/>
  <c r="P10" i="7"/>
  <c r="R10" i="7" s="1"/>
  <c r="I10" i="7"/>
  <c r="L10" i="7"/>
  <c r="Q303" i="6"/>
  <c r="Q200" i="6"/>
  <c r="I47" i="7"/>
  <c r="K137" i="5"/>
  <c r="K136" i="5" s="1"/>
  <c r="F44" i="2" s="1"/>
  <c r="AY13" i="9"/>
  <c r="I50" i="7"/>
  <c r="E16" i="10"/>
  <c r="T17" i="7"/>
  <c r="M17" i="7" s="1"/>
  <c r="O17" i="7" s="1"/>
  <c r="F724" i="22" s="1"/>
  <c r="H724" i="22" s="1"/>
  <c r="F7" i="22"/>
  <c r="H7" i="22" s="1"/>
  <c r="H6" i="22" s="1"/>
  <c r="P40" i="7"/>
  <c r="R40" i="7" s="1"/>
  <c r="Q40" i="7"/>
  <c r="I51" i="7"/>
  <c r="T11" i="7"/>
  <c r="M11" i="7" s="1"/>
  <c r="O11" i="7" s="1"/>
  <c r="Q245" i="6"/>
  <c r="Q95" i="6"/>
  <c r="AY7" i="9"/>
  <c r="Q128" i="6"/>
  <c r="Q162" i="6"/>
  <c r="Q268" i="6"/>
  <c r="Q302" i="6"/>
  <c r="Q199" i="6"/>
  <c r="O36" i="7"/>
  <c r="K36" i="7"/>
  <c r="Q37" i="6"/>
  <c r="T22" i="7"/>
  <c r="M22" i="7" s="1"/>
  <c r="AY18" i="9"/>
  <c r="AZ18" i="9" s="1"/>
  <c r="AW18" i="9"/>
  <c r="N57" i="7"/>
  <c r="G57" i="7"/>
  <c r="I57" i="7"/>
  <c r="G34" i="7"/>
  <c r="Q201" i="6"/>
  <c r="Q304" i="6"/>
  <c r="T19" i="7"/>
  <c r="M19" i="7" s="1"/>
  <c r="O19" i="7" s="1"/>
  <c r="Q130" i="6"/>
  <c r="Q164" i="6"/>
  <c r="Q97" i="6"/>
  <c r="AY15" i="9"/>
  <c r="Q247" i="6"/>
  <c r="Q270" i="6"/>
  <c r="G28" i="7"/>
  <c r="I28" i="7"/>
  <c r="E24" i="9"/>
  <c r="E24" i="10"/>
  <c r="AA24" i="10" s="1"/>
  <c r="L28" i="7"/>
  <c r="T26" i="7"/>
  <c r="M26" i="7" s="1"/>
  <c r="O26" i="7" s="1"/>
  <c r="AY22" i="9"/>
  <c r="P158" i="6"/>
  <c r="F136" i="22"/>
  <c r="H136" i="22" s="1"/>
  <c r="Q20" i="7"/>
  <c r="P20" i="7"/>
  <c r="W119" i="1"/>
  <c r="H11" i="13" s="1"/>
  <c r="Q41" i="7"/>
  <c r="F56" i="22"/>
  <c r="H56" i="22" s="1"/>
  <c r="H55" i="22" s="1"/>
  <c r="AY10" i="9"/>
  <c r="Q8" i="6"/>
  <c r="O9" i="6" s="1"/>
  <c r="Q17" i="6"/>
  <c r="O18" i="6" s="1"/>
  <c r="T14" i="7"/>
  <c r="M14" i="7" s="1"/>
  <c r="F616" i="22"/>
  <c r="H616" i="22" s="1"/>
  <c r="Q52" i="7"/>
  <c r="F358" i="22"/>
  <c r="H358" i="22" s="1"/>
  <c r="F663" i="22"/>
  <c r="H663" i="22" s="1"/>
  <c r="F289" i="22"/>
  <c r="H289" i="22" s="1"/>
  <c r="F427" i="22"/>
  <c r="H427" i="22" s="1"/>
  <c r="F513" i="22"/>
  <c r="H513" i="22" s="1"/>
  <c r="F732" i="22"/>
  <c r="H732" i="22" s="1"/>
  <c r="F147" i="22"/>
  <c r="H147" i="22" s="1"/>
  <c r="Q44" i="7"/>
  <c r="P298" i="6"/>
  <c r="H238" i="6"/>
  <c r="H235" i="6"/>
  <c r="H234" i="6"/>
  <c r="H233" i="6"/>
  <c r="M236" i="6"/>
  <c r="H240" i="6"/>
  <c r="P241" i="6"/>
  <c r="N241" i="6"/>
  <c r="O59" i="7"/>
  <c r="K59" i="7"/>
  <c r="I26" i="7"/>
  <c r="E22" i="10"/>
  <c r="AA22" i="10" s="1"/>
  <c r="E22" i="9"/>
  <c r="G26" i="7"/>
  <c r="L26" i="7"/>
  <c r="N26" i="7"/>
  <c r="AU25" i="9"/>
  <c r="AV25" i="9" s="1"/>
  <c r="K35" i="7"/>
  <c r="O35" i="7"/>
  <c r="T11" i="4"/>
  <c r="F30" i="2" s="1"/>
  <c r="H37" i="7" s="1"/>
  <c r="Q49" i="7"/>
  <c r="P49" i="7"/>
  <c r="R49" i="7" s="1"/>
  <c r="H83" i="6"/>
  <c r="H84" i="6"/>
  <c r="H88" i="6"/>
  <c r="H85" i="6"/>
  <c r="H90" i="6"/>
  <c r="N91" i="6"/>
  <c r="M86" i="6"/>
  <c r="P91" i="6"/>
  <c r="I20" i="15"/>
  <c r="Q71" i="6"/>
  <c r="Q221" i="6"/>
  <c r="T18" i="7"/>
  <c r="M18" i="7" s="1"/>
  <c r="O18" i="7" s="1"/>
  <c r="AY14" i="9"/>
  <c r="P27" i="7"/>
  <c r="R27" i="7" s="1"/>
  <c r="Q27" i="7"/>
  <c r="F303" i="22"/>
  <c r="H303" i="22" s="1"/>
  <c r="P58" i="7"/>
  <c r="R58" i="7" s="1"/>
  <c r="Q58" i="7"/>
  <c r="F180" i="22"/>
  <c r="H180" i="22" s="1"/>
  <c r="Q176" i="6"/>
  <c r="T23" i="7"/>
  <c r="M23" i="7" s="1"/>
  <c r="O23" i="7" s="1"/>
  <c r="Q150" i="6"/>
  <c r="Q258" i="6"/>
  <c r="Q118" i="6"/>
  <c r="Q290" i="6"/>
  <c r="Q235" i="6"/>
  <c r="Q85" i="6"/>
  <c r="AY19" i="9"/>
  <c r="N44" i="7"/>
  <c r="G44" i="7"/>
  <c r="L44" i="7"/>
  <c r="I44" i="7"/>
  <c r="P44" i="7"/>
  <c r="V119" i="1"/>
  <c r="R33" i="7"/>
  <c r="H200" i="6"/>
  <c r="H206" i="6"/>
  <c r="E43" i="7" s="1"/>
  <c r="H199" i="6"/>
  <c r="E11" i="7" s="1"/>
  <c r="H204" i="6"/>
  <c r="E36" i="7" s="1"/>
  <c r="H198" i="6"/>
  <c r="E29" i="7" s="1"/>
  <c r="M202" i="6"/>
  <c r="N208" i="6"/>
  <c r="H201" i="6"/>
  <c r="E19" i="7" s="1"/>
  <c r="P208" i="6"/>
  <c r="H207" i="6"/>
  <c r="E52" i="7" s="1"/>
  <c r="AW6" i="9"/>
  <c r="AZ6" i="9"/>
  <c r="T28" i="7"/>
  <c r="M28" i="7" s="1"/>
  <c r="O28" i="7" s="1"/>
  <c r="AY24" i="9"/>
  <c r="Q26" i="6"/>
  <c r="O27" i="6" s="1"/>
  <c r="P50" i="7"/>
  <c r="R50" i="7" s="1"/>
  <c r="Q50" i="7"/>
  <c r="F164" i="22"/>
  <c r="H164" i="22" s="1"/>
  <c r="H163" i="22" s="1"/>
  <c r="H17" i="25" s="1"/>
  <c r="Q47" i="7"/>
  <c r="F144" i="22"/>
  <c r="H144" i="22" s="1"/>
  <c r="P47" i="7"/>
  <c r="R47" i="7" s="1"/>
  <c r="H179" i="6"/>
  <c r="H174" i="6"/>
  <c r="H182" i="6"/>
  <c r="E59" i="7" s="1"/>
  <c r="M177" i="6"/>
  <c r="H173" i="6"/>
  <c r="H181" i="6"/>
  <c r="N184" i="6"/>
  <c r="H175" i="6"/>
  <c r="E15" i="7" s="1"/>
  <c r="P184" i="6"/>
  <c r="H176" i="6"/>
  <c r="H183" i="6"/>
  <c r="E45" i="7" s="1"/>
  <c r="P195" i="6"/>
  <c r="H48" i="7"/>
  <c r="I48" i="7" s="1"/>
  <c r="H69" i="6"/>
  <c r="H70" i="6"/>
  <c r="H74" i="6"/>
  <c r="E35" i="7" s="1"/>
  <c r="H71" i="6"/>
  <c r="M72" i="6"/>
  <c r="O72" i="6"/>
  <c r="E17" i="7"/>
  <c r="AA16" i="10"/>
  <c r="AZ23" i="9"/>
  <c r="AW23" i="9"/>
  <c r="T8" i="4"/>
  <c r="F27" i="2" s="1"/>
  <c r="H34" i="7" s="1"/>
  <c r="AZ16" i="9"/>
  <c r="AW16" i="9"/>
  <c r="F145" i="22"/>
  <c r="H145" i="22" s="1"/>
  <c r="P61" i="7"/>
  <c r="R61" i="7" s="1"/>
  <c r="Q61" i="7"/>
  <c r="G48" i="7"/>
  <c r="N48" i="7"/>
  <c r="P23" i="6"/>
  <c r="H54" i="7"/>
  <c r="P14" i="6"/>
  <c r="G7" i="7"/>
  <c r="I7" i="7"/>
  <c r="N7" i="7"/>
  <c r="P7" i="7"/>
  <c r="L7" i="7"/>
  <c r="P41" i="7"/>
  <c r="K6" i="5"/>
  <c r="F32" i="2" s="1"/>
  <c r="H42" i="7" s="1"/>
  <c r="Q56" i="7"/>
  <c r="F143" i="22"/>
  <c r="H143" i="22" s="1"/>
  <c r="P56" i="7"/>
  <c r="R56" i="7" s="1"/>
  <c r="H7" i="13"/>
  <c r="H221" i="6"/>
  <c r="M222" i="6"/>
  <c r="H220" i="6"/>
  <c r="H224" i="6"/>
  <c r="H219" i="6"/>
  <c r="O222" i="6"/>
  <c r="K57" i="7"/>
  <c r="L57" i="7" s="1"/>
  <c r="O57" i="7"/>
  <c r="P57" i="7" s="1"/>
  <c r="R57" i="7" s="1"/>
  <c r="AU21" i="9"/>
  <c r="AV21" i="9" s="1"/>
  <c r="Q39" i="6"/>
  <c r="T21" i="7"/>
  <c r="M21" i="7" s="1"/>
  <c r="AY17" i="9"/>
  <c r="AZ17" i="9" s="1"/>
  <c r="AW17" i="9"/>
  <c r="F419" i="22"/>
  <c r="H419" i="22" s="1"/>
  <c r="F608" i="22"/>
  <c r="H608" i="22" s="1"/>
  <c r="F655" i="22"/>
  <c r="H655" i="22" s="1"/>
  <c r="Q17" i="7"/>
  <c r="F505" i="22"/>
  <c r="H505" i="22" s="1"/>
  <c r="F281" i="22"/>
  <c r="H281" i="22" s="1"/>
  <c r="F350" i="22"/>
  <c r="H350" i="22" s="1"/>
  <c r="AZ12" i="9"/>
  <c r="AW12" i="9"/>
  <c r="Q45" i="7"/>
  <c r="F402" i="22"/>
  <c r="H402" i="22" s="1"/>
  <c r="F488" i="22"/>
  <c r="H488" i="22" s="1"/>
  <c r="F465" i="22"/>
  <c r="H465" i="22" s="1"/>
  <c r="F707" i="22"/>
  <c r="H707" i="22" s="1"/>
  <c r="O55" i="7"/>
  <c r="K55" i="7"/>
  <c r="H766" i="22" l="1"/>
  <c r="H765" i="22"/>
  <c r="H764" i="22"/>
  <c r="H767" i="22" s="1"/>
  <c r="H768" i="22"/>
  <c r="H769" i="22" s="1"/>
  <c r="H770" i="22" s="1"/>
  <c r="H771" i="22" s="1"/>
  <c r="I50" i="25" s="1"/>
  <c r="J50" i="25" s="1"/>
  <c r="I14" i="7"/>
  <c r="G14" i="7"/>
  <c r="E10" i="10"/>
  <c r="L14" i="7"/>
  <c r="E10" i="9"/>
  <c r="K60" i="7"/>
  <c r="L60" i="7" s="1"/>
  <c r="O60" i="7"/>
  <c r="F455" i="22"/>
  <c r="H455" i="22" s="1"/>
  <c r="Q24" i="7"/>
  <c r="F584" i="22"/>
  <c r="H584" i="22" s="1"/>
  <c r="F697" i="22"/>
  <c r="H697" i="22" s="1"/>
  <c r="F326" i="22"/>
  <c r="H326" i="22" s="1"/>
  <c r="F257" i="22"/>
  <c r="H257" i="22" s="1"/>
  <c r="F631" i="22"/>
  <c r="H631" i="22" s="1"/>
  <c r="F392" i="22"/>
  <c r="H392" i="22" s="1"/>
  <c r="F10" i="25"/>
  <c r="H70" i="22"/>
  <c r="I46" i="7"/>
  <c r="O46" i="7"/>
  <c r="K46" i="7"/>
  <c r="L46" i="7" s="1"/>
  <c r="H48" i="22"/>
  <c r="H49" i="22" s="1"/>
  <c r="E55" i="7"/>
  <c r="H6" i="25"/>
  <c r="H8" i="22"/>
  <c r="O53" i="7"/>
  <c r="K53" i="7"/>
  <c r="L53" i="7" s="1"/>
  <c r="Q10" i="7"/>
  <c r="F239" i="22"/>
  <c r="H239" i="22" s="1"/>
  <c r="F566" i="22"/>
  <c r="H566" i="22" s="1"/>
  <c r="F567" i="22" s="1"/>
  <c r="H567" i="22" s="1"/>
  <c r="H568" i="22" s="1"/>
  <c r="H565" i="22" s="1"/>
  <c r="F40" i="25" s="1"/>
  <c r="F528" i="22"/>
  <c r="H528" i="22" s="1"/>
  <c r="H527" i="22" s="1"/>
  <c r="F37" i="25" s="1"/>
  <c r="Q43" i="7"/>
  <c r="F512" i="22"/>
  <c r="H512" i="22" s="1"/>
  <c r="F514" i="22" s="1"/>
  <c r="H514" i="22" s="1"/>
  <c r="H515" i="22" s="1"/>
  <c r="H511" i="22" s="1"/>
  <c r="H36" i="25" s="1"/>
  <c r="P51" i="7"/>
  <c r="R51" i="7" s="1"/>
  <c r="F179" i="22"/>
  <c r="H179" i="22" s="1"/>
  <c r="H181" i="22" s="1"/>
  <c r="H178" i="22" s="1"/>
  <c r="H18" i="25" s="1"/>
  <c r="Q51" i="7"/>
  <c r="M4" i="6"/>
  <c r="G30" i="7" s="1"/>
  <c r="N10" i="7"/>
  <c r="E18" i="7"/>
  <c r="E14" i="10" s="1"/>
  <c r="AA14" i="10" s="1"/>
  <c r="R44" i="7"/>
  <c r="R20" i="7"/>
  <c r="O16" i="7"/>
  <c r="N16" i="7"/>
  <c r="H444" i="22"/>
  <c r="H445" i="22"/>
  <c r="H446" i="22"/>
  <c r="H447" i="22" s="1"/>
  <c r="H448" i="22" s="1"/>
  <c r="H449" i="22" s="1"/>
  <c r="H450" i="22" s="1"/>
  <c r="H451" i="22" s="1"/>
  <c r="I32" i="25" s="1"/>
  <c r="J32" i="25" s="1"/>
  <c r="I60" i="7"/>
  <c r="N19" i="7"/>
  <c r="L19" i="7"/>
  <c r="P19" i="7"/>
  <c r="E15" i="9"/>
  <c r="I19" i="7"/>
  <c r="G19" i="7"/>
  <c r="E15" i="10"/>
  <c r="AA15" i="10" s="1"/>
  <c r="I11" i="7"/>
  <c r="N11" i="7"/>
  <c r="G11" i="7"/>
  <c r="L11" i="7"/>
  <c r="P11" i="7"/>
  <c r="E7" i="9"/>
  <c r="E7" i="10"/>
  <c r="AA7" i="10" s="1"/>
  <c r="I36" i="7"/>
  <c r="G36" i="7"/>
  <c r="L36" i="7"/>
  <c r="P36" i="7"/>
  <c r="Q161" i="6"/>
  <c r="O165" i="6" s="1"/>
  <c r="Q301" i="6"/>
  <c r="O305" i="6" s="1"/>
  <c r="Q198" i="6"/>
  <c r="O202" i="6" s="1"/>
  <c r="Q94" i="6"/>
  <c r="O98" i="6" s="1"/>
  <c r="Q244" i="6"/>
  <c r="O248" i="6" s="1"/>
  <c r="T29" i="7"/>
  <c r="M29" i="7" s="1"/>
  <c r="O29" i="7" s="1"/>
  <c r="Q127" i="6"/>
  <c r="O131" i="6" s="1"/>
  <c r="AY25" i="9"/>
  <c r="Q267" i="6"/>
  <c r="O271" i="6" s="1"/>
  <c r="L52" i="7"/>
  <c r="P52" i="7"/>
  <c r="R52" i="7" s="1"/>
  <c r="G52" i="7"/>
  <c r="N52" i="7"/>
  <c r="I52" i="7"/>
  <c r="N21" i="7"/>
  <c r="O21" i="7"/>
  <c r="R7" i="7"/>
  <c r="L18" i="7"/>
  <c r="P18" i="7"/>
  <c r="E14" i="9"/>
  <c r="I18" i="7"/>
  <c r="G18" i="7"/>
  <c r="Q19" i="7"/>
  <c r="F351" i="22"/>
  <c r="H351" i="22" s="1"/>
  <c r="F656" i="22"/>
  <c r="H656" i="22" s="1"/>
  <c r="F282" i="22"/>
  <c r="H282" i="22" s="1"/>
  <c r="F725" i="22"/>
  <c r="H725" i="22" s="1"/>
  <c r="F506" i="22"/>
  <c r="H506" i="22" s="1"/>
  <c r="F609" i="22"/>
  <c r="H609" i="22" s="1"/>
  <c r="F420" i="22"/>
  <c r="H420" i="22" s="1"/>
  <c r="F394" i="22"/>
  <c r="H394" i="22" s="1"/>
  <c r="F699" i="22"/>
  <c r="H699" i="22" s="1"/>
  <c r="F632" i="22"/>
  <c r="H632" i="22" s="1"/>
  <c r="Q23" i="7"/>
  <c r="F327" i="22"/>
  <c r="H327" i="22" s="1"/>
  <c r="F457" i="22"/>
  <c r="H457" i="22" s="1"/>
  <c r="F585" i="22"/>
  <c r="H585" i="22" s="1"/>
  <c r="F305" i="22"/>
  <c r="H305" i="22" s="1"/>
  <c r="F258" i="22"/>
  <c r="H258" i="22" s="1"/>
  <c r="N4" i="6"/>
  <c r="G62" i="7" s="1"/>
  <c r="Q59" i="7"/>
  <c r="F464" i="22"/>
  <c r="H464" i="22" s="1"/>
  <c r="F487" i="22"/>
  <c r="H487" i="22" s="1"/>
  <c r="F401" i="22"/>
  <c r="H401" i="22" s="1"/>
  <c r="F706" i="22"/>
  <c r="H706" i="22" s="1"/>
  <c r="Q26" i="7"/>
  <c r="F372" i="22"/>
  <c r="H372" i="22" s="1"/>
  <c r="F677" i="22"/>
  <c r="H677" i="22" s="1"/>
  <c r="F480" i="22"/>
  <c r="H480" i="22" s="1"/>
  <c r="O22" i="7"/>
  <c r="N22" i="7"/>
  <c r="O34" i="7"/>
  <c r="K34" i="7"/>
  <c r="L34" i="7" s="1"/>
  <c r="Q116" i="6"/>
  <c r="O119" i="6" s="1"/>
  <c r="Q147" i="6"/>
  <c r="O151" i="6" s="1"/>
  <c r="Q173" i="6"/>
  <c r="O177" i="6" s="1"/>
  <c r="Q83" i="6"/>
  <c r="O86" i="6" s="1"/>
  <c r="Q287" i="6"/>
  <c r="O291" i="6" s="1"/>
  <c r="T25" i="7"/>
  <c r="M25" i="7" s="1"/>
  <c r="O25" i="7" s="1"/>
  <c r="Q256" i="6"/>
  <c r="O259" i="6" s="1"/>
  <c r="Q233" i="6"/>
  <c r="O236" i="6" s="1"/>
  <c r="AY21" i="9"/>
  <c r="E12" i="7"/>
  <c r="E11" i="10"/>
  <c r="AA11" i="10" s="1"/>
  <c r="I15" i="7"/>
  <c r="G15" i="7"/>
  <c r="L15" i="7"/>
  <c r="P15" i="7"/>
  <c r="R15" i="7" s="1"/>
  <c r="E11" i="9"/>
  <c r="N15" i="7"/>
  <c r="Q28" i="7"/>
  <c r="F103" i="22"/>
  <c r="H103" i="22" s="1"/>
  <c r="Q18" i="7"/>
  <c r="F222" i="22"/>
  <c r="H222" i="22" s="1"/>
  <c r="F549" i="22"/>
  <c r="H549" i="22" s="1"/>
  <c r="G55" i="7"/>
  <c r="N55" i="7"/>
  <c r="P55" i="7"/>
  <c r="L55" i="7"/>
  <c r="I55" i="7"/>
  <c r="O40" i="6"/>
  <c r="G35" i="7"/>
  <c r="L35" i="7"/>
  <c r="I35" i="7"/>
  <c r="P35" i="7"/>
  <c r="G29" i="7"/>
  <c r="E25" i="9"/>
  <c r="I29" i="7"/>
  <c r="E25" i="10"/>
  <c r="AA25" i="10" s="1"/>
  <c r="L29" i="7"/>
  <c r="P29" i="7"/>
  <c r="R29" i="7" s="1"/>
  <c r="N29" i="7"/>
  <c r="E23" i="7"/>
  <c r="K37" i="7"/>
  <c r="O37" i="7"/>
  <c r="N14" i="7"/>
  <c r="O14" i="7"/>
  <c r="P28" i="7"/>
  <c r="R28" i="7" s="1"/>
  <c r="K48" i="7"/>
  <c r="L48" i="7" s="1"/>
  <c r="O48" i="7"/>
  <c r="E37" i="7"/>
  <c r="P26" i="7"/>
  <c r="R26" i="7" s="1"/>
  <c r="N28" i="7"/>
  <c r="Q36" i="7"/>
  <c r="F308" i="22"/>
  <c r="H308" i="22" s="1"/>
  <c r="H307" i="22" s="1"/>
  <c r="G25" i="25" s="1"/>
  <c r="F510" i="22"/>
  <c r="H510" i="22" s="1"/>
  <c r="H509" i="22" s="1"/>
  <c r="G36" i="25" s="1"/>
  <c r="F24" i="22"/>
  <c r="H24" i="22" s="1"/>
  <c r="H23" i="22" s="1"/>
  <c r="G7" i="25" s="1"/>
  <c r="F681" i="22"/>
  <c r="H681" i="22" s="1"/>
  <c r="H680" i="22" s="1"/>
  <c r="G45" i="25" s="1"/>
  <c r="F376" i="22"/>
  <c r="H376" i="22" s="1"/>
  <c r="H375" i="22" s="1"/>
  <c r="G29" i="25" s="1"/>
  <c r="F729" i="22"/>
  <c r="H729" i="22" s="1"/>
  <c r="H728" i="22" s="1"/>
  <c r="G47" i="25" s="1"/>
  <c r="F424" i="22"/>
  <c r="H424" i="22" s="1"/>
  <c r="H423" i="22" s="1"/>
  <c r="G31" i="25" s="1"/>
  <c r="F86" i="22"/>
  <c r="H86" i="22" s="1"/>
  <c r="H85" i="22" s="1"/>
  <c r="G11" i="25" s="1"/>
  <c r="F107" i="22"/>
  <c r="H107" i="22" s="1"/>
  <c r="H106" i="22" s="1"/>
  <c r="G12" i="25" s="1"/>
  <c r="F484" i="22"/>
  <c r="H484" i="22" s="1"/>
  <c r="H483" i="22" s="1"/>
  <c r="G35" i="25" s="1"/>
  <c r="E13" i="7"/>
  <c r="F662" i="22"/>
  <c r="H662" i="22" s="1"/>
  <c r="H664" i="22" s="1"/>
  <c r="H661" i="22" s="1"/>
  <c r="H44" i="25" s="1"/>
  <c r="F288" i="22"/>
  <c r="H288" i="22" s="1"/>
  <c r="H290" i="22" s="1"/>
  <c r="H287" i="22" s="1"/>
  <c r="H24" i="25" s="1"/>
  <c r="F615" i="22"/>
  <c r="H615" i="22" s="1"/>
  <c r="H617" i="22" s="1"/>
  <c r="H614" i="22" s="1"/>
  <c r="H42" i="25" s="1"/>
  <c r="F731" i="22"/>
  <c r="H731" i="22" s="1"/>
  <c r="H733" i="22" s="1"/>
  <c r="H730" i="22" s="1"/>
  <c r="H47" i="25" s="1"/>
  <c r="F357" i="22"/>
  <c r="H357" i="22" s="1"/>
  <c r="H359" i="22" s="1"/>
  <c r="H356" i="22" s="1"/>
  <c r="H27" i="25" s="1"/>
  <c r="F426" i="22"/>
  <c r="H426" i="22" s="1"/>
  <c r="H428" i="22" s="1"/>
  <c r="H425" i="22" s="1"/>
  <c r="H31" i="25" s="1"/>
  <c r="Q57" i="7"/>
  <c r="K42" i="7"/>
  <c r="L42" i="7" s="1"/>
  <c r="I42" i="7"/>
  <c r="O42" i="7"/>
  <c r="E24" i="7"/>
  <c r="F355" i="22"/>
  <c r="H355" i="22" s="1"/>
  <c r="H354" i="22" s="1"/>
  <c r="G27" i="25" s="1"/>
  <c r="F226" i="22"/>
  <c r="H226" i="22" s="1"/>
  <c r="H225" i="22" s="1"/>
  <c r="G21" i="25" s="1"/>
  <c r="F613" i="22"/>
  <c r="H613" i="22" s="1"/>
  <c r="H612" i="22" s="1"/>
  <c r="G42" i="25" s="1"/>
  <c r="F286" i="22"/>
  <c r="H286" i="22" s="1"/>
  <c r="H285" i="22" s="1"/>
  <c r="G24" i="25" s="1"/>
  <c r="F660" i="22"/>
  <c r="H660" i="22" s="1"/>
  <c r="H659" i="22" s="1"/>
  <c r="G44" i="25" s="1"/>
  <c r="F553" i="22"/>
  <c r="H553" i="22" s="1"/>
  <c r="H552" i="22" s="1"/>
  <c r="G39" i="25" s="1"/>
  <c r="Q35" i="7"/>
  <c r="AZ22" i="9"/>
  <c r="AW22" i="9"/>
  <c r="O4" i="6"/>
  <c r="P30" i="7" s="1"/>
  <c r="R30" i="7" s="1"/>
  <c r="I34" i="7"/>
  <c r="F280" i="22"/>
  <c r="H280" i="22" s="1"/>
  <c r="F654" i="22"/>
  <c r="H654" i="22" s="1"/>
  <c r="F418" i="22"/>
  <c r="H418" i="22" s="1"/>
  <c r="F607" i="22"/>
  <c r="H607" i="22" s="1"/>
  <c r="Q11" i="7"/>
  <c r="F349" i="22"/>
  <c r="H349" i="22" s="1"/>
  <c r="F504" i="22"/>
  <c r="H504" i="22" s="1"/>
  <c r="F723" i="22"/>
  <c r="H723" i="22" s="1"/>
  <c r="L17" i="7"/>
  <c r="G17" i="7"/>
  <c r="I17" i="7"/>
  <c r="N17" i="7"/>
  <c r="E13" i="10"/>
  <c r="AA13" i="10" s="1"/>
  <c r="P17" i="7"/>
  <c r="E13" i="9"/>
  <c r="P4" i="6"/>
  <c r="P62" i="7" s="1"/>
  <c r="R62" i="7" s="1"/>
  <c r="G43" i="7"/>
  <c r="N43" i="7"/>
  <c r="P43" i="7"/>
  <c r="R43" i="7" s="1"/>
  <c r="L43" i="7"/>
  <c r="I43" i="7"/>
  <c r="E25" i="7"/>
  <c r="Q55" i="7"/>
  <c r="F400" i="22"/>
  <c r="H400" i="22" s="1"/>
  <c r="F463" i="22"/>
  <c r="H463" i="22" s="1"/>
  <c r="F264" i="22"/>
  <c r="H264" i="22" s="1"/>
  <c r="F333" i="22"/>
  <c r="H333" i="22" s="1"/>
  <c r="F310" i="22"/>
  <c r="H310" i="22" s="1"/>
  <c r="F591" i="22"/>
  <c r="H591" i="22" s="1"/>
  <c r="F705" i="22"/>
  <c r="H705" i="22" s="1"/>
  <c r="F638" i="22"/>
  <c r="H638" i="22" s="1"/>
  <c r="R41" i="7"/>
  <c r="I54" i="7"/>
  <c r="K54" i="7"/>
  <c r="L54" i="7" s="1"/>
  <c r="O54" i="7"/>
  <c r="G45" i="7"/>
  <c r="N45" i="7"/>
  <c r="I45" i="7"/>
  <c r="L45" i="7"/>
  <c r="P45" i="7"/>
  <c r="G59" i="7"/>
  <c r="L59" i="7"/>
  <c r="I59" i="7"/>
  <c r="N59" i="7"/>
  <c r="P59" i="7"/>
  <c r="R59" i="7" s="1"/>
  <c r="H9" i="25"/>
  <c r="H57" i="22"/>
  <c r="AZ24" i="9"/>
  <c r="AW24" i="9"/>
  <c r="H50" i="22" l="1"/>
  <c r="H51" i="22" s="1"/>
  <c r="I8" i="25" s="1"/>
  <c r="J8" i="25" s="1"/>
  <c r="Q46" i="7"/>
  <c r="F148" i="22"/>
  <c r="H148" i="22" s="1"/>
  <c r="P46" i="7"/>
  <c r="R46" i="7" s="1"/>
  <c r="F304" i="22"/>
  <c r="H304" i="22" s="1"/>
  <c r="H306" i="22" s="1"/>
  <c r="H302" i="22" s="1"/>
  <c r="F25" i="25" s="1"/>
  <c r="F373" i="22"/>
  <c r="H373" i="22" s="1"/>
  <c r="H374" i="22" s="1"/>
  <c r="H371" i="22" s="1"/>
  <c r="F29" i="25" s="1"/>
  <c r="F481" i="22"/>
  <c r="H481" i="22" s="1"/>
  <c r="H482" i="22" s="1"/>
  <c r="H479" i="22" s="1"/>
  <c r="F35" i="25" s="1"/>
  <c r="F678" i="22"/>
  <c r="H678" i="22" s="1"/>
  <c r="Q16" i="7"/>
  <c r="P16" i="7"/>
  <c r="R16" i="7" s="1"/>
  <c r="F532" i="22"/>
  <c r="H532" i="22" s="1"/>
  <c r="F533" i="22" s="1"/>
  <c r="H533" i="22" s="1"/>
  <c r="H534" i="22" s="1"/>
  <c r="H531" i="22" s="1"/>
  <c r="H37" i="25" s="1"/>
  <c r="Q53" i="7"/>
  <c r="F748" i="22"/>
  <c r="H748" i="22" s="1"/>
  <c r="H747" i="22" s="1"/>
  <c r="H49" i="25" s="1"/>
  <c r="P53" i="7"/>
  <c r="R53" i="7" s="1"/>
  <c r="H12" i="22"/>
  <c r="H13" i="22" s="1"/>
  <c r="H11" i="22"/>
  <c r="H10" i="22"/>
  <c r="H14" i="22"/>
  <c r="H15" i="22" s="1"/>
  <c r="H74" i="22"/>
  <c r="H73" i="22"/>
  <c r="H72" i="22"/>
  <c r="H75" i="22" s="1"/>
  <c r="H679" i="22"/>
  <c r="H676" i="22" s="1"/>
  <c r="P60" i="7"/>
  <c r="R60" i="7" s="1"/>
  <c r="F207" i="22"/>
  <c r="H207" i="22" s="1"/>
  <c r="H206" i="22" s="1"/>
  <c r="Q60" i="7"/>
  <c r="F194" i="22"/>
  <c r="H194" i="22" s="1"/>
  <c r="H193" i="22" s="1"/>
  <c r="N18" i="7"/>
  <c r="F240" i="22"/>
  <c r="H240" i="22" s="1"/>
  <c r="H241" i="22" s="1"/>
  <c r="H238" i="22" s="1"/>
  <c r="F22" i="25" s="1"/>
  <c r="AW10" i="9"/>
  <c r="AZ10" i="9"/>
  <c r="R11" i="7"/>
  <c r="F403" i="22"/>
  <c r="H403" i="22" s="1"/>
  <c r="H404" i="22" s="1"/>
  <c r="H399" i="22" s="1"/>
  <c r="H30" i="25" s="1"/>
  <c r="N63" i="7"/>
  <c r="H59" i="22"/>
  <c r="H61" i="22"/>
  <c r="H60" i="22"/>
  <c r="H266" i="22"/>
  <c r="H263" i="22" s="1"/>
  <c r="H23" i="25" s="1"/>
  <c r="F265" i="22"/>
  <c r="H265" i="22" s="1"/>
  <c r="F683" i="22"/>
  <c r="H683" i="22" s="1"/>
  <c r="H682" i="22" s="1"/>
  <c r="H45" i="25" s="1"/>
  <c r="Q48" i="7"/>
  <c r="F486" i="22"/>
  <c r="H486" i="22" s="1"/>
  <c r="F311" i="22"/>
  <c r="H311" i="22" s="1"/>
  <c r="H312" i="22" s="1"/>
  <c r="H309" i="22" s="1"/>
  <c r="H25" i="25" s="1"/>
  <c r="F378" i="22"/>
  <c r="H378" i="22" s="1"/>
  <c r="H377" i="22" s="1"/>
  <c r="H29" i="25" s="1"/>
  <c r="P48" i="7"/>
  <c r="R48" i="7" s="1"/>
  <c r="R35" i="7"/>
  <c r="R55" i="7"/>
  <c r="F606" i="22"/>
  <c r="H606" i="22" s="1"/>
  <c r="F503" i="22"/>
  <c r="H503" i="22" s="1"/>
  <c r="Q29" i="7"/>
  <c r="F653" i="22"/>
  <c r="H653" i="22" s="1"/>
  <c r="F279" i="22"/>
  <c r="H279" i="22" s="1"/>
  <c r="F417" i="22"/>
  <c r="H417" i="22" s="1"/>
  <c r="F722" i="22"/>
  <c r="H722" i="22" s="1"/>
  <c r="F348" i="22"/>
  <c r="H348" i="22" s="1"/>
  <c r="AW11" i="9"/>
  <c r="AZ11" i="9"/>
  <c r="F466" i="22"/>
  <c r="H466" i="22" s="1"/>
  <c r="H467" i="22" s="1"/>
  <c r="H462" i="22" s="1"/>
  <c r="H34" i="25" s="1"/>
  <c r="F550" i="22"/>
  <c r="H550" i="22" s="1"/>
  <c r="H551" i="22" s="1"/>
  <c r="H546" i="22" s="1"/>
  <c r="F243" i="22"/>
  <c r="H243" i="22" s="1"/>
  <c r="H242" i="22" s="1"/>
  <c r="F746" i="22"/>
  <c r="H746" i="22" s="1"/>
  <c r="H745" i="22" s="1"/>
  <c r="F530" i="22"/>
  <c r="H530" i="22" s="1"/>
  <c r="H529" i="22" s="1"/>
  <c r="F141" i="22"/>
  <c r="H141" i="22" s="1"/>
  <c r="H140" i="22" s="1"/>
  <c r="G16" i="25" s="1"/>
  <c r="F570" i="22"/>
  <c r="H570" i="22" s="1"/>
  <c r="H569" i="22" s="1"/>
  <c r="F162" i="22"/>
  <c r="H162" i="22" s="1"/>
  <c r="H161" i="22" s="1"/>
  <c r="Q34" i="7"/>
  <c r="F177" i="22"/>
  <c r="H177" i="22" s="1"/>
  <c r="H176" i="22" s="1"/>
  <c r="F120" i="22"/>
  <c r="H120" i="22" s="1"/>
  <c r="H119" i="22" s="1"/>
  <c r="P34" i="7"/>
  <c r="AZ7" i="9"/>
  <c r="AW7" i="9"/>
  <c r="F223" i="22"/>
  <c r="H223" i="22" s="1"/>
  <c r="H224" i="22" s="1"/>
  <c r="H219" i="22" s="1"/>
  <c r="Q25" i="7"/>
  <c r="F391" i="22"/>
  <c r="H391" i="22" s="1"/>
  <c r="F696" i="22"/>
  <c r="H696" i="22" s="1"/>
  <c r="F454" i="22"/>
  <c r="H454" i="22" s="1"/>
  <c r="F256" i="22"/>
  <c r="H256" i="22" s="1"/>
  <c r="F630" i="22"/>
  <c r="H630" i="22" s="1"/>
  <c r="F583" i="22"/>
  <c r="H583" i="22" s="1"/>
  <c r="F325" i="22"/>
  <c r="H325" i="22" s="1"/>
  <c r="Q21" i="7"/>
  <c r="P21" i="7"/>
  <c r="R21" i="7" s="1"/>
  <c r="F137" i="22"/>
  <c r="H137" i="22" s="1"/>
  <c r="AW15" i="9"/>
  <c r="AZ15" i="9"/>
  <c r="AW25" i="9"/>
  <c r="AZ25" i="9"/>
  <c r="Q22" i="7"/>
  <c r="P22" i="7"/>
  <c r="R22" i="7" s="1"/>
  <c r="F135" i="22"/>
  <c r="H135" i="22" s="1"/>
  <c r="R19" i="7"/>
  <c r="F639" i="22"/>
  <c r="H639" i="22" s="1"/>
  <c r="H640" i="22" s="1"/>
  <c r="H637" i="22" s="1"/>
  <c r="H43" i="25" s="1"/>
  <c r="E20" i="9"/>
  <c r="E20" i="10"/>
  <c r="AA20" i="10" s="1"/>
  <c r="I24" i="7"/>
  <c r="L24" i="7"/>
  <c r="G24" i="7"/>
  <c r="N24" i="7"/>
  <c r="P24" i="7"/>
  <c r="R24" i="7" s="1"/>
  <c r="F82" i="22"/>
  <c r="H82" i="22" s="1"/>
  <c r="P14" i="7"/>
  <c r="R14" i="7" s="1"/>
  <c r="Q14" i="7"/>
  <c r="F20" i="22"/>
  <c r="H20" i="22" s="1"/>
  <c r="F708" i="22"/>
  <c r="H708" i="22" s="1"/>
  <c r="H709" i="22" s="1"/>
  <c r="H704" i="22" s="1"/>
  <c r="H46" i="25" s="1"/>
  <c r="G63" i="7"/>
  <c r="P42" i="7"/>
  <c r="F146" i="22"/>
  <c r="H146" i="22" s="1"/>
  <c r="H149" i="22" s="1"/>
  <c r="H142" i="22" s="1"/>
  <c r="H16" i="25" s="1"/>
  <c r="Q42" i="7"/>
  <c r="F262" i="22"/>
  <c r="H262" i="22" s="1"/>
  <c r="H261" i="22" s="1"/>
  <c r="G23" i="25" s="1"/>
  <c r="F331" i="22"/>
  <c r="H331" i="22" s="1"/>
  <c r="H330" i="22" s="1"/>
  <c r="G26" i="25" s="1"/>
  <c r="F703" i="22"/>
  <c r="H703" i="22" s="1"/>
  <c r="H702" i="22" s="1"/>
  <c r="G46" i="25" s="1"/>
  <c r="F636" i="22"/>
  <c r="H636" i="22" s="1"/>
  <c r="H635" i="22" s="1"/>
  <c r="G43" i="25" s="1"/>
  <c r="F398" i="22"/>
  <c r="H398" i="22" s="1"/>
  <c r="H397" i="22" s="1"/>
  <c r="G30" i="25" s="1"/>
  <c r="F589" i="22"/>
  <c r="H589" i="22" s="1"/>
  <c r="H588" i="22" s="1"/>
  <c r="G41" i="25" s="1"/>
  <c r="F461" i="22"/>
  <c r="H461" i="22" s="1"/>
  <c r="H460" i="22" s="1"/>
  <c r="G34" i="25" s="1"/>
  <c r="Q37" i="7"/>
  <c r="E21" i="10"/>
  <c r="AA21" i="10" s="1"/>
  <c r="I25" i="7"/>
  <c r="E21" i="9"/>
  <c r="L25" i="7"/>
  <c r="G25" i="7"/>
  <c r="N25" i="7"/>
  <c r="P25" i="7"/>
  <c r="AZ13" i="9"/>
  <c r="AW13" i="9"/>
  <c r="L63" i="7"/>
  <c r="F104" i="22"/>
  <c r="H104" i="22" s="1"/>
  <c r="H105" i="22" s="1"/>
  <c r="H102" i="22" s="1"/>
  <c r="AW14" i="9"/>
  <c r="AZ14" i="9"/>
  <c r="R36" i="7"/>
  <c r="F88" i="22"/>
  <c r="H88" i="22" s="1"/>
  <c r="Q54" i="7"/>
  <c r="F26" i="22"/>
  <c r="H26" i="22" s="1"/>
  <c r="P54" i="7"/>
  <c r="R54" i="7" s="1"/>
  <c r="F592" i="22"/>
  <c r="H592" i="22" s="1"/>
  <c r="H593" i="22"/>
  <c r="H590" i="22" s="1"/>
  <c r="H41" i="25" s="1"/>
  <c r="I63" i="7"/>
  <c r="R45" i="7"/>
  <c r="F334" i="22"/>
  <c r="H334" i="22" s="1"/>
  <c r="H335" i="22" s="1"/>
  <c r="H332" i="22" s="1"/>
  <c r="H26" i="25" s="1"/>
  <c r="R17" i="7"/>
  <c r="I13" i="7"/>
  <c r="E9" i="9"/>
  <c r="G13" i="7"/>
  <c r="E9" i="10"/>
  <c r="AA9" i="10" s="1"/>
  <c r="L13" i="7"/>
  <c r="P13" i="7"/>
  <c r="N13" i="7"/>
  <c r="P37" i="7"/>
  <c r="L37" i="7"/>
  <c r="L38" i="7" s="1"/>
  <c r="I37" i="7"/>
  <c r="I38" i="7" s="1"/>
  <c r="G37" i="7"/>
  <c r="G38" i="7" s="1"/>
  <c r="I23" i="7"/>
  <c r="G23" i="7"/>
  <c r="L23" i="7"/>
  <c r="E19" i="9"/>
  <c r="E19" i="10"/>
  <c r="AA19" i="10" s="1"/>
  <c r="N23" i="7"/>
  <c r="P23" i="7"/>
  <c r="E8" i="9"/>
  <c r="E8" i="10"/>
  <c r="AA8" i="10" s="1"/>
  <c r="G12" i="7"/>
  <c r="L12" i="7"/>
  <c r="I12" i="7"/>
  <c r="N12" i="7"/>
  <c r="P12" i="7"/>
  <c r="H684" i="22"/>
  <c r="F45" i="25"/>
  <c r="R18" i="7"/>
  <c r="R23" i="7" l="1"/>
  <c r="H19" i="25"/>
  <c r="H195" i="22"/>
  <c r="H76" i="22"/>
  <c r="H77" i="22" s="1"/>
  <c r="H208" i="22"/>
  <c r="H20" i="25"/>
  <c r="H16" i="22"/>
  <c r="H17" i="22" s="1"/>
  <c r="I6" i="25" s="1"/>
  <c r="J6" i="25" s="1"/>
  <c r="F39" i="25"/>
  <c r="H554" i="22"/>
  <c r="F259" i="22"/>
  <c r="H259" i="22" s="1"/>
  <c r="H260" i="22" s="1"/>
  <c r="H255" i="22" s="1"/>
  <c r="R42" i="7"/>
  <c r="R63" i="7" s="1"/>
  <c r="H16" i="13" s="1"/>
  <c r="H17" i="13" s="1"/>
  <c r="H14" i="13" s="1"/>
  <c r="P63" i="7"/>
  <c r="F458" i="22"/>
  <c r="H458" i="22" s="1"/>
  <c r="H459" i="22" s="1"/>
  <c r="H453" i="22" s="1"/>
  <c r="G37" i="25"/>
  <c r="H535" i="22"/>
  <c r="F507" i="22"/>
  <c r="H507" i="22" s="1"/>
  <c r="H508" i="22"/>
  <c r="H502" i="22" s="1"/>
  <c r="H62" i="22"/>
  <c r="AZ8" i="9"/>
  <c r="AW8" i="9"/>
  <c r="F27" i="22"/>
  <c r="H27" i="22" s="1"/>
  <c r="H28" i="22" s="1"/>
  <c r="H25" i="22" s="1"/>
  <c r="H7" i="25" s="1"/>
  <c r="F12" i="25"/>
  <c r="H108" i="22"/>
  <c r="H687" i="22"/>
  <c r="H686" i="22"/>
  <c r="H688" i="22"/>
  <c r="AW9" i="9"/>
  <c r="AZ9" i="9"/>
  <c r="AW21" i="9"/>
  <c r="AZ21" i="9"/>
  <c r="F700" i="22"/>
  <c r="H700" i="22" s="1"/>
  <c r="H701" i="22"/>
  <c r="H695" i="22" s="1"/>
  <c r="R34" i="7"/>
  <c r="P38" i="7"/>
  <c r="H749" i="22"/>
  <c r="G49" i="25"/>
  <c r="F610" i="22"/>
  <c r="H610" i="22" s="1"/>
  <c r="H611" i="22" s="1"/>
  <c r="H605" i="22" s="1"/>
  <c r="F489" i="22"/>
  <c r="H489" i="22" s="1"/>
  <c r="H490" i="22" s="1"/>
  <c r="H485" i="22" s="1"/>
  <c r="F138" i="22"/>
  <c r="H138" i="22" s="1"/>
  <c r="H139" i="22"/>
  <c r="H134" i="22" s="1"/>
  <c r="F395" i="22"/>
  <c r="H395" i="22" s="1"/>
  <c r="H396" i="22"/>
  <c r="H390" i="22" s="1"/>
  <c r="G14" i="25"/>
  <c r="H123" i="22"/>
  <c r="G22" i="25"/>
  <c r="H244" i="22"/>
  <c r="F352" i="22"/>
  <c r="H352" i="22" s="1"/>
  <c r="H353" i="22"/>
  <c r="H347" i="22" s="1"/>
  <c r="F89" i="22"/>
  <c r="H89" i="22" s="1"/>
  <c r="H90" i="22" s="1"/>
  <c r="H87" i="22" s="1"/>
  <c r="H11" i="25" s="1"/>
  <c r="N31" i="7"/>
  <c r="R37" i="7"/>
  <c r="F21" i="22"/>
  <c r="H21" i="22" s="1"/>
  <c r="H22" i="22"/>
  <c r="H19" i="22" s="1"/>
  <c r="H182" i="22"/>
  <c r="G18" i="25"/>
  <c r="F726" i="22"/>
  <c r="H726" i="22" s="1"/>
  <c r="H727" i="22" s="1"/>
  <c r="H721" i="22" s="1"/>
  <c r="H379" i="22"/>
  <c r="F328" i="22"/>
  <c r="H328" i="22" s="1"/>
  <c r="H329" i="22" s="1"/>
  <c r="H324" i="22" s="1"/>
  <c r="F421" i="22"/>
  <c r="H421" i="22" s="1"/>
  <c r="H422" i="22" s="1"/>
  <c r="H416" i="22" s="1"/>
  <c r="F283" i="22"/>
  <c r="H283" i="22" s="1"/>
  <c r="H284" i="22" s="1"/>
  <c r="H278" i="22" s="1"/>
  <c r="R12" i="7"/>
  <c r="P31" i="7"/>
  <c r="I31" i="7"/>
  <c r="AW19" i="9"/>
  <c r="AZ19" i="9"/>
  <c r="H227" i="22"/>
  <c r="F21" i="25"/>
  <c r="L31" i="7"/>
  <c r="R13" i="7"/>
  <c r="R25" i="7"/>
  <c r="AW20" i="9"/>
  <c r="AZ20" i="9"/>
  <c r="F586" i="22"/>
  <c r="H586" i="22" s="1"/>
  <c r="H587" i="22" s="1"/>
  <c r="H582" i="22" s="1"/>
  <c r="H165" i="22"/>
  <c r="G17" i="25"/>
  <c r="G31" i="7"/>
  <c r="F83" i="22"/>
  <c r="H83" i="22" s="1"/>
  <c r="H84" i="22"/>
  <c r="H81" i="22" s="1"/>
  <c r="F633" i="22"/>
  <c r="H633" i="22" s="1"/>
  <c r="H634" i="22" s="1"/>
  <c r="H629" i="22" s="1"/>
  <c r="G40" i="25"/>
  <c r="H571" i="22"/>
  <c r="F657" i="22"/>
  <c r="H657" i="22" s="1"/>
  <c r="H658" i="22" s="1"/>
  <c r="H652" i="22" s="1"/>
  <c r="H313" i="22"/>
  <c r="H78" i="22" l="1"/>
  <c r="H79" i="22"/>
  <c r="I10" i="25" s="1"/>
  <c r="J10" i="25" s="1"/>
  <c r="H210" i="22"/>
  <c r="H212" i="22"/>
  <c r="H211" i="22"/>
  <c r="H689" i="22"/>
  <c r="H199" i="22"/>
  <c r="H197" i="22"/>
  <c r="H200" i="22" s="1"/>
  <c r="H201" i="22" s="1"/>
  <c r="H202" i="22" s="1"/>
  <c r="H198" i="22"/>
  <c r="H665" i="22"/>
  <c r="F44" i="25"/>
  <c r="F24" i="25"/>
  <c r="H291" i="22"/>
  <c r="F42" i="25"/>
  <c r="H618" i="22"/>
  <c r="H734" i="22"/>
  <c r="F47" i="25"/>
  <c r="H35" i="25"/>
  <c r="H491" i="22"/>
  <c r="F23" i="25"/>
  <c r="H267" i="22"/>
  <c r="H594" i="22"/>
  <c r="F41" i="25"/>
  <c r="F7" i="25"/>
  <c r="H29" i="22"/>
  <c r="H468" i="22"/>
  <c r="F34" i="25"/>
  <c r="H336" i="22"/>
  <c r="F26" i="25"/>
  <c r="H315" i="22"/>
  <c r="H317" i="22"/>
  <c r="H316" i="22"/>
  <c r="H381" i="22"/>
  <c r="H382" i="22"/>
  <c r="H383" i="22"/>
  <c r="H112" i="22"/>
  <c r="H110" i="22"/>
  <c r="H111" i="22"/>
  <c r="F36" i="25"/>
  <c r="H516" i="22"/>
  <c r="R31" i="7"/>
  <c r="H8" i="13" s="1"/>
  <c r="H9" i="13" s="1"/>
  <c r="H6" i="13" s="1"/>
  <c r="H574" i="22"/>
  <c r="H573" i="22"/>
  <c r="H575" i="22"/>
  <c r="H537" i="22"/>
  <c r="H539" i="22"/>
  <c r="H538" i="22"/>
  <c r="H360" i="22"/>
  <c r="F27" i="25"/>
  <c r="H150" i="22"/>
  <c r="F16" i="25"/>
  <c r="H641" i="22"/>
  <c r="F43" i="25"/>
  <c r="F31" i="25"/>
  <c r="H429" i="22"/>
  <c r="H248" i="22"/>
  <c r="H247" i="22"/>
  <c r="H246" i="22"/>
  <c r="H249" i="22" s="1"/>
  <c r="H250" i="22" s="1"/>
  <c r="H251" i="22" s="1"/>
  <c r="H710" i="22"/>
  <c r="F46" i="25"/>
  <c r="F11" i="25"/>
  <c r="H91" i="22"/>
  <c r="H63" i="22"/>
  <c r="H64" i="22" s="1"/>
  <c r="H125" i="22"/>
  <c r="H127" i="22"/>
  <c r="H126" i="22"/>
  <c r="H405" i="22"/>
  <c r="F30" i="25"/>
  <c r="H167" i="22"/>
  <c r="H169" i="22"/>
  <c r="H168" i="22"/>
  <c r="H752" i="22"/>
  <c r="H751" i="22"/>
  <c r="H753" i="22"/>
  <c r="H557" i="22"/>
  <c r="H556" i="22"/>
  <c r="H558" i="22"/>
  <c r="H231" i="22"/>
  <c r="H230" i="22"/>
  <c r="H229" i="22"/>
  <c r="H184" i="22"/>
  <c r="H186" i="22"/>
  <c r="H185" i="22"/>
  <c r="R38" i="7"/>
  <c r="H12" i="13" s="1"/>
  <c r="H13" i="13" s="1"/>
  <c r="H10" i="13" s="1"/>
  <c r="H203" i="22" l="1"/>
  <c r="H204" i="22"/>
  <c r="I19" i="25" s="1"/>
  <c r="J19" i="25" s="1"/>
  <c r="H690" i="22"/>
  <c r="H691" i="22" s="1"/>
  <c r="H213" i="22"/>
  <c r="H65" i="22"/>
  <c r="H66" i="22"/>
  <c r="I9" i="25" s="1"/>
  <c r="J9" i="25" s="1"/>
  <c r="H252" i="22"/>
  <c r="H253" i="22" s="1"/>
  <c r="I22" i="25" s="1"/>
  <c r="J22" i="25" s="1"/>
  <c r="H18" i="13"/>
  <c r="H318" i="22"/>
  <c r="H170" i="22"/>
  <c r="H643" i="22"/>
  <c r="H645" i="22"/>
  <c r="H644" i="22"/>
  <c r="H518" i="22"/>
  <c r="H520" i="22"/>
  <c r="H519" i="22"/>
  <c r="H669" i="22"/>
  <c r="H668" i="22"/>
  <c r="H667" i="22"/>
  <c r="H670" i="22" s="1"/>
  <c r="H671" i="22" s="1"/>
  <c r="H128" i="22"/>
  <c r="H384" i="22"/>
  <c r="H598" i="22"/>
  <c r="H597" i="22"/>
  <c r="H596" i="22"/>
  <c r="H269" i="22"/>
  <c r="H271" i="22"/>
  <c r="H270" i="22"/>
  <c r="H187" i="22"/>
  <c r="H93" i="22"/>
  <c r="H95" i="22"/>
  <c r="H94" i="22"/>
  <c r="H364" i="22"/>
  <c r="H363" i="22"/>
  <c r="H362" i="22"/>
  <c r="H365" i="22" s="1"/>
  <c r="H366" i="22"/>
  <c r="H367" i="22"/>
  <c r="H113" i="22"/>
  <c r="H470" i="22"/>
  <c r="H471" i="22"/>
  <c r="H472" i="22"/>
  <c r="H714" i="22"/>
  <c r="H713" i="22"/>
  <c r="H712" i="22"/>
  <c r="H715" i="22" s="1"/>
  <c r="H716" i="22" s="1"/>
  <c r="H754" i="22"/>
  <c r="H540" i="22"/>
  <c r="H408" i="22"/>
  <c r="H409" i="22"/>
  <c r="H407" i="22"/>
  <c r="H152" i="22"/>
  <c r="H153" i="22"/>
  <c r="H154" i="22"/>
  <c r="H339" i="22"/>
  <c r="H338" i="22"/>
  <c r="H340" i="22"/>
  <c r="H738" i="22"/>
  <c r="H737" i="22"/>
  <c r="H736" i="22"/>
  <c r="H739" i="22" s="1"/>
  <c r="H740" i="22"/>
  <c r="H741" i="22"/>
  <c r="H620" i="22"/>
  <c r="H622" i="22"/>
  <c r="H621" i="22"/>
  <c r="H232" i="22"/>
  <c r="H559" i="22"/>
  <c r="H432" i="22"/>
  <c r="H431" i="22"/>
  <c r="H433" i="22"/>
  <c r="H576" i="22"/>
  <c r="H31" i="22"/>
  <c r="H32" i="22"/>
  <c r="H33" i="22"/>
  <c r="H493" i="22"/>
  <c r="H495" i="22"/>
  <c r="H494" i="22"/>
  <c r="H295" i="22"/>
  <c r="H294" i="22"/>
  <c r="H293" i="22"/>
  <c r="H692" i="22" l="1"/>
  <c r="H693" i="22"/>
  <c r="I45" i="25" s="1"/>
  <c r="J45" i="25" s="1"/>
  <c r="H646" i="22"/>
  <c r="H647" i="22" s="1"/>
  <c r="H214" i="22"/>
  <c r="H215" i="22" s="1"/>
  <c r="H410" i="22"/>
  <c r="H599" i="22"/>
  <c r="H600" i="22" s="1"/>
  <c r="H601" i="22" s="1"/>
  <c r="H602" i="22" s="1"/>
  <c r="H96" i="22"/>
  <c r="H97" i="22" s="1"/>
  <c r="H385" i="22"/>
  <c r="H386" i="22"/>
  <c r="H560" i="22"/>
  <c r="H561" i="22"/>
  <c r="H34" i="22"/>
  <c r="H319" i="22"/>
  <c r="H320" i="22"/>
  <c r="H22" i="13"/>
  <c r="H20" i="13"/>
  <c r="H21" i="13"/>
  <c r="H496" i="22"/>
  <c r="H155" i="22"/>
  <c r="H742" i="22"/>
  <c r="H743" i="22"/>
  <c r="I47" i="25" s="1"/>
  <c r="J47" i="25" s="1"/>
  <c r="H114" i="22"/>
  <c r="H115" i="22"/>
  <c r="H368" i="22"/>
  <c r="H369" i="22"/>
  <c r="I27" i="25" s="1"/>
  <c r="J27" i="25" s="1"/>
  <c r="H129" i="22"/>
  <c r="H130" i="22" s="1"/>
  <c r="H171" i="22"/>
  <c r="H172" i="22" s="1"/>
  <c r="H233" i="22"/>
  <c r="H234" i="22" s="1"/>
  <c r="H577" i="22"/>
  <c r="H578" i="22" s="1"/>
  <c r="H188" i="22"/>
  <c r="H189" i="22"/>
  <c r="H521" i="22"/>
  <c r="H296" i="22"/>
  <c r="H541" i="22"/>
  <c r="H542" i="22" s="1"/>
  <c r="H755" i="22"/>
  <c r="H756" i="22" s="1"/>
  <c r="H672" i="22"/>
  <c r="H434" i="22"/>
  <c r="H623" i="22"/>
  <c r="H717" i="22"/>
  <c r="H272" i="22"/>
  <c r="H341" i="22"/>
  <c r="H473" i="22"/>
  <c r="H216" i="22" l="1"/>
  <c r="H217" i="22"/>
  <c r="I20" i="25" s="1"/>
  <c r="J20" i="25" s="1"/>
  <c r="H98" i="22"/>
  <c r="H99" i="22" s="1"/>
  <c r="H411" i="22"/>
  <c r="H412" i="22" s="1"/>
  <c r="H603" i="22"/>
  <c r="I41" i="25" s="1"/>
  <c r="J41" i="25" s="1"/>
  <c r="H648" i="22"/>
  <c r="H650" i="22" s="1"/>
  <c r="I43" i="25" s="1"/>
  <c r="J43" i="25" s="1"/>
  <c r="H579" i="22"/>
  <c r="H580" i="22" s="1"/>
  <c r="I40" i="25" s="1"/>
  <c r="J40" i="25" s="1"/>
  <c r="H757" i="22"/>
  <c r="H758" i="22"/>
  <c r="I49" i="25" s="1"/>
  <c r="J49" i="25" s="1"/>
  <c r="H235" i="22"/>
  <c r="H236" i="22"/>
  <c r="I21" i="25" s="1"/>
  <c r="J21" i="25" s="1"/>
  <c r="H173" i="22"/>
  <c r="H174" i="22"/>
  <c r="I17" i="25" s="1"/>
  <c r="J17" i="25" s="1"/>
  <c r="H543" i="22"/>
  <c r="H544" i="22" s="1"/>
  <c r="I37" i="25" s="1"/>
  <c r="J37" i="25" s="1"/>
  <c r="H342" i="22"/>
  <c r="H343" i="22" s="1"/>
  <c r="H649" i="22"/>
  <c r="H562" i="22"/>
  <c r="H563" i="22"/>
  <c r="I39" i="25" s="1"/>
  <c r="J39" i="25" s="1"/>
  <c r="H273" i="22"/>
  <c r="H274" i="22" s="1"/>
  <c r="H718" i="22"/>
  <c r="H719" i="22" s="1"/>
  <c r="I46" i="25" s="1"/>
  <c r="J46" i="25" s="1"/>
  <c r="H116" i="22"/>
  <c r="H117" i="22"/>
  <c r="I12" i="25" s="1"/>
  <c r="J12" i="25" s="1"/>
  <c r="H23" i="13"/>
  <c r="H387" i="22"/>
  <c r="H388" i="22" s="1"/>
  <c r="I29" i="25" s="1"/>
  <c r="J29" i="25" s="1"/>
  <c r="H624" i="22"/>
  <c r="H625" i="22" s="1"/>
  <c r="H297" i="22"/>
  <c r="H298" i="22"/>
  <c r="H435" i="22"/>
  <c r="H436" i="22"/>
  <c r="H522" i="22"/>
  <c r="H523" i="22" s="1"/>
  <c r="H673" i="22"/>
  <c r="H674" i="22"/>
  <c r="I44" i="25" s="1"/>
  <c r="J44" i="25" s="1"/>
  <c r="H190" i="22"/>
  <c r="H191" i="22" s="1"/>
  <c r="I18" i="25" s="1"/>
  <c r="J18" i="25" s="1"/>
  <c r="H131" i="22"/>
  <c r="H132" i="22"/>
  <c r="I14" i="25" s="1"/>
  <c r="J14" i="25" s="1"/>
  <c r="H321" i="22"/>
  <c r="H322" i="22" s="1"/>
  <c r="I25" i="25" s="1"/>
  <c r="J25" i="25" s="1"/>
  <c r="H156" i="22"/>
  <c r="H157" i="22" s="1"/>
  <c r="H474" i="22"/>
  <c r="H475" i="22" s="1"/>
  <c r="H498" i="22"/>
  <c r="H497" i="22"/>
  <c r="H35" i="22"/>
  <c r="H36" i="22" s="1"/>
  <c r="H413" i="22" l="1"/>
  <c r="H414" i="22"/>
  <c r="I30" i="25" s="1"/>
  <c r="J30" i="25" s="1"/>
  <c r="H100" i="22"/>
  <c r="I11" i="25" s="1"/>
  <c r="J11" i="25" s="1"/>
  <c r="H275" i="22"/>
  <c r="H276" i="22" s="1"/>
  <c r="I23" i="25" s="1"/>
  <c r="J23" i="25" s="1"/>
  <c r="H626" i="22"/>
  <c r="H627" i="22"/>
  <c r="I42" i="25" s="1"/>
  <c r="J42" i="25" s="1"/>
  <c r="H524" i="22"/>
  <c r="H525" i="22" s="1"/>
  <c r="I36" i="25" s="1"/>
  <c r="J36" i="25" s="1"/>
  <c r="H158" i="22"/>
  <c r="H159" i="22"/>
  <c r="I16" i="25" s="1"/>
  <c r="J16" i="25" s="1"/>
  <c r="H344" i="22"/>
  <c r="H345" i="22"/>
  <c r="I26" i="25" s="1"/>
  <c r="J26" i="25" s="1"/>
  <c r="H37" i="22"/>
  <c r="H38" i="22"/>
  <c r="I7" i="25" s="1"/>
  <c r="J7" i="25" s="1"/>
  <c r="H437" i="22"/>
  <c r="H438" i="22"/>
  <c r="I31" i="25" s="1"/>
  <c r="J31" i="25" s="1"/>
  <c r="H299" i="22"/>
  <c r="H300" i="22"/>
  <c r="I24" i="25" s="1"/>
  <c r="J24" i="25" s="1"/>
  <c r="H499" i="22"/>
  <c r="H500" i="22" s="1"/>
  <c r="I35" i="25" s="1"/>
  <c r="J35" i="25" s="1"/>
  <c r="H24" i="13"/>
  <c r="H25" i="13"/>
  <c r="H476" i="22"/>
  <c r="H477" i="22"/>
  <c r="I34" i="25" s="1"/>
  <c r="J34" i="25" s="1"/>
  <c r="C5" i="14" l="1"/>
  <c r="H26" i="13"/>
  <c r="H27" i="13" s="1"/>
  <c r="J51" i="25"/>
  <c r="G5" i="14" l="1"/>
  <c r="H28" i="13"/>
  <c r="G8" i="18"/>
  <c r="D5" i="14"/>
  <c r="D6" i="14" s="1"/>
  <c r="C6" i="14"/>
  <c r="J52" i="25"/>
  <c r="E12" i="28"/>
  <c r="E11" i="28" l="1"/>
  <c r="E9" i="28" s="1"/>
  <c r="C12" i="28"/>
  <c r="C11" i="28" s="1"/>
  <c r="C9" i="28" s="1"/>
  <c r="E5" i="14"/>
  <c r="E6" i="14" s="1"/>
  <c r="E7" i="14" s="1"/>
  <c r="M8" i="18"/>
  <c r="M7" i="18" s="1"/>
  <c r="M6" i="18" s="1"/>
  <c r="N8" i="18"/>
  <c r="N7" i="18" s="1"/>
  <c r="N6" i="18" s="1"/>
  <c r="G7" i="18"/>
  <c r="L8" i="18"/>
  <c r="L7" i="18" s="1"/>
  <c r="H8" i="18"/>
  <c r="H7" i="18" s="1"/>
  <c r="H6" i="18" s="1"/>
  <c r="G6" i="14"/>
  <c r="G7" i="14" s="1"/>
  <c r="G45" i="18" l="1"/>
  <c r="L6" i="18"/>
  <c r="F4" i="36"/>
  <c r="D29" i="18" s="1"/>
  <c r="G29" i="18" s="1"/>
  <c r="E15" i="28"/>
  <c r="G16" i="28"/>
  <c r="C15" i="27" s="1"/>
  <c r="G6" i="18"/>
  <c r="G67" i="18"/>
  <c r="I67" i="18" s="1"/>
  <c r="G44" i="18"/>
  <c r="G16" i="18"/>
  <c r="I16" i="18" s="1"/>
  <c r="G55" i="18"/>
  <c r="G43" i="18"/>
  <c r="K7" i="18"/>
  <c r="G66" i="18"/>
  <c r="I7" i="18"/>
  <c r="I6" i="18" s="1"/>
  <c r="I8" i="18"/>
  <c r="F5" i="14"/>
  <c r="F6" i="14" s="1"/>
  <c r="D12" i="28"/>
  <c r="D11" i="28" s="1"/>
  <c r="D9" i="28" s="1"/>
  <c r="I66" i="18" l="1"/>
  <c r="H43" i="18"/>
  <c r="I43" i="18"/>
  <c r="H55" i="18"/>
  <c r="I55" i="18" s="1"/>
  <c r="G77" i="18"/>
  <c r="I77" i="18" s="1"/>
  <c r="H44" i="18"/>
  <c r="I44" i="18" s="1"/>
  <c r="C16" i="27"/>
  <c r="E15" i="27"/>
  <c r="E16" i="27" s="1"/>
  <c r="H15" i="27"/>
  <c r="I15" i="27" s="1"/>
  <c r="H16" i="27" s="1"/>
  <c r="E16" i="28" s="1"/>
  <c r="E14" i="28" s="1"/>
  <c r="H29" i="18"/>
  <c r="H45" i="18"/>
  <c r="I45" i="18" s="1"/>
  <c r="C14" i="28" l="1"/>
  <c r="C17" i="28" s="1"/>
  <c r="E17" i="28"/>
  <c r="E18" i="28" s="1"/>
  <c r="I29" i="18"/>
  <c r="I63" i="18"/>
  <c r="G63" i="18"/>
  <c r="G50" i="18" l="1"/>
  <c r="G53" i="18"/>
  <c r="D14" i="28"/>
  <c r="D17" i="28" s="1"/>
  <c r="H53" i="18" l="1"/>
  <c r="I53" i="18" s="1"/>
  <c r="H50" i="18"/>
  <c r="H18" i="18" s="1"/>
  <c r="G18" i="18"/>
  <c r="I50" i="18" l="1"/>
  <c r="I18" i="18"/>
  <c r="I79" i="18" l="1"/>
  <c r="I78" i="18" s="1"/>
  <c r="K80" i="18"/>
  <c r="C15" i="17" s="1"/>
  <c r="I81" i="18"/>
  <c r="L81" i="18" l="1"/>
  <c r="M81" i="18" s="1"/>
  <c r="I87" i="18"/>
  <c r="I88" i="18" s="1"/>
  <c r="H15" i="17"/>
  <c r="I15" i="17" s="1"/>
  <c r="H16" i="17" s="1"/>
  <c r="C16" i="17"/>
  <c r="E15" i="17"/>
  <c r="E16" i="1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23" authorId="0" shapeId="0" xr:uid="{F87A46A6-6589-7240-A6CC-6701238EA760}">
      <text>
        <r>
          <rPr>
            <sz val="8.25"/>
            <color indexed="8"/>
            <rFont val="Microsoft Sans Serif"/>
            <family val="2"/>
          </rPr>
          <t>Click vào nút này để áp giá xăng, dầu và điện</t>
        </r>
      </text>
    </comment>
  </commentList>
</comments>
</file>

<file path=xl/sharedStrings.xml><?xml version="1.0" encoding="utf-8"?>
<sst xmlns="http://schemas.openxmlformats.org/spreadsheetml/2006/main" count="3357" uniqueCount="1197">
  <si>
    <t>BẢNG DỰ TOÁN HẠNG MỤC CÔNG TRÌNH</t>
  </si>
  <si>
    <t>(đ)</t>
  </si>
  <si>
    <t>CÔNG TRÌNH : XÂY DỰNG HỆ THỐNG CỐNG HỘP KÊNH BẾN KEM ĐOẠN TỪ NHÀ ÔNG CHÍN ĐẾN KÊNH ĐẠI TRÀ 2, XÃ KIẾN MINH</t>
  </si>
  <si>
    <t>HẠNG MỤC 1</t>
  </si>
  <si>
    <t>STT</t>
  </si>
  <si>
    <t>Ký hiệu
bản vẽ</t>
  </si>
  <si>
    <t>Mã hiệu
định mức</t>
  </si>
  <si>
    <t>Mã hiệu
vữa</t>
  </si>
  <si>
    <t>Mã hiệu
công tác</t>
  </si>
  <si>
    <t>Danh mục công tác/ Diễn giải KL</t>
  </si>
  <si>
    <t>Đơn vị
tính</t>
  </si>
  <si>
    <t>Số
C.K</t>
  </si>
  <si>
    <t>Kích thước</t>
  </si>
  <si>
    <t>Hệ số
phụ</t>
  </si>
  <si>
    <t>Tổng
dài</t>
  </si>
  <si>
    <t>D.tích
(M2)</t>
  </si>
  <si>
    <t>K.L
C.Kiện</t>
  </si>
  <si>
    <t>Khối lượng</t>
  </si>
  <si>
    <t>Hệ số điều chỉnh</t>
  </si>
  <si>
    <t>Ghi chú, Nguồn gốc xuất xứ</t>
  </si>
  <si>
    <t>Dữ liệu đã dùng</t>
  </si>
  <si>
    <t>Hao phí định mức</t>
  </si>
  <si>
    <t>Hệ số định mức</t>
  </si>
  <si>
    <t>Thời điểm thi công</t>
  </si>
  <si>
    <t>Tỉnh TP / Chuyên ngành</t>
  </si>
  <si>
    <t>Dài</t>
  </si>
  <si>
    <t>Rộng</t>
  </si>
  <si>
    <t>Cao</t>
  </si>
  <si>
    <t>Vật liệu</t>
  </si>
  <si>
    <t>V.L phụ</t>
  </si>
  <si>
    <t>Nhân công</t>
  </si>
  <si>
    <t>Máy T.C</t>
  </si>
  <si>
    <t>Máy thi công</t>
  </si>
  <si>
    <t>V.L</t>
  </si>
  <si>
    <t>N.C</t>
  </si>
  <si>
    <t>Máy</t>
  </si>
  <si>
    <t>Đơn giá</t>
  </si>
  <si>
    <t>Giá máy</t>
  </si>
  <si>
    <t>Bắt đầu</t>
  </si>
  <si>
    <t>Kết thúc</t>
  </si>
  <si>
    <t>HM</t>
  </si>
  <si>
    <t>BIỆN PHÁP THI CÔNG</t>
  </si>
  <si>
    <t>TT</t>
  </si>
  <si>
    <t>Vận chuyển phao chuyến đến và chuyến về</t>
  </si>
  <si>
    <t>ca</t>
  </si>
  <si>
    <t>2 = 2</t>
  </si>
  <si>
    <t>AC.22111</t>
  </si>
  <si>
    <t>Đóng cọc ván thép (cừ Larsen) trên cạn bằng máy đóng cọc 1,8T, chiều dài cọc &lt;=12 m, đất cấp I</t>
  </si>
  <si>
    <t>100m</t>
  </si>
  <si>
    <t>DG2595_2022HP_XD</t>
  </si>
  <si>
    <t>Giá máy 156/2022/QĐ-SXD Vùng 1</t>
  </si>
  <si>
    <t>A24.0230~Cọc ván thép &lt;=12m~m~100~100~0~0~0~1~1~0~0~CocVanThep~~0žZ999~Vât liệu khác~%~0.5~0.5~0~0~0~1~1~0~0~VatLieuKhac~~0</t>
  </si>
  <si>
    <t>N2.35~Nhân công 3,5/7 - Nhóm 2~công~6.68~6.68~262000~288500~0~1~1~0~0~N2.35~Được tính toán, rồi Link từ sheet Nhân công sang~0</t>
  </si>
  <si>
    <t>M103.0202~Máy đóng cọc chạy trên ray - trọng lượng đầu búa : 1,8 T~ca~2.226~2.226~1789199~1633554~344605~1~1~0~0~M492~Được tính toán, rồi Link từ sheet Máy sang~0žM999~Máy khác~%~3~3~39827.56974~36362.91204~0~1~1~0~0~~~0</t>
  </si>
  <si>
    <t>HaiPhong</t>
  </si>
  <si>
    <t>Toàn tuyến chia 5 phân đoạn thi công;Phân đoạn 1--phân đoạn 5; mỗi phân đoạn 43m (tận dụng và luân chuyển cọc cừ)</t>
  </si>
  <si>
    <t>Phân đoạn 1</t>
  </si>
  <si>
    <t>Cừ + văng chống dọc biên: (43*2*8+43*2*2)/100 = 8,6</t>
  </si>
  <si>
    <t>Cừ thay đên quai xanh:5,6*8/100 = 0,448</t>
  </si>
  <si>
    <t>Văng chống ngang khoảng cách 10 m có 1 đểm chống ngang: 43/10+1 tính chẵn 5 điểm văng: 5*2*5,6/100 = 0,56</t>
  </si>
  <si>
    <t>Phân đoạn 2</t>
  </si>
  <si>
    <t>Phân đoạn 3</t>
  </si>
  <si>
    <t>Phân đoạn 4</t>
  </si>
  <si>
    <t>Phân đoạn 5</t>
  </si>
  <si>
    <t>Cừ thép thuê 2500 đ/m/ngày dự kiến thi công 6 tháng ; cừ thép luân chuyển sử dung 3 lần</t>
  </si>
  <si>
    <t>m</t>
  </si>
  <si>
    <t>48,04/3*6*30 = 2882,4</t>
  </si>
  <si>
    <t>Bơm nước thi công cho 5 phân đoạn</t>
  </si>
  <si>
    <t>15*5 = 75</t>
  </si>
  <si>
    <t>Thuê ván thép chống lầy để xe đi đóng cọc tre hố móng</t>
  </si>
  <si>
    <t>đoạn</t>
  </si>
  <si>
    <t>Thuê cho phân đoạn 1+2+3+4+5</t>
  </si>
  <si>
    <t>5 = 5</t>
  </si>
  <si>
    <t>Nhổ cọc ván thép (cừ Larsen) trên cạn bằng máy đóng cọc 1,8T, chiều dài cọc &lt;=12 m, đất cấp I</t>
  </si>
  <si>
    <t>Bằng KL đóng: 48,04 = 48,04</t>
  </si>
  <si>
    <t>AL.16121</t>
  </si>
  <si>
    <t>Rải vải địa kỹ thuật làm nền đường, mái đê, đập</t>
  </si>
  <si>
    <t>100m2</t>
  </si>
  <si>
    <t>A24.0782~Vải địa kỹ thuật~m2~105~105~11100~10400~0~1~1~0~11440~VaiDiaKyThuat~Áp theo "Vài địa kỹ thuật không dệt 12KN" trong Thông báo giá VL số: 621/2025/TB-SXD của Sở XD TP Hải Phòng ngày 08/12/2025. Vùng: 10~0žZ999~Vât liệu khác~%~0.2~0.2~11655~10920~0~1~1~0~0~VatLieuKhac~~0</t>
  </si>
  <si>
    <t>N2.35~Nhân công 3,5/7 - Nhóm 2~công~1.18~1.18~262000~288500~0~1~1~0~0~N2.35~Được tính toán, rồi Link từ sheet Nhân công sang~0</t>
  </si>
  <si>
    <t>Bạt chống thấm nước phía ngoài cừ làm đê quai xanh:(5*5,6+20)*3/100 = 1,44</t>
  </si>
  <si>
    <t>2.THI CÔNG PHÂN ĐOẠN 1+2+3+4+5</t>
  </si>
  <si>
    <t>AA.12111</t>
  </si>
  <si>
    <t>Chặt cây ở địa hình bằng phẳng bằng máy cưa, đường kính gốc cây &lt;= 20cm</t>
  </si>
  <si>
    <t>cây</t>
  </si>
  <si>
    <t>N1.30~Nhân công 3,0/7 - Nhóm 1~công~0.07~0.07~221303~243700~0~1~1~0~0~N1.30~Được tính toán, rồi Link từ sheet Nhân công sang~0</t>
  </si>
  <si>
    <t>M112.3801~Máy cưa gỗ cầm tay - công suất : 1,3 kW~ca~0.065~0.065~24662~25048~0~1~1~0~0~M459~Được tính toán, rồi Link từ sheet Máy sang~0</t>
  </si>
  <si>
    <t>20 = 20</t>
  </si>
  <si>
    <t>PHẦN MÓNG</t>
  </si>
  <si>
    <t>AB.36120</t>
  </si>
  <si>
    <t>Xói hút bùn trong khung vây phòng nước, các trụ dưới nước</t>
  </si>
  <si>
    <t>m3</t>
  </si>
  <si>
    <t>A24.0350~ống xói F50mm~m~0.005~0.005~55000~55000~0~1~1~0~60500~OngXoi~~0žA24.0348~ống xói F150mm~m~0.005~0.005~160000~350000~0~1~1~0~378000~OngXoi~~0žA24.0349~ống xói F250mm~m~0.005~0.005~270000~550000~0~1~1~0~594000~OngXoi~~0žZ999~Vât liệu khác~%~5~5~24.25~47.75~0~1~1~0~0~VatLieuKhac~~0</t>
  </si>
  <si>
    <t>N1.30~Nhân công 3,0/7 - Nhóm 1~công~0.34~0.34~221303~243700~0~1~1~0~0~N1.30~Được tính toán, rồi Link từ sheet Nhân công sang~0</t>
  </si>
  <si>
    <t>M108.0308~Máy nén khí, động cơ diezel - năng suất : 1200,00 m3/h~ca~0.057~0.057~3027990~2576996~293092~1~1~0~0~M406~Được tính toán, rồi Link từ sheet Máy sang~0žM112.0402~Máy bơm xói 4MC (75 kW)~ca~0.057~0.057~734664~782820~246908~1~1~0~0~M679~Được tính toán, rồi Link từ sheet Máy sang~0žM109.0104~Sà lan 400T~ca~0.057~0.057~891221~891221~0~1~1~0~0~M522~Được tính toán, rồi Link từ sheet Máy sang~0žM109.0507~Ca nô 150 CV~ca~0.001~0.001~2067189~1995246~1233958~1~1~0~0~M622~Được tính toán, rồi Link từ sheet Máy sang~0žM102.0501~Cần cẩu nổi, kéo theo 30T~ca~0.057~0.057~7147541~6848149~2172842~1~1~0~0~M221~Được tính toán, rồi Link từ sheet Máy sang~0žM112.0105~Máy bơm nước, động cơ điện 14 kW~ca~0.057~0.057~90924~95300~0~1~1~0~0~M345~Được tính toán, rồi Link từ sheet Máy sang~0</t>
  </si>
  <si>
    <t>Đoạn mương lọt giữa 2 bên nhà dân máy đào tính 70%:1647*70% = 1152,9</t>
  </si>
  <si>
    <t>AB.25211</t>
  </si>
  <si>
    <t>Đào móng công trình, chiều rộng móng &lt;= 10m, bằng máy đào 0,8m3, đất cấp I</t>
  </si>
  <si>
    <t>100m3</t>
  </si>
  <si>
    <t>N1.30~Nhân công 3,0/7 - Nhóm 1~công~1.72~1.72~221303~243700~0~1~1~0~0~N1.30~Được tính toán, rồi Link từ sheet Nhân công sang~0</t>
  </si>
  <si>
    <t>M101.0104~Máy đào một gầu, bánh xích - dung tích gầu : 0,80 m3~ca~0.301~0.301~2938899~2551986~293092~1~1~0~0~M6~Được tính toán, rồi Link từ sheet Máy sang~0</t>
  </si>
  <si>
    <t>AB.24131</t>
  </si>
  <si>
    <t>Đào xúc đất bằng máy đào 1,25m3, đất cấp I</t>
  </si>
  <si>
    <t>N1.30~Nhân công 3,0/7 - Nhóm 1~công~0.37~0.37~221303~243700~0~1~1~0~0~N1.30~Được tính toán, rồi Link từ sheet Nhân công sang~0</t>
  </si>
  <si>
    <t>M101.0105~Máy đào một gầu, bánh xích - dung tích gầu : 1,25 m3~ca~0.172~0.172~4000423~3498165~293092~1~1~0~0~M9~Được tính toán, rồi Link từ sheet Máy sang~0žM101.0503~Máy ủi - công suất : 110,0 CV~ca~0.02~0.02~2096893~1831732~293092~1~1~0~0~M45~Được tính toán, rồi Link từ sheet Máy sang~0</t>
  </si>
  <si>
    <t>Đào xúc bùn :1152,9/100+4,8853 = 16,4143</t>
  </si>
  <si>
    <t>AB.41411</t>
  </si>
  <si>
    <t>Vận chuyển đất bằng ôtô tự đổ 5 tấn trong phạm vi &lt;= 1000m, đất cấp I</t>
  </si>
  <si>
    <t>M106.0202~Ô tô tự đổ - trọng tải : 5,0 T~ca~1.15~1.15~1727890~1492461~270000~1~1~0~0~M107~Được tính toán, rồi Link từ sheet Máy sang~0</t>
  </si>
  <si>
    <t>Theo KL đào xúc: 16,414 = 16,414</t>
  </si>
  <si>
    <t>AB.42111</t>
  </si>
  <si>
    <t>Vận chuyển đất bằng ô tô tự đổ 5T 1km tiếp theo trong phạm vi &lt;= 5km, đất cấp I</t>
  </si>
  <si>
    <t>M106.0202~Ô tô tự đổ - trọng tải : 5,0 T~ca~0.53~0.53~1727890~1492461~270000~1~1~0~0~M107~Được tính toán, rồi Link từ sheet Máy sang~0</t>
  </si>
  <si>
    <t>The KL trên; hệ số Kvc=4:16,414 = 16,414</t>
  </si>
  <si>
    <t>AC.11121</t>
  </si>
  <si>
    <t>Đóng cọc tre bằng thủ công, chiều dài cọc &gt; 2,5m vào đất cấp I</t>
  </si>
  <si>
    <t>A24.0227~Cọc tre &gt;2,5m~m~105~105~3200~4800~0~1~1~0~5184~CocTre~~0žA24.0183~Cây chống~cây~1.65~1.65~19000~22000~0~1~1~0~23760~CayChong~~0žA24.0418~Gỗ ván~m3~0.01~0.01~3409091~3300000~0~1~1~0~3630000~GoVan~Áp theo "Gỗ cốp pha (dày 2-3cm)" trong Thông báo giá VL số: 621/2025/TB-SXD của Sở XD TP Hải Phòng ngày 08/12/2025. Vùng: 10~0žZ999~Vât liệu khác~%~3~3~4014.4091~5733~0~1~1~0~0~VatLieuKhac~~0</t>
  </si>
  <si>
    <t>N2.30~Nhân công 3,0/7 - Nhóm 2~công~2.02~2.02~239592~263800~0~1~1~0~0~N2.30~Được tính toán, rồi Link từ sheet Nhân công sang~0</t>
  </si>
  <si>
    <t>456,875 = 456,875</t>
  </si>
  <si>
    <t>AB.13411</t>
  </si>
  <si>
    <t>Đắp cát công trình bằng thủ công, đắp nền móng công trình</t>
  </si>
  <si>
    <t>A24.1042~Cát~m3~1.22~1.22~140000~280000~0~1~1~0~308000~Cat~Áp theo "Cát san lấp" trong Thông báo giá VL số: 621/2025/TB-SXD của Sở XD TP Hải Phòng ngày 08/12/2025. Vùng: 10~0žZ999~Vât liệu khác~%~2~2~1708~3416~0~1~1~0~0~VatLieuKhac~~0</t>
  </si>
  <si>
    <t>N1.30~Nhân công 3,0/7 - Nhóm 1~công~0.45~0.45~221303~243700~0~1~1~0~0~N1.30~Được tính toán, rồi Link từ sheet Nhân công sang~0</t>
  </si>
  <si>
    <t>Đắp cát đen phủ đầu cọc:73,1 = 73,1</t>
  </si>
  <si>
    <t>AF.82511</t>
  </si>
  <si>
    <t>Ván khuôn thép. Ván khuôn móng dài</t>
  </si>
  <si>
    <t>A24.0726~Thép tấm~kg~51.81~51.81~19250~18800~0~1~1~0~20304~ThepTam~~0žA24.0712~Thép hình~kg~32.02~32.02~19250~18800~0~1~1~0~20304~ThepHinh~~0žA24.0543~Que hàn~kg~3.26~3.26~25000~25000~0~1~1~0~27500~QueHan~~0žZ999~Vât liệu khác~%~5~5~16952.275~16575.04~0~1~1~0~0~VatLieuKhac~~0</t>
  </si>
  <si>
    <t>N2.40~Nhân công 4,0/7 - Nhóm 2~công~12.25~12.25~284408~313200~0~1~1~0~0~N2.40~Được tính toán, rồi Link từ sheet Nhân công sang~0</t>
  </si>
  <si>
    <t>M112.4003~Máy hàn xoay chiều - công suất : 23,0 kW~ca~0.82~0.82~411700~447485~293092~1~1~0~0~M423~Được tính toán, rồi Link từ sheet Máy sang~0žM999~Máy khác~%~2~2~3375.94~3669.377~0~1~1~0~0~~~0</t>
  </si>
  <si>
    <t>0,464 = 0,464</t>
  </si>
  <si>
    <t>AF.11210</t>
  </si>
  <si>
    <t>C2221</t>
  </si>
  <si>
    <t>AF.11211A</t>
  </si>
  <si>
    <t>Đổ bê tông thủ công bằng máy trộn, bê tông móng, chiều rộng &lt;= 250 cm, đá 1x2, mác 100, PCB30</t>
  </si>
  <si>
    <t>A24.0797A~Xi măng PCB30~kg~222.425~222.425~1380~1597~0~1~1~0~1724.8~XiMangPCB30~Áp theo "Xi măng PCB30 bao Chinfon (đường bộ)" trong Thông báo giá VL số: 621/2025/TB-SXD của Sở XD TP Hải Phòng ngày 08/12/2025. Vùng: 10~0žA24.0180~Cát vàng~m3~0.552475~0.552475~450000~750000~0~1~1~0~825000~CatVang~Áp theo "Cát bê tông ML&gt;2,0" trong Thông báo giá VL số: 621/2025/TB-SXD của Sở XD TP Hải Phòng ngày 08/12/2025. Vùng: 10~0žA24.0008~Đá 1x2~m3~0.909175~0.909175~320000~470000~0~1~1~0~517000~Da1x2~Áp theo "Đá 1x2" trong Thông báo giá VL số: 621/2025/TB-SXD của Sở XD TP Hải Phòng ngày 08/12/2025. Vùng: 10~0žA24.0524~Nước~lít~187.575~187.575~12~12~0~1~1~0~13~Nuoc(Lit)~~0žZ999~Vât liệu khác~%~1~1~8487.4715~11991.32125~0~1~1~0~0~VatLieuKhac~~0</t>
  </si>
  <si>
    <t>N2.30~Nhân công 3,0/7 - Nhóm 2~công~1.23~1.23~239592~263800~0~1~1~0~0~N2.30~Được tính toán, rồi Link từ sheet Nhân công sang~0</t>
  </si>
  <si>
    <t>M104.0102~Máy trộn bê tông - dung tích : 250,0 lít~ca~0.095~0.095~320806~347214~246908~1~1~0~0~M270~Được tính toán, rồi Link từ sheet Máy sang~0žM112.1301~Máy đầm bê tông, dầm dùi - công suất : 1,5 kW~ca~0.089~0.089~276782~302675~246908~1~1~0~0~M310~Được tính toán, rồi Link từ sheet Máy sang~0</t>
  </si>
  <si>
    <t>Bê tông lót:73,1 = 73,1</t>
  </si>
  <si>
    <t>AF.61120</t>
  </si>
  <si>
    <t>Công tác gia công lắp dựng cốt thép. Cốt thép móng, đường kính cốt thép &lt;= 18mm</t>
  </si>
  <si>
    <t>tấn</t>
  </si>
  <si>
    <t>A24.0739~Thép tròn D&lt;=18mm~kg~1020~1020~19200~14700~0~1~1~0~15876~ThepTron&lt;=18~~0žA24.0293~Dây thép~kg~9.28~9.28~20000~20000~0~1~1~0~22000~DayThep~~0žA24.0543~Que hàn~kg~4.64~4.64~25000~25000~0~1~1~0~27500~QueHan~~0</t>
  </si>
  <si>
    <t>N2.35~Nhân công 3,5/7 - Nhóm 2~công~7.67~7.67~262000~288500~0~1~1~0~0~N2.35~Được tính toán, rồi Link từ sheet Nhân công sang~0</t>
  </si>
  <si>
    <t>M112.4003~Máy hàn xoay chiều - công suất : 23,0 kW~ca~1.12~1.12~411700~447485~293092~1~1~0~0~M423~Được tính toán, rồi Link từ sheet Máy sang~0žM112.2601~Máy cắt uốn cốt thép - công suất : 5,0 kW~ca~0.32~0.32~281286~307436~246908~1~1~0~0~M454~Được tính toán, rồi Link từ sheet Máy sang~0</t>
  </si>
  <si>
    <t>Theo thống kê CT đáy cống: 10329,1/1000 = 10,3291</t>
  </si>
  <si>
    <t>1,16 = 1,16</t>
  </si>
  <si>
    <t>C2224</t>
  </si>
  <si>
    <t>AF.11214A</t>
  </si>
  <si>
    <t>Đổ bê tông thủ công bằng máy trộn, bê tông móng, chiều rộng &lt;= 250 cm, đá 1x2, mác 250, PCB30</t>
  </si>
  <si>
    <t>A24.0797A~Xi măng PCB30~kg~369~369~1380~1597~0~1~1~0~1724.8~XiMangPCB30~Áp theo "Xi măng PCB30 bao Chinfon (đường bộ)" trong Thông báo giá VL số: 621/2025/TB-SXD của Sở XD TP Hải Phòng ngày 08/12/2025. Vùng: 10~0žA24.0180~Cát vàng~m3~0.517625~0.517625~450000~750000~0~1~1~0~825000~CatVang~Áp theo "Cát bê tông ML&gt;2,0" trong Thông báo giá VL số: 621/2025/TB-SXD của Sở XD TP Hải Phòng ngày 08/12/2025. Vùng: 10~0žA24.0008~Đá 1x2~m3~0.8528~0.8528~320000~470000~0~1~1~0~517000~Da1x2~Áp theo "Đá 1x2" trong Thông báo giá VL số: 621/2025/TB-SXD của Sở XD TP Hải Phòng ngày 08/12/2025. Vùng: 10~0žA24.0524~Nước~lít~187.575~187.575~12~12~0~1~1~0~13~Nuoc(Lit)~~0žZ999~Vât liệu khác~%~1~1~10172.9815~13805.7865~0~1~1~0~0~VatLieuKhac~~0</t>
  </si>
  <si>
    <t>Đáy cống: 182,75 = 182,75</t>
  </si>
  <si>
    <t>TƯỜNG CỐNG</t>
  </si>
  <si>
    <t>AF.61311</t>
  </si>
  <si>
    <t>Công tác gia công lắp dựng cốt thép. Cốt thép tường, đường kính cốt thép &lt;= 10mm, chiều cao &lt;= 6m</t>
  </si>
  <si>
    <t>A24.0738~Thép tròn D&lt;=10mm~kg~1005~1005~19200~14700~0~1~1~0~15876~ThepTron&lt;=10~~0žA24.0293~Dây thép~kg~16.07~16.07~20000~20000~0~1~1~0~22000~DayThep~~0</t>
  </si>
  <si>
    <t>N2.35~Nhân công 3,5/7 - Nhóm 2~công~12.95~12.95~262000~288500~0~1~1~0~0~N2.35~Được tính toán, rồi Link từ sheet Nhân công sang~0</t>
  </si>
  <si>
    <t>M112.2601~Máy cắt uốn cốt thép - công suất : 5,0 kW~ca~0.4~0.4~281286~307436~246908~1~1~0~0~M454~Được tính toán, rồi Link từ sheet Máy sang~0</t>
  </si>
  <si>
    <t>Thành cống: (767,07+21555,38)/1000 = 22,3225</t>
  </si>
  <si>
    <t>AF.86211</t>
  </si>
  <si>
    <t>Ván khuôn thép, khung xương thép, cột chống bằng thép ống. Ván khuôn tường, chiều cao &lt;= 28m</t>
  </si>
  <si>
    <t>A24.0726~Thép tấm~kg~51.81~51.81~19250~18800~0~1~1~0~20304~ThepTam~~0žA24.0712~Thép hình~kg~48.84~48.84~19250~18800~0~1~1~0~20304~ThepHinh~~0žA24.0262~Cột chống thép ống~kg~38.13~38.13~12627~12627~0~1~1~0~13889.7~CotChongThepOng~~0žA24.0543~Que hàn~kg~5.6~5.6~25000~25000~0~1~1~0~27500~QueHan~~0žZ999~Vât liệu khác~%~5~5~25589.8001~25136.8751~0~1~1~0~0~VatLieuKhac~~0</t>
  </si>
  <si>
    <t>N2.40~Nhân công 4,0/7 - Nhóm 2~công~28.5~28.5~284408~313200~0~1~1~0~0~N2.40~Được tính toán, rồi Link từ sheet Nhân công sang~0</t>
  </si>
  <si>
    <t>M112.4003~Máy hàn xoay chiều - công suất : 23,0 kW~ca~1.5~1.5~411700~447485~293092~1~1~0~0~M423~Được tính toán, rồi Link từ sheet Máy sang~0žM102.1001~Máy vận thăng lồng - sức nâng : 3,0 T~ca~0.12~0.12~826454~857495~246908~1~1~0~0~M578~Được tính toán, rồi Link từ sheet Máy sang~0žM102.0406~Cần trục tháp - sức nâng : 25,0 T~ca~0.12~0.12~3038093~3119874~655461~1~1~0~0~M215~Được tính toán, rồi Link từ sheet Máy sang~0žM999~Máy khác~%~2~2~10812.9564~11485.1178~0~1~1~0~0~~~0</t>
  </si>
  <si>
    <t>21,625 = 21,625</t>
  </si>
  <si>
    <t>AF.12110</t>
  </si>
  <si>
    <t>AF.12114A</t>
  </si>
  <si>
    <t>Đổ bê tông thủ công bằng máy trộn, bê tông tường chiều dày &lt;= 45cm, chiều cao &lt;= 6m, đá 1x2, mác 250, PCB30</t>
  </si>
  <si>
    <t>A24.0797A~Xi măng PCB30~kg~369~369~1380~1597~0~1~1~0~1724.8~XiMangPCB30~Áp theo "Xi măng PCB30 bao Chinfon (đường bộ)" trong Thông báo giá VL số: 621/2025/TB-SXD của Sở XD TP Hải Phòng ngày 08/12/2025. Vùng: 10~0žA24.0180~Cát vàng~m3~0.517625~0.517625~450000~750000~0~1~1~0~825000~CatVang~Áp theo "Cát bê tông ML&gt;2,0" trong Thông báo giá VL số: 621/2025/TB-SXD của Sở XD TP Hải Phòng ngày 08/12/2025. Vùng: 10~0žA24.0008~Đá 1x2~m3~0.8528~0.8528~320000~470000~0~1~1~0~517000~Da1x2~Áp theo "Đá 1x2" trong Thông báo giá VL số: 621/2025/TB-SXD của Sở XD TP Hải Phòng ngày 08/12/2025. Vùng: 10~0žA24.0524~Nước~lít~187.575~187.575~12~12~0~1~1~0~13~Nuoc(Lit)~~0žZ999~Vât liệu khác~%~5~5~10172.9815~13805.7865~0~1~1~0~0~VatLieuKhac~~0</t>
  </si>
  <si>
    <t>N2.35~Nhân công 3,5/7 - Nhóm 2~công~2.49~2.49~262000~288500~0~1~1~0~0~N2.35~Được tính toán, rồi Link từ sheet Nhân công sang~0</t>
  </si>
  <si>
    <t>M104.0102~Máy trộn bê tông - dung tích : 250,0 lít~ca~0.095~0.095~320806~347214~246908~1~1~0~0~M270~Được tính toán, rồi Link từ sheet Máy sang~0žM112.1301~Máy đầm bê tông, dầm dùi - công suất : 1,5 kW~ca~0.18~0.18~276782~302675~246908~1~1~0~0~M310~Được tính toán, rồi Link từ sheet Máy sang~0</t>
  </si>
  <si>
    <t>280,1925 = 280,1925</t>
  </si>
  <si>
    <t>Băng cản nước</t>
  </si>
  <si>
    <t>m2</t>
  </si>
  <si>
    <t>207,55*2*2*0,25 = 207,55</t>
  </si>
  <si>
    <t>BẢN MẶT CỐNG</t>
  </si>
  <si>
    <t>AF.86111</t>
  </si>
  <si>
    <t>Ván khuôn thép, khung xương thép, cột chống bằng thép ống. Ván khuôn sàn mái, chiều cao &lt;= 28m</t>
  </si>
  <si>
    <t>A24.0726~Thép tấm~kg~51.81~51.81~19250~18800~0~1~1~0~20304~ThepTam~~0žA24.0712~Thép hình~kg~40.7~40.7~19250~18800~0~1~1~0~20304~ThepHinh~~0žA24.0262~Cột chống thép ống~kg~36.15~36.15~12627~12627~0~1~1~0~13889.7~CotChongThepOng~~0žA24.0543~Que hàn~kg~5.5~5.5~25000~25000~0~1~1~0~27500~QueHan~~0žZ999~Vât liệu khác~%~5~5~23747.8355~23331.5405~0~1~1~0~0~VatLieuKhac~~0</t>
  </si>
  <si>
    <t>N2.40~Nhân công 4,0/7 - Nhóm 2~công~20~20~284408~313200~0~1~1~0~0~N2.40~Được tính toán, rồi Link từ sheet Nhân công sang~0</t>
  </si>
  <si>
    <t>6,535 = 6,535</t>
  </si>
  <si>
    <t>AF.61711</t>
  </si>
  <si>
    <t>Công tác gia công lắp dựng cốt thép. Cốt thép sàn mái, đường kính cốt thép &lt;=10mm, chiều cao &lt;= 28m</t>
  </si>
  <si>
    <t>N2.35~Nhân công 3,5/7 - Nhóm 2~công~13.9~13.9~262000~288500~0~1~1~0~0~N2.35~Được tính toán, rồi Link từ sheet Nhân công sang~0</t>
  </si>
  <si>
    <t>M112.2601~Máy cắt uốn cốt thép - công suất : 5,0 kW~ca~0.4~0.4~281286~307436~246908~1~1~0~0~M454~Được tính toán, rồi Link từ sheet Máy sang~0žM102.1001~Máy vận thăng lồng - sức nâng : 3,0 T~ca~0.017~0.017~826454~857495~246908~1~1~0~0~M578~Được tính toán, rồi Link từ sheet Máy sang~0žM102.0406~Cần trục tháp - sức nâng : 25,0 T~ca~0.017~0.017~3038093~3119874~655461~1~1~0~0~M215~Được tính toán, rồi Link từ sheet Máy sang~0žM999~Máy khác~%~2~2~1782.11699~1905.89673~0~1~1~0~0~~~0</t>
  </si>
  <si>
    <t>Bản mặt: 9303,56/1000 = 9,3036</t>
  </si>
  <si>
    <t>AF.22310</t>
  </si>
  <si>
    <t>C2324</t>
  </si>
  <si>
    <t>AF.22314A</t>
  </si>
  <si>
    <t>Đổ bê tông bằng máy, đổ bằng cần cẩu, bê tông xà dầm, giằng, sàn mái, chiều cao &lt;= 6m, đá 1x2, mác 250, PCB30</t>
  </si>
  <si>
    <t>A24.0797A~Xi măng PCB30~kg~385.4~385.4~1380~1597~0~1~1~0~1724.8~XiMangPCB30~Áp theo "Xi măng PCB30 bao Chinfon (đường bộ)" trong Thông báo giá VL số: 621/2025/TB-SXD của Sở XD TP Hải Phòng ngày 08/12/2025. Vùng: 10~0žA24.0180~Cát vàng~m3~0.5084~0.5084~450000~750000~0~1~1~0~825000~CatVang~Áp theo "Cát bê tông ML&gt;2,0" trong Thông báo giá VL số: 621/2025/TB-SXD của Sở XD TP Hải Phòng ngày 08/12/2025. Vùng: 10~0žA24.0008~Đá 1x2~m3~0.837425~0.837425~320000~470000~0~1~1~0~517000~Da1x2~Áp theo "Đá 1x2" trong Thông báo giá VL số: 621/2025/TB-SXD của Sở XD TP Hải Phòng ngày 08/12/2025. Vùng: 10~0žA24.0524~Nước~lít~195.775~195.775~12~12~0~1~1~0~13~Nuoc(Lit)~~0žZ999~Vât liệu khác~%~1~1~10309.573~13927.2285~0~1~1~0~0~VatLieuKhac~~0</t>
  </si>
  <si>
    <t>N2.35~Nhân công 3,5/7 - Nhóm 2~công~1.66~1.66~262000~288500~0~1~1~0~0~N2.35~Được tính toán, rồi Link từ sheet Nhân công sang~0</t>
  </si>
  <si>
    <t>M102.0302~Cần cẩu bánh xích 10T~ca~0.04~0.04~2256343~2090057~637697~1~1~0~0~M197~Được tính toán, rồi Link từ sheet Máy sang~0žM112.1301~Máy đầm bê tông, dầm dùi - công suất : 1,5 kW~ca~0.18~0.18~276782~302675~246908~1~1~0~0~M310~Được tính toán, rồi Link từ sheet Máy sang~0žM999~Máy khác~%~2~2~1400.7448~1380.8378~0~1~1~0~0~~~0</t>
  </si>
  <si>
    <t>134,375 = 134,375</t>
  </si>
  <si>
    <t>AB.66142</t>
  </si>
  <si>
    <t>Đắp cát công trình bằng máy đầm đất cầm tay 70kg, độ chặt yêu cầu K=0,90</t>
  </si>
  <si>
    <t>A24.1042~Cát~m3~122~122~140000~280000~0~1~1~0~308000~Cat~Áp theo "Cát san lấp" trong Thông báo giá VL số: 621/2025/TB-SXD của Sở XD TP Hải Phòng ngày 08/12/2025. Vùng: 10~0</t>
  </si>
  <si>
    <t>N1.30~Nhân công 3,0/7 - Nhóm 1~công~4.18~4.18~221303~243700~0~1~1~0~0~N1.30~Được tính toán, rồi Link từ sheet Nhân công sang~0</t>
  </si>
  <si>
    <t>M101.0803~Máy đầm đất cầm tay - trọng lượng : 70 kg~ca~2.042~2.042~396542~390153~246908~1~1~0~0~M71~Được tính toán, rồi Link từ sheet Máy sang~0žM999~Máy khác~%~1.5~1.5~8097.38764~7966.92426~0~1~1~0~0~~~0</t>
  </si>
  <si>
    <t>8,1421 = 8,1421</t>
  </si>
  <si>
    <t>THI CÔNG CỬA CỐNG</t>
  </si>
  <si>
    <t>AC.11122</t>
  </si>
  <si>
    <t>Đóng cọc tre bằng thủ công, chiều dài cọc &gt; 2,5m vào đất cấp II</t>
  </si>
  <si>
    <t>N2.30~Nhân công 3,0/7 - Nhóm 2~công~2.25~2.25~239592~263800~0~1~1~0~0~N2.30~Được tính toán, rồi Link từ sheet Nhân công sang~0</t>
  </si>
  <si>
    <t>15,745 = 15,745</t>
  </si>
  <si>
    <t>Đắp cát đen phủ đầu cọc:0,025 = 0,025</t>
  </si>
  <si>
    <t>0,019 = 0,019</t>
  </si>
  <si>
    <t>2,52 = 2,52</t>
  </si>
  <si>
    <t>0,075 = 0,075</t>
  </si>
  <si>
    <t>11,52 = 11,52</t>
  </si>
  <si>
    <t>Chân khay:1,314 = 1,314</t>
  </si>
  <si>
    <t>232,44/1000 = 0,2324</t>
  </si>
  <si>
    <t>0,2125 = 0,2125</t>
  </si>
  <si>
    <t>2,59375 = 2,5938</t>
  </si>
  <si>
    <t>ĐẮP ĐẤT HOÀN THIỆN MẶT BẰNG</t>
  </si>
  <si>
    <t>AB.65120</t>
  </si>
  <si>
    <t>Đắp đất công trình bằng đầm đất cầm tay 70kg, độ chặt yêu cầu K=0,90</t>
  </si>
  <si>
    <t>N1.30~Nhân công 3,0/7 - Nhóm 1~công~6.19~6.19~221303~243700~0~1~1~0~0~N1.30~Được tính toán, rồi Link từ sheet Nhân công sang~0</t>
  </si>
  <si>
    <t>M101.0803~Máy đầm đất cầm tay - trọng lượng : 70 kg~ca~3.845~3.845~396542~390153~246908~1~1~0~0~M71~Được tính toán, rồi Link từ sheet Máy sang~0</t>
  </si>
  <si>
    <t>đắp đất chèn cống: 2224,53/100-8,1421 = 14,1032</t>
  </si>
  <si>
    <t>Vật liệu đất núi</t>
  </si>
  <si>
    <t>14,1032*100*1,1 = 1551,352</t>
  </si>
  <si>
    <t>THM</t>
  </si>
  <si>
    <t>Tổng cộng: HẠNG MỤC 1</t>
  </si>
  <si>
    <t>BẢNG GIÁ THÔNG BÁO CÔNG TRÌNH</t>
  </si>
  <si>
    <t>Mã số</t>
  </si>
  <si>
    <t>Tên vật tư</t>
  </si>
  <si>
    <t>Đơn vị</t>
  </si>
  <si>
    <t>Hệ số</t>
  </si>
  <si>
    <t>Chính</t>
  </si>
  <si>
    <t>Mã chuẩn</t>
  </si>
  <si>
    <t>I</t>
  </si>
  <si>
    <t>VẬT LIỆU</t>
  </si>
  <si>
    <t>A24.1042</t>
  </si>
  <si>
    <t>Cát</t>
  </si>
  <si>
    <t>Cat</t>
  </si>
  <si>
    <t>Áp theo "Cát san lấp" trong Thông báo giá VL số: 621/2025/TB-SXD của Sở XD TP Hải Phòng ngày 08/12/2025. Vùng: 10</t>
  </si>
  <si>
    <t>A24.0180</t>
  </si>
  <si>
    <t>Cát vàng</t>
  </si>
  <si>
    <t>CatVang</t>
  </si>
  <si>
    <t>Áp theo "Cát bê tông ML&gt;2,0" trong Thông báo giá VL số: 621/2025/TB-SXD của Sở XD TP Hải Phòng ngày 08/12/2025. Vùng: 10</t>
  </si>
  <si>
    <t>A24.0183</t>
  </si>
  <si>
    <t>Cây chống</t>
  </si>
  <si>
    <t>CayChong</t>
  </si>
  <si>
    <t>A24.0227</t>
  </si>
  <si>
    <t>Cọc tre &gt;2,5m</t>
  </si>
  <si>
    <t>CocTre</t>
  </si>
  <si>
    <t>A24.0230</t>
  </si>
  <si>
    <t>Cọc ván thép &lt;=12m</t>
  </si>
  <si>
    <t>CocVanThep</t>
  </si>
  <si>
    <t>A24.0262</t>
  </si>
  <si>
    <t>Cột chống thép ống</t>
  </si>
  <si>
    <t>kg</t>
  </si>
  <si>
    <t>CotChongThepOng</t>
  </si>
  <si>
    <t>A24.0293</t>
  </si>
  <si>
    <t>Dây thép</t>
  </si>
  <si>
    <t>DayThep</t>
  </si>
  <si>
    <t>A24.0008</t>
  </si>
  <si>
    <t>Đá 1x2</t>
  </si>
  <si>
    <t>Da1x2</t>
  </si>
  <si>
    <t>Áp theo "Đá 1x2" trong Thông báo giá VL số: 621/2025/TB-SXD của Sở XD TP Hải Phòng ngày 08/12/2025. Vùng: 10</t>
  </si>
  <si>
    <t>A24.0418</t>
  </si>
  <si>
    <t>Gỗ ván</t>
  </si>
  <si>
    <t>GoVan</t>
  </si>
  <si>
    <t>Áp theo "Gỗ cốp pha (dày 2-3cm)" trong Thông báo giá VL số: 621/2025/TB-SXD của Sở XD TP Hải Phòng ngày 08/12/2025. Vùng: 10</t>
  </si>
  <si>
    <t>A24.0524</t>
  </si>
  <si>
    <t>Nước</t>
  </si>
  <si>
    <t>lít</t>
  </si>
  <si>
    <t>Nuoc(Lit)</t>
  </si>
  <si>
    <t>A24.0348</t>
  </si>
  <si>
    <t>ống xói F150mm</t>
  </si>
  <si>
    <t>OngXoi</t>
  </si>
  <si>
    <t>A24.0349</t>
  </si>
  <si>
    <t>ống xói F250mm</t>
  </si>
  <si>
    <t>A24.0350</t>
  </si>
  <si>
    <t>ống xói F50mm</t>
  </si>
  <si>
    <t>A24.0543</t>
  </si>
  <si>
    <t>Que hàn</t>
  </si>
  <si>
    <t>QueHan</t>
  </si>
  <si>
    <t>A24.0712</t>
  </si>
  <si>
    <t>Thép hình</t>
  </si>
  <si>
    <t>ThepHinh</t>
  </si>
  <si>
    <t>A24.0726</t>
  </si>
  <si>
    <t>Thép tấm</t>
  </si>
  <si>
    <t>ThepTam</t>
  </si>
  <si>
    <t>A24.0738</t>
  </si>
  <si>
    <t>Thép tròn D&lt;=10mm</t>
  </si>
  <si>
    <t>ThepTron&lt;=10</t>
  </si>
  <si>
    <t>A24.0739</t>
  </si>
  <si>
    <t>Thép tròn D&lt;=18mm</t>
  </si>
  <si>
    <t>ThepTron&lt;=18</t>
  </si>
  <si>
    <t>A24.0782</t>
  </si>
  <si>
    <t>Vải địa kỹ thuật</t>
  </si>
  <si>
    <t>VaiDiaKyThuat</t>
  </si>
  <si>
    <t>Áp theo "Vài địa kỹ thuật không dệt 12KN" trong Thông báo giá VL số: 621/2025/TB-SXD của Sở XD TP Hải Phòng ngày 08/12/2025. Vùng: 10</t>
  </si>
  <si>
    <t>A24.0797A</t>
  </si>
  <si>
    <t>Xi măng PCB30</t>
  </si>
  <si>
    <t>XiMangPCB30</t>
  </si>
  <si>
    <t>Áp theo "Xi măng PCB30 bao Chinfon (đường bộ)" trong Thông báo giá VL số: 621/2025/TB-SXD của Sở XD TP Hải Phòng ngày 08/12/2025. Vùng: 10</t>
  </si>
  <si>
    <t>II</t>
  </si>
  <si>
    <t>NHÂN CÔNG</t>
  </si>
  <si>
    <t>N1.30</t>
  </si>
  <si>
    <t>Nhân công 3,0/7 - Nhóm 1</t>
  </si>
  <si>
    <t>công</t>
  </si>
  <si>
    <t>Được tính toán, rồi Link từ sheet Nhân công sang</t>
  </si>
  <si>
    <t>N2.30</t>
  </si>
  <si>
    <t>Nhân công 3,0/7 - Nhóm 2</t>
  </si>
  <si>
    <t>N2.35</t>
  </si>
  <si>
    <t>Nhân công 3,5/7 - Nhóm 2</t>
  </si>
  <si>
    <t>N2.40</t>
  </si>
  <si>
    <t>Nhân công 4,0/7 - Nhóm 2</t>
  </si>
  <si>
    <t>III</t>
  </si>
  <si>
    <t>MÁY THI CÔNG</t>
  </si>
  <si>
    <t>M109.0507</t>
  </si>
  <si>
    <t>Ca nô 150 CV</t>
  </si>
  <si>
    <t>M622</t>
  </si>
  <si>
    <t>Được tính toán, rồi Link từ sheet Máy sang</t>
  </si>
  <si>
    <t>M102.0302</t>
  </si>
  <si>
    <t>Cần cẩu bánh xích 10T</t>
  </si>
  <si>
    <t>M197</t>
  </si>
  <si>
    <t>M102.0501</t>
  </si>
  <si>
    <t>Cần cẩu nổi, kéo theo 30T</t>
  </si>
  <si>
    <t>M221</t>
  </si>
  <si>
    <t>M102.0406</t>
  </si>
  <si>
    <t>Cần trục tháp - sức nâng : 25,0 T</t>
  </si>
  <si>
    <t>M215</t>
  </si>
  <si>
    <t>M112.0105</t>
  </si>
  <si>
    <t>Máy bơm nước, động cơ điện 14 kW</t>
  </si>
  <si>
    <t>M345</t>
  </si>
  <si>
    <t>M112.0402</t>
  </si>
  <si>
    <t>Máy bơm xói 4MC (75 kW)</t>
  </si>
  <si>
    <t>M679</t>
  </si>
  <si>
    <t>M112.2601</t>
  </si>
  <si>
    <t>Máy cắt uốn cốt thép - công suất : 5,0 kW</t>
  </si>
  <si>
    <t>M454</t>
  </si>
  <si>
    <t>M112.3801</t>
  </si>
  <si>
    <t>Máy cưa gỗ cầm tay - công suất : 1,3 kW</t>
  </si>
  <si>
    <t>M459</t>
  </si>
  <si>
    <t>M101.0104</t>
  </si>
  <si>
    <t>Máy đào một gầu, bánh xích - dung tích gầu : 0,80 m3</t>
  </si>
  <si>
    <t>M6</t>
  </si>
  <si>
    <t>M101.0105</t>
  </si>
  <si>
    <t>Máy đào một gầu, bánh xích - dung tích gầu : 1,25 m3</t>
  </si>
  <si>
    <t>M9</t>
  </si>
  <si>
    <t>M112.1301</t>
  </si>
  <si>
    <t>Máy đầm bê tông, dầm dùi - công suất : 1,5 kW</t>
  </si>
  <si>
    <t>M310</t>
  </si>
  <si>
    <t>M101.0803</t>
  </si>
  <si>
    <t>Máy đầm đất cầm tay - trọng lượng : 70 kg</t>
  </si>
  <si>
    <t>M71</t>
  </si>
  <si>
    <t>M103.0202</t>
  </si>
  <si>
    <t>Máy đóng cọc chạy trên ray - trọng lượng đầu búa : 1,8 T</t>
  </si>
  <si>
    <t>M492</t>
  </si>
  <si>
    <t>M112.4003</t>
  </si>
  <si>
    <t>Máy hàn xoay chiều - công suất : 23,0 kW</t>
  </si>
  <si>
    <t>M423</t>
  </si>
  <si>
    <t>M108.0308</t>
  </si>
  <si>
    <t>Máy nén khí, động cơ diezel - năng suất : 1200,00 m3/h</t>
  </si>
  <si>
    <t>M406</t>
  </si>
  <si>
    <t>M104.0102</t>
  </si>
  <si>
    <t>Máy trộn bê tông - dung tích : 250,0 lít</t>
  </si>
  <si>
    <t>M270</t>
  </si>
  <si>
    <t>M101.0503</t>
  </si>
  <si>
    <t>Máy ủi - công suất : 110,0 CV</t>
  </si>
  <si>
    <t>M45</t>
  </si>
  <si>
    <t>M102.1001</t>
  </si>
  <si>
    <t>Máy vận thăng lồng - sức nâng : 3,0 T</t>
  </si>
  <si>
    <t>M578</t>
  </si>
  <si>
    <t>M106.0202</t>
  </si>
  <si>
    <t>Ô tô tự đổ - trọng tải : 5,0 T</t>
  </si>
  <si>
    <t>M107</t>
  </si>
  <si>
    <t>M109.0104</t>
  </si>
  <si>
    <t>Sà lan 400T</t>
  </si>
  <si>
    <t>M522</t>
  </si>
  <si>
    <t>DỮ LIỆU ĐẦU VÀO TÍNH NHÂN CÔNG, CA MÁY</t>
  </si>
  <si>
    <t>BẢNG 1.  MỨC LƯƠNG, SỐ NGÀY LÀM VIỆC</t>
  </si>
  <si>
    <t>Tên, loại dữ liệu</t>
  </si>
  <si>
    <t>Giá trị</t>
  </si>
  <si>
    <t>Mức lương tối thiểu chung (đồng/tháng)</t>
  </si>
  <si>
    <t>Mức lương đầu vào LNC (đồng/tháng)</t>
  </si>
  <si>
    <t>Số ngày làm việc (ngày/tháng)</t>
  </si>
  <si>
    <t>Hệ số điều chỉnh nhân công</t>
  </si>
  <si>
    <t>BẢNG 2.  TỶ LỆ CÁC KHOẢN PHỤ CẤP</t>
  </si>
  <si>
    <t>Loại phụ cấp</t>
  </si>
  <si>
    <t>Tỷ lệ</t>
  </si>
  <si>
    <t>Phụ cấp lưu động</t>
  </si>
  <si>
    <t>Không ổn định sản xuất</t>
  </si>
  <si>
    <t>Lương phụ nghỉ lễ, tết hoặc nghỉ phép ...</t>
  </si>
  <si>
    <t>Chi phí có thể khoán trực tiếp cho người lao động</t>
  </si>
  <si>
    <t>Phụ cấp khu vực</t>
  </si>
  <si>
    <t>Phụ cấp độc hại</t>
  </si>
  <si>
    <t>Phụ cấp thu hút</t>
  </si>
  <si>
    <t>Phụ cấp trách nhiệm</t>
  </si>
  <si>
    <t>Phụ cấp bảo hiểm</t>
  </si>
  <si>
    <t>Phụ cấp vùng sâu, vùng xa, khó khăn, đắt đỏ</t>
  </si>
  <si>
    <t>BẢNG 3.  ĐƠN GIÁ NHIÊN LIỆU, ĐIỆN (TRƯỚC THUẾ VAT)</t>
  </si>
  <si>
    <t>Loại nhiên liệu, năng lượng</t>
  </si>
  <si>
    <t>Diezel</t>
  </si>
  <si>
    <t>Lít</t>
  </si>
  <si>
    <t>Mazut</t>
  </si>
  <si>
    <t>Điện</t>
  </si>
  <si>
    <t>kwh</t>
  </si>
  <si>
    <t>Giá điện theo: Quyết định 1279/QĐ-BCT ngày 09/05/2025</t>
  </si>
  <si>
    <t>Xăng A92</t>
  </si>
  <si>
    <t>Giá nhiên liệu theo: Công bố của Petrolimex ngày 29/01/2026</t>
  </si>
  <si>
    <t>BẢNG 4.  HỆ SỐ NHIÊN LIỆU PHỤ</t>
  </si>
  <si>
    <t>Loại động cơ</t>
  </si>
  <si>
    <t>Động cơ Diezel</t>
  </si>
  <si>
    <t>Động cơ Mazut</t>
  </si>
  <si>
    <t>Động cơ Điện</t>
  </si>
  <si>
    <t>Động cơ Xăng</t>
  </si>
  <si>
    <t>BẢNG 5.  THU HỒI KHI THANH LÝ</t>
  </si>
  <si>
    <t>Thu hồi thanh lý khi nguyên giá từ (triệu đồng)</t>
  </si>
  <si>
    <t>Tỷ lệ thu hồi khi thanh lý</t>
  </si>
  <si>
    <t>BẢNG 6.  LÀM TRÒN SỐ HỌC</t>
  </si>
  <si>
    <t>Đối tượng làm tròn</t>
  </si>
  <si>
    <t>Làm tròn</t>
  </si>
  <si>
    <t>Giá</t>
  </si>
  <si>
    <t>Đơn giá Nhân công, Lương thợ lái máy</t>
  </si>
  <si>
    <t>Tổng đơn giá</t>
  </si>
  <si>
    <t>Hệ số lương</t>
  </si>
  <si>
    <t>BẢNG 7.  CÁC KÝ HIỆU VIẾT TẮT</t>
  </si>
  <si>
    <t>Ý nghĩa ký hiệu viết tắt</t>
  </si>
  <si>
    <t>Ký hiệu</t>
  </si>
  <si>
    <t>Mức lương đầu vào</t>
  </si>
  <si>
    <t>LNC</t>
  </si>
  <si>
    <t>Lương cơ bản (lương cấp bậc)</t>
  </si>
  <si>
    <t>LCB</t>
  </si>
  <si>
    <t>Hệ số lương theo cấp bậc</t>
  </si>
  <si>
    <t>HCB</t>
  </si>
  <si>
    <t>BẢNG TÍNH ĐƠN GIÁ NHÂN CÔNG</t>
  </si>
  <si>
    <t>(Theo Quyết định 479/QĐ-SXD năm 2024 của tỉnh Hải Phòng - Các quận, huyện.)</t>
  </si>
  <si>
    <t>Tên nhân công</t>
  </si>
  <si>
    <t>Hệ số lương (HCB)</t>
  </si>
  <si>
    <t>Đơn giá NC bình quân
(đ/công)</t>
  </si>
  <si>
    <t>Hệ số lương bình quân</t>
  </si>
  <si>
    <t>Lương CB
(đ/công)</t>
  </si>
  <si>
    <t>Hệ số
điều chỉnh
nhân công</t>
  </si>
  <si>
    <t>Đơn giá
nhân công
(đ/công)</t>
  </si>
  <si>
    <t>Hệ số lương (chưa làm tròn)</t>
  </si>
  <si>
    <t>BẢNG TÍNH ĐƠN GIÁ CA MÁY</t>
  </si>
  <si>
    <t>(Theo Thông tư 60/2025/TT-BXD, Quyết định 479/QĐ-SXD năm 2024 của tỉnh Hải Phòng - Các quận, huyện.)</t>
  </si>
  <si>
    <t>Tên máy và thiết bị thi công / Diễn giải</t>
  </si>
  <si>
    <t>Số ca / 1 năm</t>
  </si>
  <si>
    <t>Định mức</t>
  </si>
  <si>
    <t>Số ngày / tháng</t>
  </si>
  <si>
    <t>* Nhiên liệu, năng lượng :</t>
  </si>
  <si>
    <t>* Nhân công vận hành máy :</t>
  </si>
  <si>
    <t xml:space="preserve"> - Thuyền trưởng bậc 1/2 - Nhóm 1</t>
  </si>
  <si>
    <t>Lương cơ bản</t>
  </si>
  <si>
    <t xml:space="preserve"> - Máy 1 bậc 1/2 - Nhóm 1</t>
  </si>
  <si>
    <t xml:space="preserve"> - Thủy thủ bậc 2/4</t>
  </si>
  <si>
    <t>* Khấu hao, Sửa chữa và Chi phí khác</t>
  </si>
  <si>
    <t xml:space="preserve"> - Khấu hao</t>
  </si>
  <si>
    <t xml:space="preserve"> - Sửa chữa</t>
  </si>
  <si>
    <t xml:space="preserve"> - Chi phí khác</t>
  </si>
  <si>
    <t xml:space="preserve"> - Nhân công bậc 4,0/7 - Nhóm 4</t>
  </si>
  <si>
    <t xml:space="preserve"> - Nhân công bậc 5,0/7 - Nhóm 4</t>
  </si>
  <si>
    <t xml:space="preserve"> - Thuyền phó 2 bậc 1/2 - Nhóm 2</t>
  </si>
  <si>
    <t xml:space="preserve"> - Thợ máy bậc 2/4</t>
  </si>
  <si>
    <t xml:space="preserve"> - Thợ máy bậc 3/4</t>
  </si>
  <si>
    <t xml:space="preserve"> - Thợ điện bậc 2/4</t>
  </si>
  <si>
    <t xml:space="preserve"> - Nhân công bậc 3,0/7 - Nhóm 4</t>
  </si>
  <si>
    <t xml:space="preserve"> - Nhân công bậc 6,0/7 - Nhóm 4</t>
  </si>
  <si>
    <t xml:space="preserve"> - Lái xe bậc 2/4 - Nhóm 4</t>
  </si>
  <si>
    <t>HAO PHÍ VẬT LIỆU, NHÂN CÔNG, MÁY CHO CÁC CÔNG TÁC</t>
  </si>
  <si>
    <t>VL khác, Máy khác</t>
  </si>
  <si>
    <t>VLK gốc</t>
  </si>
  <si>
    <t>MK gốc</t>
  </si>
  <si>
    <t>VLK HT</t>
  </si>
  <si>
    <t>MK HT</t>
  </si>
  <si>
    <t>Cước VC</t>
  </si>
  <si>
    <t>Cước bộ</t>
  </si>
  <si>
    <t>So sánh</t>
  </si>
  <si>
    <t>Mã hiệu</t>
  </si>
  <si>
    <t>Tên công tác / vật tư</t>
  </si>
  <si>
    <t>Định mức hao phí</t>
  </si>
  <si>
    <t>Khối lượng hao phí</t>
  </si>
  <si>
    <t>a) Vật liệu</t>
  </si>
  <si>
    <t>Z999</t>
  </si>
  <si>
    <t>Vât liệu khác</t>
  </si>
  <si>
    <t>%</t>
  </si>
  <si>
    <t>b) Nhân công</t>
  </si>
  <si>
    <t>c) Máy thi công</t>
  </si>
  <si>
    <t>M999</t>
  </si>
  <si>
    <t>Máy khác</t>
  </si>
  <si>
    <t>BẢNG TỔNG HỢP VẬT TƯ VÀ CHÊNH LỆCH GIÁ</t>
  </si>
  <si>
    <t>Cước ôtô
Cước sông</t>
  </si>
  <si>
    <t>TỔNG VẬT LIỆU</t>
  </si>
  <si>
    <t>TỔNG NHÂN CÔNG</t>
  </si>
  <si>
    <t>TỔNG MÁY THI CÔNG</t>
  </si>
  <si>
    <t>BẢNG CƯỚC VẬN CHUYỂN</t>
  </si>
  <si>
    <t>Tên vật liệu
/
Diễn giải vận chuyển</t>
  </si>
  <si>
    <t>Đơn
vị</t>
  </si>
  <si>
    <t>Khối
lượng</t>
  </si>
  <si>
    <t>Nhóm vật liệu</t>
  </si>
  <si>
    <t>Quy
đổi
đơn
vị</t>
  </si>
  <si>
    <t>Nguồn
mua</t>
  </si>
  <si>
    <t>Phương
tiện
vận
chuyển
/ Loại
hình</t>
  </si>
  <si>
    <t>Bậc
hàng</t>
  </si>
  <si>
    <t>Hệ
số
bậc
hàng</t>
  </si>
  <si>
    <t>Cự
ly
tổng
(km)</t>
  </si>
  <si>
    <t>Cung
đường</t>
  </si>
  <si>
    <t>H.số
đổ
ben
hoặc
bốc
dỡ</t>
  </si>
  <si>
    <t>H.số
sử
dụng
xe
tải
nhỏ</t>
  </si>
  <si>
    <t>Định
mức
ca
máy
&lt;=1
km</t>
  </si>
  <si>
    <t>Định
mức
ca
máy
&lt;=10
km</t>
  </si>
  <si>
    <t>Định
mức
ca
máy
&lt;=60
km</t>
  </si>
  <si>
    <t>Định
mức
ca
máy
&gt;60
km</t>
  </si>
  <si>
    <t>Định mức
ca máy
(ca/km)</t>
  </si>
  <si>
    <t>Định mức
ca máy
đã v/c
trước
(ca/km)</t>
  </si>
  <si>
    <t>Đơn giá
ca máy
(đ/ca)</t>
  </si>
  <si>
    <t>Giá cước
(đ)</t>
  </si>
  <si>
    <t>Cộng
thêm
cước
(đ/T)</t>
  </si>
  <si>
    <t>Thành tiền
Chi phí
(đ)</t>
  </si>
  <si>
    <t>Hệ
số
điều
chỉnh
cước
VC</t>
  </si>
  <si>
    <t>Cước V/C
sau khi
điều
chỉnh
(đ)</t>
  </si>
  <si>
    <t>Bốc xếp
+ vận
chuyển
bằng xe
ben
(đ)</t>
  </si>
  <si>
    <t>Định
mức
bốc
lên
khi
trung
chuyển</t>
  </si>
  <si>
    <t>Định
mức
dỡ
xuống
khi
trung
chuyển</t>
  </si>
  <si>
    <t>Đơn giá
bốc dỡ</t>
  </si>
  <si>
    <t>Chi phí
bốc dỡ
khi
trung
chuyển
(đ)</t>
  </si>
  <si>
    <t>Hệ số
hao hụt
khi
trung
chuyển</t>
  </si>
  <si>
    <t>Chi phí
hao hụt
khi
trung
chuyển
(đ)</t>
  </si>
  <si>
    <t>Định
mức
bốc
lên
khi
bảo
quản</t>
  </si>
  <si>
    <t>Định
mức
dỡ
xuống
khi
bảo
quản</t>
  </si>
  <si>
    <t>Chi phí
bốc dỡ
khi
bảo
quản
(đ)</t>
  </si>
  <si>
    <t>Hệ
số
hao
hụt
bảo
quản</t>
  </si>
  <si>
    <t>Chi phí
hao
hụt
bảo
quản</t>
  </si>
  <si>
    <t>Giá V/C
trước
thuế
(đ)</t>
  </si>
  <si>
    <t>Thành tiền
Vận chuyển
(đ)</t>
  </si>
  <si>
    <t>Giá vật
liệu gốc
trước thuế
(đ)</t>
  </si>
  <si>
    <t>Giá hiện
trường
trước
thuế
(đ)</t>
  </si>
  <si>
    <t>Thành tiền
hiện trường
(đ)</t>
  </si>
  <si>
    <t>Cự
ly
(km)</t>
  </si>
  <si>
    <t>Loại
đường</t>
  </si>
  <si>
    <t>Vùng</t>
  </si>
  <si>
    <t>Hệ
số
loại
đường</t>
  </si>
  <si>
    <t>Đã
v/c
(km)</t>
  </si>
  <si>
    <t>Cự
ly
&lt;=1
km</t>
  </si>
  <si>
    <t>Cự
ly
&lt;=10
km</t>
  </si>
  <si>
    <t>Cự
ly
&lt;=60
km</t>
  </si>
  <si>
    <t>Cự
ly
&gt;60
km</t>
  </si>
  <si>
    <t>ô tô tự đổ 7T</t>
  </si>
  <si>
    <t>ô tô thùng 7T</t>
  </si>
  <si>
    <t>Thép các loại</t>
  </si>
  <si>
    <t>Đá dăm</t>
  </si>
  <si>
    <t>Gỗ các loại</t>
  </si>
  <si>
    <t>Xi măng bao</t>
  </si>
  <si>
    <t>BẢNG CƯỚC VẬN CHUYỂN BỘ HẠNG MỤC CÔNG TRÌNH</t>
  </si>
  <si>
    <t>Tên vật liệu
/
Diễn giải
cung đường</t>
  </si>
  <si>
    <t>Phương
tiện
vận
chuyển</t>
  </si>
  <si>
    <t>Có
bốc
dỡ</t>
  </si>
  <si>
    <t>Cự ly
vận
chuyển
(m)</t>
  </si>
  <si>
    <t>Hệ
số
cự
ly</t>
  </si>
  <si>
    <t>Cự ly
quy
đổi
(m)</t>
  </si>
  <si>
    <t>Số công bốc dỡ / V.C
(công)</t>
  </si>
  <si>
    <t>Đơn giá bốc dỡ / V.C
(đồng)</t>
  </si>
  <si>
    <t>Hệ
số
độ
dốc</t>
  </si>
  <si>
    <t>Giá
cước
1 cung
đường
(đ)</t>
  </si>
  <si>
    <t>Hệ
số
khu
vực</t>
  </si>
  <si>
    <t>Hệ
số
điều
chỉnh
cước</t>
  </si>
  <si>
    <t>Trọng
lượng
đơn
vị</t>
  </si>
  <si>
    <t>Giá
cước bộ
(đ)</t>
  </si>
  <si>
    <t>Thành tiền
vận
chuyển
(đ)</t>
  </si>
  <si>
    <t>Đơn giá
NC
(đ)</t>
  </si>
  <si>
    <t>Bốc dỡ</t>
  </si>
  <si>
    <t>10m đầu</t>
  </si>
  <si>
    <t>10m tiếp</t>
  </si>
  <si>
    <t>Cát các loại</t>
  </si>
  <si>
    <t>Tre, cây chống</t>
  </si>
  <si>
    <t>Sỏi, đá dăm các loại</t>
  </si>
  <si>
    <t>BẢNG TỔNG HỢP DỰ TOÁN CHI PHÍ XÂY DỰNG</t>
  </si>
  <si>
    <t>Tên công trình: XÂY DỰNG HỆ THỐNG CỐNG HỘP KÊNH BẾN KEM ĐOẠN TỪ NHÀ ÔNG CHÍN ĐẾN KÊNH ĐẠI TRÀ 2, XÃ KIẾN MINH</t>
  </si>
  <si>
    <t>Tên hạng mục: HẠNG MỤC 1</t>
  </si>
  <si>
    <t>Nội dung chi phí</t>
  </si>
  <si>
    <t>Cách tính</t>
  </si>
  <si>
    <t>CHI PHÍ TRỰC TIẾP</t>
  </si>
  <si>
    <t>1</t>
  </si>
  <si>
    <t>Chi phí Vật liệu</t>
  </si>
  <si>
    <t>VL</t>
  </si>
  <si>
    <t xml:space="preserve"> + Theo đơn giá trực tiếp</t>
  </si>
  <si>
    <t>A1</t>
  </si>
  <si>
    <t>Bảng dự toán hạng mục</t>
  </si>
  <si>
    <t xml:space="preserve"> + Chênh lệch vật liệu</t>
  </si>
  <si>
    <t>CL</t>
  </si>
  <si>
    <t>Theo bảng bù giá</t>
  </si>
  <si>
    <t>Cộng</t>
  </si>
  <si>
    <t>A</t>
  </si>
  <si>
    <t>A1 + CL</t>
  </si>
  <si>
    <t>2</t>
  </si>
  <si>
    <t>Chi phí Nhân công</t>
  </si>
  <si>
    <t>NC</t>
  </si>
  <si>
    <t>B1</t>
  </si>
  <si>
    <t xml:space="preserve"> + Chênh lệch nhân công</t>
  </si>
  <si>
    <t>CLNC</t>
  </si>
  <si>
    <t>B</t>
  </si>
  <si>
    <t>B1 + CLNC</t>
  </si>
  <si>
    <t>3</t>
  </si>
  <si>
    <t>Chi phí Máy thi công</t>
  </si>
  <si>
    <t>M</t>
  </si>
  <si>
    <t>C1</t>
  </si>
  <si>
    <t xml:space="preserve"> + Chênh lệch Máy thi công</t>
  </si>
  <si>
    <t>CLMay</t>
  </si>
  <si>
    <t>C</t>
  </si>
  <si>
    <t>C1 + CLMay</t>
  </si>
  <si>
    <t>Cộng chi phí trực tiếp</t>
  </si>
  <si>
    <t>T</t>
  </si>
  <si>
    <t>VL + NC + M</t>
  </si>
  <si>
    <t>CHI PHÍ GIÁN TIẾP</t>
  </si>
  <si>
    <t>Chi phí chung</t>
  </si>
  <si>
    <t>Chi phí nhà tạm để ở và điều hành thi công</t>
  </si>
  <si>
    <t>LT</t>
  </si>
  <si>
    <t>Chi phí một số công việc không xác định được khối lượng từ thiết kế</t>
  </si>
  <si>
    <t>Cộng chi phí gián tiếp</t>
  </si>
  <si>
    <t>GT</t>
  </si>
  <si>
    <t>(C + LT + TT)</t>
  </si>
  <si>
    <t>THU NHẬP CHỊU THUẾ TÍNH TRƯỚC</t>
  </si>
  <si>
    <t>TL</t>
  </si>
  <si>
    <t>Chi phí xây dựng trước thuế</t>
  </si>
  <si>
    <t>G</t>
  </si>
  <si>
    <t>(T+GT+TL)</t>
  </si>
  <si>
    <t>IV</t>
  </si>
  <si>
    <t>THUẾ GIÁ TRỊ GIA TĂNG</t>
  </si>
  <si>
    <t>GTGT</t>
  </si>
  <si>
    <t>V</t>
  </si>
  <si>
    <t>Chi phí xây dựng sau thuế</t>
  </si>
  <si>
    <t>Gxd</t>
  </si>
  <si>
    <t>G+GTGT</t>
  </si>
  <si>
    <t>LÀM TRÒN</t>
  </si>
  <si>
    <t>Bằng chữ: Sáu tỷ sáu trăm tám mươi tám triệu năm trăm tám mươi ba nghìn đồng chẵn./.</t>
  </si>
  <si>
    <t>BẢNG TỔNG HỢP CHI PHÍ XÂY DỰNG CÔNG TRÌNH</t>
  </si>
  <si>
    <t>Hạng mục</t>
  </si>
  <si>
    <t>Chi phí xây dựng
trước thuế</t>
  </si>
  <si>
    <t>Thuế giá trị
gia tăng</t>
  </si>
  <si>
    <t>Chi phí xây dựng
sau thuế</t>
  </si>
  <si>
    <t>Chi phí khác</t>
  </si>
  <si>
    <t>Tổng cộng</t>
  </si>
  <si>
    <t>TỔNG CỘNG</t>
  </si>
  <si>
    <t>BẢNG TỔNG HỢP CHI PHÍ THIẾT BỊ CÔNG TRÌNH</t>
  </si>
  <si>
    <t/>
  </si>
  <si>
    <t>Số lượng</t>
  </si>
  <si>
    <t>Thuế VAT</t>
  </si>
  <si>
    <t>Chi phí mua sắm thiết bị</t>
  </si>
  <si>
    <t>Bằng chữ: Không đồng chẵn./.</t>
  </si>
  <si>
    <t>CHỈ SỐ GIÁ BÌNH QUÂN</t>
  </si>
  <si>
    <t>Thời điểm</t>
  </si>
  <si>
    <t>Chỉ số giá XD</t>
  </si>
  <si>
    <t>Tỷ lệ ( Isau / Itrước )</t>
  </si>
  <si>
    <t>Chỉ số giá XD bình quân</t>
  </si>
  <si>
    <t>2021</t>
  </si>
  <si>
    <t>2022</t>
  </si>
  <si>
    <t>2023</t>
  </si>
  <si>
    <t>2024</t>
  </si>
  <si>
    <t>2025</t>
  </si>
  <si>
    <t>CHI PHÍ DỰ PHÒNG DO YẾU TỐ TRƯỢT GIÁ</t>
  </si>
  <si>
    <t>Năm</t>
  </si>
  <si>
    <t>Vốn phân bổ từng năm</t>
  </si>
  <si>
    <t>Lãi vay</t>
  </si>
  <si>
    <t>Chi phí tính dự phòng</t>
  </si>
  <si>
    <t>Mức biến động chỉ số giá XD</t>
  </si>
  <si>
    <t>Dự phòng từng năm</t>
  </si>
  <si>
    <t>Dự phòng lũy kế</t>
  </si>
  <si>
    <t>2026</t>
  </si>
  <si>
    <t>2027</t>
  </si>
  <si>
    <t>2028</t>
  </si>
  <si>
    <t>BẢNG TỔNG HỢP DỰ TOÁN CÔNG TRÌNH</t>
  </si>
  <si>
    <t>Tổng mức đầu tư</t>
  </si>
  <si>
    <t>Khoản mục chi phí</t>
  </si>
  <si>
    <t>Chi phí trước thuế</t>
  </si>
  <si>
    <t>Thuế giá trị gia tăng</t>
  </si>
  <si>
    <t>Chi phí sau thuế</t>
  </si>
  <si>
    <t>Dự kiến</t>
  </si>
  <si>
    <t>Tiền khả thi</t>
  </si>
  <si>
    <t>Được duyệt</t>
  </si>
  <si>
    <t>Ghi chú/ Hướng dẫn</t>
  </si>
  <si>
    <t>Chi phí bồi thường, hỗ trợ và tái định cư</t>
  </si>
  <si>
    <t>Gbt,tđc</t>
  </si>
  <si>
    <t>Gbttdc</t>
  </si>
  <si>
    <t>Chi phí xây dựng</t>
  </si>
  <si>
    <t>Gcpxd</t>
  </si>
  <si>
    <t>1.1</t>
  </si>
  <si>
    <t>Chi phí xây dựng công trình chính, phụ trợ tạm phục vụ thi công</t>
  </si>
  <si>
    <t>Gxdcpt</t>
  </si>
  <si>
    <t>Gxd.1</t>
  </si>
  <si>
    <t>1.2</t>
  </si>
  <si>
    <t>Chi phí xây dựng nhà tạm tại hiện trường để ở và điều hành thi công</t>
  </si>
  <si>
    <t>Gnt</t>
  </si>
  <si>
    <t>Gxdnt</t>
  </si>
  <si>
    <t>Chi phí thiết bị</t>
  </si>
  <si>
    <t>Gtb</t>
  </si>
  <si>
    <t>2.1</t>
  </si>
  <si>
    <t>Trong đó :</t>
  </si>
  <si>
    <t>Gtb_CT</t>
  </si>
  <si>
    <t>+ Chi phí Mua sắm thiết bị</t>
  </si>
  <si>
    <t>Gtb_MS</t>
  </si>
  <si>
    <t>+ Chi phí lắp đặt, thí nghiệm, hiệu chỉnh, đào tạo và chuyển giao thiết bị</t>
  </si>
  <si>
    <t>Gtb_LD</t>
  </si>
  <si>
    <t>2.2</t>
  </si>
  <si>
    <t>Phân bổ chi phí thiết bị cho các hạng mục, công trình</t>
  </si>
  <si>
    <t>Gtb_PB</t>
  </si>
  <si>
    <t>Gtb.1</t>
  </si>
  <si>
    <t>Chi phí quản lý dự án</t>
  </si>
  <si>
    <t>Gqlda</t>
  </si>
  <si>
    <t>Thông tư 60/2025/TT-BXD</t>
  </si>
  <si>
    <t>Chi phí hoạt động của đơn vị quản lý dự án thuộc cơ quan nhà nước có thẩm quyền thực hiện dự án theo hình thức đối tác công tư (PPP)</t>
  </si>
  <si>
    <t>GqldaPPP</t>
  </si>
  <si>
    <t>4</t>
  </si>
  <si>
    <t>Chi phí tư vấn đầu tư xây dựng</t>
  </si>
  <si>
    <t>Gtv</t>
  </si>
  <si>
    <t>Chi phí khảo sát</t>
  </si>
  <si>
    <t>Gtv1</t>
  </si>
  <si>
    <t>Gks</t>
  </si>
  <si>
    <t>Người dùng nhập ở cột Chi phí trước thuế hoặc Tạo và khai báo loại hạng mục "3. Khảo sát" bên sheet Công trình</t>
  </si>
  <si>
    <t>Chi phí lập nhiệm vụ khảo sát xây dựng</t>
  </si>
  <si>
    <t>Gtv2</t>
  </si>
  <si>
    <t>Glnvks</t>
  </si>
  <si>
    <t>Chi phí giám sát công tác khảo sát xây dựng</t>
  </si>
  <si>
    <t>Gtv3</t>
  </si>
  <si>
    <t>Ggsks</t>
  </si>
  <si>
    <t>Chi phí lập dự án</t>
  </si>
  <si>
    <t>Gtv4</t>
  </si>
  <si>
    <t>Glapda</t>
  </si>
  <si>
    <t>Chi phí thẩm tra tính hiệu quả và tính khả thi của dự án đầu tư</t>
  </si>
  <si>
    <t>Gtv5</t>
  </si>
  <si>
    <t>Ghqkt</t>
  </si>
  <si>
    <t>Chi phí Lập báo cáo đánh giá tác động môi trường</t>
  </si>
  <si>
    <t>Gtv6</t>
  </si>
  <si>
    <t>Gltdmt</t>
  </si>
  <si>
    <t>Chi phí Thẩm định báo cáo đánh giá tác động môi trường (Thông tư 195/2016/TT-BTC)</t>
  </si>
  <si>
    <t>Gtv7</t>
  </si>
  <si>
    <t>Gdgtdmt</t>
  </si>
  <si>
    <t>Chi phí lập báo cáo đề xuất chủ trương đầu tư</t>
  </si>
  <si>
    <t>Gtv8</t>
  </si>
  <si>
    <t>Gbcdxctdt</t>
  </si>
  <si>
    <t>Chi phí lập báo cáo nghiên cứu tiền khả thi</t>
  </si>
  <si>
    <t>Gtv9</t>
  </si>
  <si>
    <t>Gbcnctkt</t>
  </si>
  <si>
    <t>Chi phí lập báo cáo nghiên cứu khả thi</t>
  </si>
  <si>
    <t>Gtv10</t>
  </si>
  <si>
    <t>Gbcnckt</t>
  </si>
  <si>
    <t>4.2</t>
  </si>
  <si>
    <t>Chi phí lập báo cáo kinh tế - kỹ thuật</t>
  </si>
  <si>
    <t>Gbcktkt</t>
  </si>
  <si>
    <t>Chi phí thẩm tra báo cáo đề xuất chủ trương đầu tư</t>
  </si>
  <si>
    <t>Gtv12</t>
  </si>
  <si>
    <t>Gttbcdxctdt</t>
  </si>
  <si>
    <t>Chi phí thẩm tra báo cáo nghiên cứu tiền khả thi</t>
  </si>
  <si>
    <t>Gtv13</t>
  </si>
  <si>
    <t>Gttbcnctkt</t>
  </si>
  <si>
    <t>Chi phí thẩm tra báo cáo nghiên cứu khả thi</t>
  </si>
  <si>
    <t>Gtv14</t>
  </si>
  <si>
    <t>Gttbcnckt</t>
  </si>
  <si>
    <t>Chi phí thẩm tra thiết kế công nghệ</t>
  </si>
  <si>
    <t>Gtv15</t>
  </si>
  <si>
    <t>Gtttkcn</t>
  </si>
  <si>
    <t>Chi phí thẩm tra Báo cáo kinh tế - kỹ thuật, phần thiết kế</t>
  </si>
  <si>
    <t>Gtv16</t>
  </si>
  <si>
    <t>Gttbcktkt_tk</t>
  </si>
  <si>
    <t>Chi phí thẩm tra Báo cáo kinh tế - kỹ thuật, phần dự toán</t>
  </si>
  <si>
    <t>Gtv17</t>
  </si>
  <si>
    <t>Gttbcktkt_dt</t>
  </si>
  <si>
    <t>Chi phí thẩm định Báo cáo nghiên cứu khả thi</t>
  </si>
  <si>
    <t>Gtv18</t>
  </si>
  <si>
    <t>Gtdbcnckt</t>
  </si>
  <si>
    <t>Chi phí thẩm định Báo cáo kinh tế - kỹ thuật</t>
  </si>
  <si>
    <t>Gtv19</t>
  </si>
  <si>
    <t>Gtdbcktkt</t>
  </si>
  <si>
    <t>Chi phí thi tuyển thiết kế kiến trúc</t>
  </si>
  <si>
    <t>Gtv20</t>
  </si>
  <si>
    <t>Gkt</t>
  </si>
  <si>
    <t>Chi phí thiết kế kỹ thuật</t>
  </si>
  <si>
    <t>Gtv21</t>
  </si>
  <si>
    <t>Gtk</t>
  </si>
  <si>
    <t>Chi phí thiết kế bản vẽ thi công</t>
  </si>
  <si>
    <t>Gtv22</t>
  </si>
  <si>
    <t>Gtkbv</t>
  </si>
  <si>
    <t>Chi phí thiết kế - Phần thiết bị (khi Chi phí thiết bị ≥ 50% Tổng chi phí xây dựng và chi phí thiết bị)</t>
  </si>
  <si>
    <t>Gtv23</t>
  </si>
  <si>
    <t>GtkThietBi</t>
  </si>
  <si>
    <t>Chi phí thẩm tra thiết kế xây dựng</t>
  </si>
  <si>
    <t>Gtv24</t>
  </si>
  <si>
    <t>Gtttkkt</t>
  </si>
  <si>
    <t>4.3</t>
  </si>
  <si>
    <t>Chi phí thẩm tra thiết kế bản vẽ thi công</t>
  </si>
  <si>
    <t>Gtttktc</t>
  </si>
  <si>
    <t>4.4</t>
  </si>
  <si>
    <t>Chi phí thẩm tra dự toán công trình</t>
  </si>
  <si>
    <t>Gttdt</t>
  </si>
  <si>
    <t>4.5</t>
  </si>
  <si>
    <t>Chi phí Lập hồ sơ mời thầu, đánh giá hồ sơ dự thầu thi công xây dựng</t>
  </si>
  <si>
    <t>Glcnt</t>
  </si>
  <si>
    <t>Chi phí lập hoặc thẩm định kế hoạch tổng thể lựa chọn nhà thầu (Nghị định 214/2025/NĐ-CP)</t>
  </si>
  <si>
    <t>Gtv28</t>
  </si>
  <si>
    <t>Gltdkhttlcnt</t>
  </si>
  <si>
    <t>Chi phí lập hồ sơ mời quan tâm, hồ sơ mời sơ tuyển (Nghị định 214/2025/NĐ-CP)</t>
  </si>
  <si>
    <t>Gtv29</t>
  </si>
  <si>
    <t>0,1%*Gcpxd</t>
  </si>
  <si>
    <t>Glhsmqt</t>
  </si>
  <si>
    <t>Chi phí thẩm định hồ sơ mời quan tâm, hồ sơ mời sơ tuyển (Nghị định 214/2025/NĐ-CP)</t>
  </si>
  <si>
    <t>Gtv30</t>
  </si>
  <si>
    <t>0,06%*Gcpxd</t>
  </si>
  <si>
    <t>Gtdhsmqt</t>
  </si>
  <si>
    <t>Chi phí lập hồ sơ mời thầu, hồ sơ yêu cầu (Nghị định 214/2025/NĐ-CP)</t>
  </si>
  <si>
    <t>Gtv31</t>
  </si>
  <si>
    <t>0,2%*Gcpxd</t>
  </si>
  <si>
    <t>Glhsmt</t>
  </si>
  <si>
    <t>Chi phí thẩm định hồ sơ mời thầu, hồ sơ yêu cầu (Nghị định 214/2025/NĐ-CP)</t>
  </si>
  <si>
    <t>Gtdhsmt</t>
  </si>
  <si>
    <t>Nghị định 214/2025/NĐ-CP</t>
  </si>
  <si>
    <t>Chi phí đánh giá hồ sơ quan tâm, hồ sơ dự sơ tuyển (Nghị định 214/2025/NĐ-CP)</t>
  </si>
  <si>
    <t>Gtv33</t>
  </si>
  <si>
    <t>Gdghsqt</t>
  </si>
  <si>
    <t>Chi phí đánh giá hồ sơ dự thầu, hồ sơ đề xuất (Nghị định 214/2025/NĐ-CP)</t>
  </si>
  <si>
    <t>Gtv34</t>
  </si>
  <si>
    <t>Gdghsdt</t>
  </si>
  <si>
    <t>Chi phí thẩm định kết quả lựa chọn nhà thầu (Nghị định 214/2025/NĐ-CP)</t>
  </si>
  <si>
    <t>Gtdkqnt</t>
  </si>
  <si>
    <t>Chi phí cho Hội đồng tư vấn giải quyết kiến nghị của nhà thầu (Nghị định 214/2025/NĐ-CP)</t>
  </si>
  <si>
    <t>Gtv36</t>
  </si>
  <si>
    <t>0,015%-0,03%*Gcpxd</t>
  </si>
  <si>
    <t>Ghdtvgqkn</t>
  </si>
  <si>
    <t>Chi phí giám sát thi công xây dựng</t>
  </si>
  <si>
    <t>Ggstcxd</t>
  </si>
  <si>
    <t>Chi phí lập hồ sơ mời thầu, đánh giá hồ sơ dự thầu mua sắm thiết bị</t>
  </si>
  <si>
    <t>Gtv38</t>
  </si>
  <si>
    <t>Glcldtb</t>
  </si>
  <si>
    <t>Chi phí lập hồ sơ mời quan tâm, đánh giá hồ sơ quan tâm</t>
  </si>
  <si>
    <t>Gtv39</t>
  </si>
  <si>
    <t>Glhsmqt79</t>
  </si>
  <si>
    <t>Chi phí lập hồ sơ yêu cầu, đánh giá hồ sơ đề xuất</t>
  </si>
  <si>
    <t>Gtv40</t>
  </si>
  <si>
    <t>Glhsyc79</t>
  </si>
  <si>
    <t>Chi phí giám sát lắp đặt thiết bị</t>
  </si>
  <si>
    <t>Gtv41</t>
  </si>
  <si>
    <t>Ggsldtb</t>
  </si>
  <si>
    <t>Chi phí Lập hồ sơ mời thầu, đánh giá hồ sơ dự thầu tư vấn</t>
  </si>
  <si>
    <t>Gtv42</t>
  </si>
  <si>
    <t>Gthautv</t>
  </si>
  <si>
    <t>Chi phí lập mô hình thủy lực và thí nghiệm mô hình</t>
  </si>
  <si>
    <t>Gtv43</t>
  </si>
  <si>
    <t>Glmhtl</t>
  </si>
  <si>
    <t>Chi phí tư vấn khác</t>
  </si>
  <si>
    <t>Gtv44</t>
  </si>
  <si>
    <t>Gtuvankhac</t>
  </si>
  <si>
    <t>5</t>
  </si>
  <si>
    <t>Gk</t>
  </si>
  <si>
    <t>Chi phí rà phá bom mìn, vật nổ</t>
  </si>
  <si>
    <t>Gk1</t>
  </si>
  <si>
    <t>Gbommin</t>
  </si>
  <si>
    <t>Chi phí hạng mục chung, phụ trợ khác</t>
  </si>
  <si>
    <t>Gk2</t>
  </si>
  <si>
    <t>Ghmc</t>
  </si>
  <si>
    <t>5.1</t>
  </si>
  <si>
    <t>Phí thẩm định thiết kế xây dựng triển khai sau thiết kế cơ sở (Thông tư 27/2023/TT-BTC)</t>
  </si>
  <si>
    <t>Gtttk_BTC</t>
  </si>
  <si>
    <t>Thông tư 27/2023/TT-BTC</t>
  </si>
  <si>
    <t>Phí thẩm định dự toán xây dựng (Thông tư 27/2023/TT-BTC)</t>
  </si>
  <si>
    <t>Gttdt_BTC</t>
  </si>
  <si>
    <t>Phí thẩm định dự án đầu tư xây dựng (Thông tư 28/2023/TT-BTC)</t>
  </si>
  <si>
    <t>Gk5</t>
  </si>
  <si>
    <t>Gthamdinh</t>
  </si>
  <si>
    <t>Phí thẩm định dự án đầu tư xây dựng đã được phê duyệt trong Tổng mức đầu tư</t>
  </si>
  <si>
    <t>Gk6</t>
  </si>
  <si>
    <t>Gthamdinh1</t>
  </si>
  <si>
    <t>Nếu là Tổng dự toán thì người dùng nhập ở cột Chi phí trước thuế giá trị của Phí thẩm định dự án ĐTXD đã được phê duyệt trong Tổng mức đầu tư trước đó</t>
  </si>
  <si>
    <t>Phí thẩm định thiết kế cơ sở (Thông tư 28/2023/TT-BTC)</t>
  </si>
  <si>
    <t>Gk7</t>
  </si>
  <si>
    <t>GthamdinhTKCSTruoc</t>
  </si>
  <si>
    <t>Phí thẩm định phê duyệt thiết kế phòng cháy và chữa cháy</t>
  </si>
  <si>
    <t>Gk8</t>
  </si>
  <si>
    <t>GthamdinhPCCC</t>
  </si>
  <si>
    <t>Phí thẩm định phê duyệt thiết kế về phòng cháy và chữa cháy đã được duyệt trong Tổng mức đầu tư</t>
  </si>
  <si>
    <t>Gk9</t>
  </si>
  <si>
    <t>GthamdinhPCCC1</t>
  </si>
  <si>
    <t>Nếu là Tổng dự toán thì người dùng nhập ở cột Chi phí trước thuế giá trị của Phí thẩm định phê duyệt thiết kế về PCCC đã được phê duyệt trong Tổng mức đầu tư trước đó</t>
  </si>
  <si>
    <t>Chi phí thẩm tra, phê duyệt quyết toán</t>
  </si>
  <si>
    <t>Gk3</t>
  </si>
  <si>
    <t>Gthamtra</t>
  </si>
  <si>
    <t>Nghị định 254/2025/NĐ-CP</t>
  </si>
  <si>
    <t>Chi phí kiểm toán độc lập</t>
  </si>
  <si>
    <t>Gk4</t>
  </si>
  <si>
    <t>Gkiemtoan</t>
  </si>
  <si>
    <t>Phí bảo hiểm công trình (Phụ lục III - Nghị định 67/2023/NĐ-CP)</t>
  </si>
  <si>
    <t>Gk12</t>
  </si>
  <si>
    <t>Gbaohiem</t>
  </si>
  <si>
    <t>Phí bảo hiểm trách nhiệm nghề nghiệp Tư vấn đầu tư xây dựng (Phụ lục IV - Nghị định 67/2023/NĐ-CP)</t>
  </si>
  <si>
    <t>Gk13</t>
  </si>
  <si>
    <t>Gbaohiemtuvan</t>
  </si>
  <si>
    <t>Chi phí kiểm tra công tác nghiệm thu công trình xây dựng (Thông tư 10/2021/TT-BXD)</t>
  </si>
  <si>
    <t>Gkiemtranghiemthu</t>
  </si>
  <si>
    <t>Thông tư 10/2021/TT-BXD</t>
  </si>
  <si>
    <t>6</t>
  </si>
  <si>
    <t>Chi phí dự phòng</t>
  </si>
  <si>
    <t>Gdp</t>
  </si>
  <si>
    <t>Chi phí dự phòng cho yếu tố khối lượng phát sinh</t>
  </si>
  <si>
    <t>Gdp1</t>
  </si>
  <si>
    <t>Chi phí dự phòng cho yếu tố trượt giá</t>
  </si>
  <si>
    <t>Gdp2</t>
  </si>
  <si>
    <t>Gtmdt</t>
  </si>
  <si>
    <t>Nội suy theo Tổng mức đầu tư: OK</t>
  </si>
  <si>
    <t>Chi phí thẩm định, thẩm tra, kiểm toán</t>
  </si>
  <si>
    <t>Gkt1 : Gkt4</t>
  </si>
  <si>
    <t>Gthamdinhkiemtoan</t>
  </si>
  <si>
    <t>Phí thẩm định dự án đầu tư xây dựng (Thông tư 209/2016/TT-BTC)</t>
  </si>
  <si>
    <t>Gkt1</t>
  </si>
  <si>
    <t>GthamdinhSau</t>
  </si>
  <si>
    <t>Phí thẩm định thiết kế cơ sở (Thông tư 209/2016/TT-BTC)</t>
  </si>
  <si>
    <t>Gkt2</t>
  </si>
  <si>
    <t>GthamdinhTKCS</t>
  </si>
  <si>
    <t>Gkt3</t>
  </si>
  <si>
    <t>GthamtraSau</t>
  </si>
  <si>
    <t>Gkt4</t>
  </si>
  <si>
    <t>GkiemtoanSau</t>
  </si>
  <si>
    <t>TỔNG CỘNG (SAU KIỂM TOÁN)</t>
  </si>
  <si>
    <t>GtmdtSau</t>
  </si>
  <si>
    <t>Glamtron</t>
  </si>
  <si>
    <t>Tên công tác</t>
  </si>
  <si>
    <t>Bù VL</t>
  </si>
  <si>
    <t>NC XL</t>
  </si>
  <si>
    <t>NC đất</t>
  </si>
  <si>
    <t>Ca máy</t>
  </si>
  <si>
    <t>BẢNG CHIẾT TÍNH DỰ THẦU HẠNG MỤC CÔNG TRÌNH</t>
  </si>
  <si>
    <t>Thành phần hao phí</t>
  </si>
  <si>
    <t>Cộng chi phí trực tiếp (VL+NC+M)</t>
  </si>
  <si>
    <t>Cộng chi phí gián tiếp (C + LT + TT)</t>
  </si>
  <si>
    <t>Chi phí xây dựng trước thuế (T+GT+TL)</t>
  </si>
  <si>
    <t>Chi phí xây dựng sau thuế (G+GTGT)</t>
  </si>
  <si>
    <t>BẢNG HỆ SỐ CHI PHÍ XÂY DỰNG</t>
  </si>
  <si>
    <t>Bù V.L</t>
  </si>
  <si>
    <t>NC Đất</t>
  </si>
  <si>
    <t>BẢNG ĐƠN GIÁ DỰ THẦU HẠNG MỤC CÔNG TRÌNH</t>
  </si>
  <si>
    <t>TỔNG HỢP DỰ TOÁN GÓI THẦU</t>
  </si>
  <si>
    <t xml:space="preserve">Tên dự án: </t>
  </si>
  <si>
    <t>Tên gói thầu: XÂY DỰNG HỆ THỐNG CỐNG HỘP KÊNH BẾN KEM ĐOẠN TỪ NHÀ ÔNG CHÍN ĐẾN KÊNH ĐẠI TRÀ 2, XÃ KIẾN MINH</t>
  </si>
  <si>
    <t xml:space="preserve">Thời điểm lập dự toán gói thầu: </t>
  </si>
  <si>
    <t xml:space="preserve">Thời gian thực hiện gói thầu: </t>
  </si>
  <si>
    <t>KHOẢN MỤC CHI PHÍ</t>
  </si>
  <si>
    <t>GIÁ TRỊ TRƯỚC THUẾ</t>
  </si>
  <si>
    <t>THUẾ GTGT</t>
  </si>
  <si>
    <t>GIÁ TRỊ SAU THUẾ</t>
  </si>
  <si>
    <t>KÝ HIỆU</t>
  </si>
  <si>
    <t>[1]</t>
  </si>
  <si>
    <t>[2]</t>
  </si>
  <si>
    <t>[3]</t>
  </si>
  <si>
    <t>[4]</t>
  </si>
  <si>
    <t>[5]</t>
  </si>
  <si>
    <t>[6]</t>
  </si>
  <si>
    <t>Chi phí xây dựng của gói thầu</t>
  </si>
  <si>
    <t>GXD</t>
  </si>
  <si>
    <t>*</t>
  </si>
  <si>
    <t>Chi phí do Bên A cấp</t>
  </si>
  <si>
    <t>GA</t>
  </si>
  <si>
    <t>Chi phí do Bên B đấu thầu</t>
  </si>
  <si>
    <t>GB</t>
  </si>
  <si>
    <t>Gthau1</t>
  </si>
  <si>
    <t>Chi phí khác có liên quan của gói thầu</t>
  </si>
  <si>
    <t>GKXD</t>
  </si>
  <si>
    <t>Chi phí dự phòng (GDPXD1 + GDPXD2)</t>
  </si>
  <si>
    <t>GDPXD</t>
  </si>
  <si>
    <t>3.1</t>
  </si>
  <si>
    <t>GDPXD1</t>
  </si>
  <si>
    <t>3.2</t>
  </si>
  <si>
    <t>GDPXD2</t>
  </si>
  <si>
    <t>GGTXD</t>
  </si>
  <si>
    <t>Bằng chữ: Bảy tỷ năm trăm tám mươi bảy triệu bảy trăm mười sáu nghìn đồng chẵn./.</t>
  </si>
  <si>
    <t>BẢNG HỆ SỐ CHI PHÍ XÂY LẮP</t>
  </si>
  <si>
    <t>Hệ số chi phí xây lắp</t>
  </si>
  <si>
    <t>Diễn giải hệ số</t>
  </si>
  <si>
    <t>Hệ số riêng Vật liệu</t>
  </si>
  <si>
    <t>Hệ số Vật liệu phụ</t>
  </si>
  <si>
    <t>0</t>
  </si>
  <si>
    <t>Hệ số riêng Nhân công</t>
  </si>
  <si>
    <t>Hệ số Bù Nhân công</t>
  </si>
  <si>
    <t>Hệ số riêng Nhân công đất</t>
  </si>
  <si>
    <t>Hệ số Bù Nhân công đất</t>
  </si>
  <si>
    <t>Hệ số riêng Máy</t>
  </si>
  <si>
    <t>Hệ số Bù Máy</t>
  </si>
  <si>
    <t>Trực tiếp phí khác</t>
  </si>
  <si>
    <t>Chi phí chung cho công tác đất thủ công</t>
  </si>
  <si>
    <t>Thu nhập chịu thuế tính trước</t>
  </si>
  <si>
    <t>Lán trại nhà tạm</t>
  </si>
  <si>
    <t>Gián tiếp khác</t>
  </si>
  <si>
    <t>ĐỊNH MỨC QUẢN LÝ DỰ ÁN VÀ TƯ VẤN</t>
  </si>
  <si>
    <t>Tên chi phí</t>
  </si>
  <si>
    <t>Loại, cấp công trình</t>
  </si>
  <si>
    <t>Chi phí (tỷ đồng)</t>
  </si>
  <si>
    <t>Nội suy</t>
  </si>
  <si>
    <t>Ghi chú</t>
  </si>
  <si>
    <t>Công trình hạ tầng kỹ thuật</t>
  </si>
  <si>
    <t>Bảng định vị</t>
  </si>
  <si>
    <t>7</t>
  </si>
  <si>
    <t>8</t>
  </si>
  <si>
    <t>9</t>
  </si>
  <si>
    <t>10</t>
  </si>
  <si>
    <t>11</t>
  </si>
  <si>
    <t>12</t>
  </si>
  <si>
    <t>13</t>
  </si>
  <si>
    <t>14</t>
  </si>
  <si>
    <t>15</t>
  </si>
  <si>
    <t>16</t>
  </si>
  <si>
    <t>17</t>
  </si>
  <si>
    <t>18</t>
  </si>
  <si>
    <t>19</t>
  </si>
  <si>
    <t>20</t>
  </si>
  <si>
    <t>21</t>
  </si>
  <si>
    <t>22</t>
  </si>
  <si>
    <t>Công trình</t>
  </si>
  <si>
    <t>Đơn giá, CSDL</t>
  </si>
  <si>
    <t>Mẫu tính toán</t>
  </si>
  <si>
    <t>Hệ số chung công trình</t>
  </si>
  <si>
    <t>Tiêu đề bảng</t>
  </si>
  <si>
    <t>Phông chữ sheet Tiên lượng</t>
  </si>
  <si>
    <t>Màu sắc sheet Tiên lượng</t>
  </si>
  <si>
    <t>Phông chữ các bảng khác</t>
  </si>
  <si>
    <t>Chữ ký</t>
  </si>
  <si>
    <t>Làm tròn số học</t>
  </si>
  <si>
    <t>Tổng hạng mục</t>
  </si>
  <si>
    <t>Giai đoạn QT</t>
  </si>
  <si>
    <t>Tổng giai đoạn QT</t>
  </si>
  <si>
    <t>34</t>
  </si>
  <si>
    <t>44</t>
  </si>
  <si>
    <t>53</t>
  </si>
  <si>
    <t>68</t>
  </si>
  <si>
    <t>71</t>
  </si>
  <si>
    <t>78</t>
  </si>
  <si>
    <t>74</t>
  </si>
  <si>
    <t>Thông tin chung về Công trình</t>
  </si>
  <si>
    <t>Tên công trình</t>
  </si>
  <si>
    <t>Địa điểm XD</t>
  </si>
  <si>
    <t>Chủ đầu tư</t>
  </si>
  <si>
    <t>Đơn vị thi công</t>
  </si>
  <si>
    <t>Loại (Dự, quyết toán )</t>
  </si>
  <si>
    <t>Loại công trình</t>
  </si>
  <si>
    <t>Loại thiết kế</t>
  </si>
  <si>
    <t>Cấp công trình</t>
  </si>
  <si>
    <t>Hệ số K, điều chỉnh TKế</t>
  </si>
  <si>
    <t>Công văn</t>
  </si>
  <si>
    <t>H.s chi phí Dự phòng</t>
  </si>
  <si>
    <t>Gxd~0~FG7+G9~FH7+H9~FI7+I9~0|Gxdcpt~0~FSUM(G8:G8)~FSUM(H8:H8)~FG7+H7~0|Gqlda~0~FROUND(D16*(G7+G10),0)~FROUND(K4*G16,0)~FG16+H16~F'Định mức tư vấn'!F3|Gtv~0~FSUMIF(K19:K62,1,G19:G62)~FSUMIF(K19:K62,1,H19:H62)~FSUMIF(K19:K62,1,I19:I62)~0|Gks~0~52699139~FROUND(K4*G19,0)~FG19+H19~0|Glnvks~0~0~FROUND(K4*G20,0)~FG20+H20~0,03|Gbcktkt~0~FROUND(D29*(L7+L10),0)~FROUND(K4*G29,0)~FG29+H29~F'Định mức tư vấn'!F4|Gtttkcn~0~0~FROUND(K4*G33,0)~FG33+H33~0,2|Gtttktc~0~FROUND(D43*G7,0)~FROUND(K4*G43,0)~FG43+H43~F'Định mức tư vấn'!F6|Gttdt~0~FROUND(D44*G7,0)~FROUND(K4*G44,0)~FG44+H44~F'Định mức tư vấn'!F7|Glcnt~0~FROUND(D45*'Dự toán gói thầu'!C9,0)~FROUND(K4*G45,0)~FG45+H45~F'Định mức tư vấn'!F8|Gtdhsmt~0~FROUND(IF('Dự toán gói thầu'!C17*0.1%&lt;2000000,2000000,IF('Dự toán gói thầu'!C17*0.1%&gt;60000000,60000000,'Dự toán gói thầu'!C17*0.1%)),0)~FROUND(K4*G50,0)~FG50+H50~0|Gtdkqnt~0~FROUND(IF('Dự toán gói thầu'!C17*0.1%&lt;3000000,3000000,IF('Dự toán gói thầu'!C17*0.1%&gt;60000000,60000000,'Dự toán gói thầu'!C17*0.1%)),0)~FROUND(K4*G53,0)~FG53+H53~0|Ggstcxd~0~FROUND(D55*G7,0)~FROUND(K4*G55,0)~FG55+H55~F'Định mức tư vấn'!F9|Glhsmqt79~0~0~FROUND(K4*G57,0)~FG57+H57~0,3|Glhsyc79~0~0~FROUND(K4*G58,0)~FG58+H58~0,6|Gk~0~FSUMIF(K64:K77,1,G64:G77)~FSUMIF(K64:K77,1,H64:H77)~FSUMIF(K64:K77,1,I64:I77)~0|Gttdt_BTC~0~FROUND(D67*G7,0)~FROUND(K4*G67,0)~FG67+H67~F'Định mức tư vấn'!F10|Gthamdinh~0~FD68*K81~FK4*G68~FG68+H68~F'Định mức tư vấn'!F19|GthamdinhTKCSTruoc~0~0~FK4*G70~FG70+H70~0,5|Gthamtra~0~FD73*K81~0~FG73+H73~F'Định mức tư vấn'!F17|Gkiemtoan~0~FD74*K81~FK4*G74~FG74+H74~F'Định mức tư vấn'!F15|Gkiemtranghiemthu~0~FD77*G55~0~FG77+H77~0,1|Gtmdt~0~FG5+G6+G10+G16+G17+G18+G63+G78~FH5+H6+H10+H16+H17+H18+H63+H78~FI5+I6+I10+I16+I17+I18+I63+I78~0|GtmdtSau~0~0~FH81+H82~FI81+I82~0|Glamtron~0~0~0~FROUND(I87,-3)~0</t>
  </si>
  <si>
    <t>0%</t>
  </si>
  <si>
    <t>#~##~##~#</t>
  </si>
  <si>
    <t>Đơn giá , Cơ sở dữ liệu</t>
  </si>
  <si>
    <t>Tỉnh - TP</t>
  </si>
  <si>
    <t>Giá tháng</t>
  </si>
  <si>
    <t>Cước cơ giới</t>
  </si>
  <si>
    <t>Cước thủ công</t>
  </si>
  <si>
    <t>GVL2595_2022XD</t>
  </si>
  <si>
    <t>Giá máy 508/QĐ-SXD năm 2024 Các quận, huyện#~#Hải Phòng#~#HaiPhong</t>
  </si>
  <si>
    <t>Chiết tính</t>
  </si>
  <si>
    <t>Tổng hợp kinh phí HM</t>
  </si>
  <si>
    <t>Tổng hợp kinh phí công trình</t>
  </si>
  <si>
    <t>Nhóm công trình</t>
  </si>
  <si>
    <t>Hệ số ...</t>
  </si>
  <si>
    <t>Tên Bảng</t>
  </si>
  <si>
    <t>Tiêu đề</t>
  </si>
  <si>
    <t>Tiên lượng</t>
  </si>
  <si>
    <t>Giá Tháng</t>
  </si>
  <si>
    <t>Phân tích vật tư</t>
  </si>
  <si>
    <t>BẢNG PHÂN TÍCH VẬT TƯ HẠNG MỤC CÔNG TRÌNH</t>
  </si>
  <si>
    <t>Tổng hợp vật tư</t>
  </si>
  <si>
    <t>Cước vận chuyển</t>
  </si>
  <si>
    <t>Cước vận chuyển bình quân</t>
  </si>
  <si>
    <t>BẢNG CƯỚC VẬN CHUYỂN BÌNH QUÂN</t>
  </si>
  <si>
    <t>Tổng hợp kinh phí hạng mục</t>
  </si>
  <si>
    <t>Tổng hợp chi phí thiết bị</t>
  </si>
  <si>
    <t>Tổng hợp chi phí XD</t>
  </si>
  <si>
    <t>Tổng hợp kinh phí</t>
  </si>
  <si>
    <t>Dự thầu</t>
  </si>
  <si>
    <t>Bìa</t>
  </si>
  <si>
    <t>HỒ SƠ DỰ TOÁN</t>
  </si>
  <si>
    <t>Đơn giá Tổng hợp</t>
  </si>
  <si>
    <t>BẢNG ĐƠN GIÁ TỔNG HỢP HẠNG MỤC CÔNG TRÌNH</t>
  </si>
  <si>
    <t>Thành phần</t>
  </si>
  <si>
    <t>Tên phông chữ</t>
  </si>
  <si>
    <t>Cỡ chữ</t>
  </si>
  <si>
    <t>Bold</t>
  </si>
  <si>
    <t>Italic</t>
  </si>
  <si>
    <t>Underline</t>
  </si>
  <si>
    <t>Strikeout</t>
  </si>
  <si>
    <t>Công tác</t>
  </si>
  <si>
    <t>Times New Roman</t>
  </si>
  <si>
    <t>Diễn giải</t>
  </si>
  <si>
    <t>Nhóm</t>
  </si>
  <si>
    <t>Tiêu đề bảng TL</t>
  </si>
  <si>
    <t>Tên hạng mục</t>
  </si>
  <si>
    <t>Tên bảng</t>
  </si>
  <si>
    <t>R</t>
  </si>
  <si>
    <t>255</t>
  </si>
  <si>
    <t>Diễn giải lỗi</t>
  </si>
  <si>
    <t>Tạm tính</t>
  </si>
  <si>
    <t>165</t>
  </si>
  <si>
    <t>42</t>
  </si>
  <si>
    <t>128</t>
  </si>
  <si>
    <t>139</t>
  </si>
  <si>
    <t>Phông chữ tiêu đề bảng</t>
  </si>
  <si>
    <t>Cỡ chữ tiêu đề bảng</t>
  </si>
  <si>
    <t>Chữ ký (Cho phép User tự do đánh dấu cách )</t>
  </si>
  <si>
    <t>Chức danh</t>
  </si>
  <si>
    <t>Họ và tên người ký</t>
  </si>
  <si>
    <t>NGƯỜI LẬP                                                                              NGƯỜI CHỦ TRÌ</t>
  </si>
  <si>
    <t>Tròn hao phí Đ.M</t>
  </si>
  <si>
    <t>Tròn khối lượng</t>
  </si>
  <si>
    <t>Tròn giá vật tư</t>
  </si>
  <si>
    <t>Tròn đơn giá công tác</t>
  </si>
  <si>
    <t>Tròn thành tiền</t>
  </si>
  <si>
    <t>Tròn tổng thành tiền</t>
  </si>
  <si>
    <t>Tròn Hệ số</t>
  </si>
  <si>
    <t>Thông tin về Hạng mục</t>
  </si>
  <si>
    <t>Tổng số hạng mục</t>
  </si>
  <si>
    <t>Danh sách các Hạng mục</t>
  </si>
  <si>
    <t>Hệ số chi phí chung</t>
  </si>
  <si>
    <t>H.S thu nhập chịu thuế TT</t>
  </si>
  <si>
    <t>H.S riêng VL</t>
  </si>
  <si>
    <t>Hệ số VL phụ</t>
  </si>
  <si>
    <t>H.S riêng NC</t>
  </si>
  <si>
    <t>H.S bù NC</t>
  </si>
  <si>
    <t>H.S riêng NC đất</t>
  </si>
  <si>
    <t>H.S bù NC đất</t>
  </si>
  <si>
    <t>H.S riêng Máy</t>
  </si>
  <si>
    <t>H.S bù Máy</t>
  </si>
  <si>
    <t>H.S VAT</t>
  </si>
  <si>
    <t>HS Lán trại</t>
  </si>
  <si>
    <t>H.S CP Trực tiếp</t>
  </si>
  <si>
    <t>H.S đảm bảo ATGT</t>
  </si>
  <si>
    <t>H.S VAT TB</t>
  </si>
  <si>
    <t>PP tính CPC</t>
  </si>
  <si>
    <t>Hệ số CPC đất</t>
  </si>
  <si>
    <t>Hs Chi phi du phong</t>
  </si>
  <si>
    <t>Mã đất đầu</t>
  </si>
  <si>
    <t>Mã đất cuối</t>
  </si>
  <si>
    <t>Loại HM</t>
  </si>
  <si>
    <t>HsCPC</t>
  </si>
  <si>
    <t>HsTNCTTT</t>
  </si>
  <si>
    <t>HsrVL</t>
  </si>
  <si>
    <t>HsVLP</t>
  </si>
  <si>
    <t>HsrNC</t>
  </si>
  <si>
    <t>HsbNC</t>
  </si>
  <si>
    <t>HsrNCDat</t>
  </si>
  <si>
    <t>HsbNCDat</t>
  </si>
  <si>
    <t>HsrMay</t>
  </si>
  <si>
    <t>HsbMay</t>
  </si>
  <si>
    <t>VAT</t>
  </si>
  <si>
    <t>HsLT</t>
  </si>
  <si>
    <t>HsTtKhac</t>
  </si>
  <si>
    <t>HsATGT</t>
  </si>
  <si>
    <t>HsCPCDat</t>
  </si>
  <si>
    <t>HsCpDp</t>
  </si>
  <si>
    <t>MaNcDatDau</t>
  </si>
  <si>
    <t>MaNcDatCuoi</t>
  </si>
  <si>
    <t>T5,5%</t>
  </si>
  <si>
    <t>T1</t>
  </si>
  <si>
    <t>T0</t>
  </si>
  <si>
    <t>T0,08</t>
  </si>
  <si>
    <t>T1,1%</t>
  </si>
  <si>
    <t>T2%</t>
  </si>
  <si>
    <t>T0,01</t>
  </si>
  <si>
    <t>T0,1</t>
  </si>
  <si>
    <t>AB</t>
  </si>
  <si>
    <t>0~0~0~51~4~1~0~0~0~0~0~0~0~0~1~0~0~0.9~0~0.9~0</t>
  </si>
  <si>
    <t>DỰ ÁN: XÂY DỰNG HỆ THỐNG CỐNG HỘP KÊNH BẾN KEM ĐOẠN TỪ NHÀ ÔNG CHÍN ĐẾN KÊNH ĐẠI TRÀ 2, XÃ KIẾN MINH</t>
  </si>
  <si>
    <t>BẢNG TỔNG HỢP DỰ TOÁN</t>
  </si>
  <si>
    <t>3%*Gtv1</t>
  </si>
  <si>
    <t>0%*Gtv1</t>
  </si>
  <si>
    <t>20%*Gtv13</t>
  </si>
  <si>
    <t>0%*Gtv13</t>
  </si>
  <si>
    <t>0%*(Gtv15+Gtv16)</t>
  </si>
  <si>
    <t>0,197% x Gxd</t>
  </si>
  <si>
    <t>0,191% x Gxd</t>
  </si>
  <si>
    <t>0,5%*Gtv9</t>
  </si>
  <si>
    <t>2,566% x Gxd</t>
  </si>
  <si>
    <t>30%*(Gtv4+Gtv8)</t>
  </si>
  <si>
    <t>60%*(Gtv4+Gtv8)</t>
  </si>
  <si>
    <t>0,126% x Gxd</t>
  </si>
  <si>
    <t>0,122% x Gxd</t>
  </si>
  <si>
    <t>50%*Gk5</t>
  </si>
  <si>
    <t>0%*Gcpxd</t>
  </si>
  <si>
    <t>0%*Gtv</t>
  </si>
  <si>
    <t>Gtv1 : Gtv8</t>
  </si>
  <si>
    <t>3.3</t>
  </si>
  <si>
    <t>3.4</t>
  </si>
  <si>
    <t>3.5</t>
  </si>
  <si>
    <t>3.6</t>
  </si>
  <si>
    <t>3.7</t>
  </si>
  <si>
    <t>3.8</t>
  </si>
  <si>
    <t>10% x (Gcpxd+Gqlda+Gtv+Gk)</t>
  </si>
  <si>
    <t>10%*Gtv8</t>
  </si>
  <si>
    <t>Gk1 : Gk5</t>
  </si>
  <si>
    <t>0,1%*Ggtxd</t>
  </si>
  <si>
    <t>0,388%*Ggtxd</t>
  </si>
  <si>
    <t>3,56137% x Gxd</t>
  </si>
  <si>
    <t>2,901% x Gxd</t>
  </si>
  <si>
    <t>Dự toán</t>
  </si>
  <si>
    <t>Đoạn mương một bên nhà dân và một bên đường giao thông, tính 30%:1628,427*30%/100 = 4,8853</t>
  </si>
  <si>
    <t>0,477% x (Gcpxd +Gqlda+Gtv+Gk1+Gk2) x 0,5</t>
  </si>
  <si>
    <t>0,797% x (Gcpxd +Gqlda+Gtv+Gk1+Gk2)</t>
  </si>
  <si>
    <t>Bằng chữ: Tám tỷ, ba trăm bốn mươi lăm triệu, sáu trăm tám mươi lăm nghìn đồng chẵn./.</t>
  </si>
  <si>
    <t>Bằng chữ: Sáu tỷ sáu bảy trăm năm mươi chín triệu bảy trăm ba mươi ba nghìn đồng chẵn./.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</si>
</sst>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0_);_(* \(#,##0\);_(* &quot;-&quot;_);_(@_)"/>
    <numFmt numFmtId="164" formatCode="#,##0.####;\-#,##0.####"/>
    <numFmt numFmtId="165" formatCode="#,##0.#;\-#,##0.#"/>
    <numFmt numFmtId="166" formatCode="#,##0.#####;\-#,##0.#####"/>
    <numFmt numFmtId="167" formatCode="dd/mm/yy"/>
    <numFmt numFmtId="168" formatCode="#,##0.###;\-#,##0.###"/>
    <numFmt numFmtId="169" formatCode="#,##0.######;\-#,##0.######"/>
    <numFmt numFmtId="170" formatCode="#,##0.########;\-#,##0.########"/>
    <numFmt numFmtId="171" formatCode="0.#####\ %;\-0.#####\ %"/>
    <numFmt numFmtId="172" formatCode="#,##0.#######;\-#,##0.#######"/>
    <numFmt numFmtId="173" formatCode="0.###\ %;\-0.###\ %"/>
  </numFmts>
  <fonts count="43" x14ac:knownFonts="1">
    <font>
      <sz val="8.25"/>
      <name val="Microsoft Sans Serif"/>
    </font>
    <font>
      <sz val="8.25"/>
      <name val="Microsoft Sans Serif"/>
      <family val="2"/>
    </font>
    <font>
      <sz val="11"/>
      <name val="Times New Roman"/>
      <family val="1"/>
    </font>
    <font>
      <b/>
      <sz val="15"/>
      <name val="Times New Roman"/>
      <family val="1"/>
    </font>
    <font>
      <b/>
      <sz val="15"/>
      <color indexed="23"/>
      <name val="Times New Roman"/>
      <family val="1"/>
    </font>
    <font>
      <b/>
      <sz val="12"/>
      <name val="Times New Roman"/>
      <family val="1"/>
    </font>
    <font>
      <b/>
      <sz val="12"/>
      <color indexed="23"/>
      <name val="Times New Roman"/>
      <family val="1"/>
    </font>
    <font>
      <b/>
      <sz val="11"/>
      <name val="Times New Roman"/>
      <family val="1"/>
    </font>
    <font>
      <b/>
      <sz val="11"/>
      <color indexed="23"/>
      <name val="Times New Roman"/>
      <family val="1"/>
    </font>
    <font>
      <sz val="11"/>
      <color indexed="8"/>
      <name val="Times New Roman"/>
      <family val="1"/>
    </font>
    <font>
      <b/>
      <sz val="10"/>
      <color indexed="25"/>
      <name val="Times New Roman"/>
      <family val="1"/>
    </font>
    <font>
      <sz val="11"/>
      <color indexed="27"/>
      <name val="Times New Roman"/>
      <family val="1"/>
    </font>
    <font>
      <sz val="11"/>
      <color indexed="12"/>
      <name val="Times New Roman"/>
      <family val="1"/>
    </font>
    <font>
      <sz val="11"/>
      <color indexed="23"/>
      <name val="Times New Roman"/>
      <family val="1"/>
    </font>
    <font>
      <sz val="11"/>
      <color indexed="10"/>
      <name val="Times New Roman"/>
      <family val="1"/>
    </font>
    <font>
      <sz val="11"/>
      <color indexed="17"/>
      <name val="Times New Roman"/>
      <family val="1"/>
    </font>
    <font>
      <sz val="11"/>
      <color indexed="8"/>
      <name val="Times New Roman"/>
      <family val="1"/>
    </font>
    <font>
      <b/>
      <sz val="8"/>
      <color indexed="32"/>
      <name val="Arial"/>
      <family val="2"/>
    </font>
    <font>
      <sz val="11"/>
      <color indexed="12"/>
      <name val="Times New Roman"/>
      <family val="1"/>
    </font>
    <font>
      <sz val="11"/>
      <color indexed="10"/>
      <name val="Times New Roman"/>
      <family val="1"/>
    </font>
    <font>
      <b/>
      <sz val="12"/>
      <color indexed="53"/>
      <name val="Times New Roman"/>
      <family val="1"/>
    </font>
    <font>
      <b/>
      <i/>
      <sz val="11"/>
      <name val="Times New Roman"/>
      <family val="1"/>
    </font>
    <font>
      <b/>
      <sz val="11"/>
      <color indexed="12"/>
      <name val="Times New Roman"/>
      <family val="1"/>
    </font>
    <font>
      <i/>
      <sz val="11"/>
      <color indexed="32"/>
      <name val="Times New Roman"/>
      <family val="1"/>
    </font>
    <font>
      <b/>
      <i/>
      <sz val="11"/>
      <color indexed="32"/>
      <name val="Times New Roman"/>
      <family val="1"/>
    </font>
    <font>
      <sz val="11"/>
      <name val="Arial"/>
      <family val="2"/>
    </font>
    <font>
      <sz val="11"/>
      <color indexed="33"/>
      <name val="Times New Roman"/>
      <family val="1"/>
    </font>
    <font>
      <i/>
      <sz val="11"/>
      <name val="Times New Roman"/>
      <family val="1"/>
    </font>
    <font>
      <b/>
      <sz val="11"/>
      <color indexed="32"/>
      <name val="Times New Roman"/>
      <family val="1"/>
    </font>
    <font>
      <sz val="11"/>
      <color indexed="32"/>
      <name val="Times New Roman"/>
      <family val="1"/>
    </font>
    <font>
      <b/>
      <sz val="10"/>
      <color indexed="32"/>
      <name val="Times New Roman"/>
      <family val="1"/>
    </font>
    <font>
      <sz val="11"/>
      <name val="Arial Narrow"/>
      <family val="2"/>
    </font>
    <font>
      <b/>
      <sz val="11"/>
      <color indexed="8"/>
      <name val="Times New Roman"/>
      <family val="1"/>
    </font>
    <font>
      <sz val="11"/>
      <color indexed="8"/>
      <name val="Arial Narrow"/>
      <family val="2"/>
    </font>
    <font>
      <i/>
      <sz val="12"/>
      <name val="Times New Roman"/>
      <family val="1"/>
    </font>
    <font>
      <sz val="8.25"/>
      <color indexed="33"/>
      <name val="Microsoft Sans Serif"/>
      <family val="2"/>
    </font>
    <font>
      <sz val="10"/>
      <name val="Times New Roman"/>
      <family val="1"/>
    </font>
    <font>
      <b/>
      <sz val="12"/>
      <color indexed="32"/>
      <name val="Times New Roman"/>
      <family val="1"/>
    </font>
    <font>
      <b/>
      <u/>
      <sz val="11"/>
      <color indexed="32"/>
      <name val="Times New Roman"/>
      <family val="1"/>
    </font>
    <font>
      <sz val="8.25"/>
      <color indexed="12"/>
      <name val="Microsoft Sans Serif"/>
      <family val="2"/>
    </font>
    <font>
      <sz val="11.25"/>
      <name val="Arial Narrow"/>
      <family val="2"/>
    </font>
    <font>
      <sz val="8.25"/>
      <color indexed="8"/>
      <name val="Microsoft Sans Serif"/>
      <family val="2"/>
    </font>
    <font>
      <sz val="8.25"/>
      <name val="Microsoft Sans Serif"/>
      <family val="2"/>
    </font>
  </fonts>
  <fills count="5">
    <fill>
      <patternFill patternType="none"/>
    </fill>
    <fill>
      <patternFill patternType="gray125"/>
    </fill>
    <fill>
      <patternFill patternType="solid">
        <fgColor indexed="34"/>
      </patternFill>
    </fill>
    <fill>
      <patternFill patternType="solid">
        <fgColor indexed="9"/>
      </patternFill>
    </fill>
    <fill>
      <patternFill patternType="solid">
        <fgColor indexed="36"/>
      </patternFill>
    </fill>
  </fills>
  <borders count="15">
    <border>
      <left/>
      <right/>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8"/>
      </left>
      <right style="thin">
        <color indexed="8"/>
      </right>
      <top/>
      <bottom style="hair">
        <color indexed="8"/>
      </bottom>
      <diagonal/>
    </border>
    <border>
      <left/>
      <right style="thin">
        <color indexed="8"/>
      </right>
      <top/>
      <bottom style="hair">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diagonal/>
    </border>
    <border>
      <left/>
      <right/>
      <top style="thin">
        <color indexed="8"/>
      </top>
      <bottom style="thin">
        <color indexed="8"/>
      </bottom>
      <diagonal/>
    </border>
    <border>
      <left style="thin">
        <color indexed="8"/>
      </left>
      <right style="thin">
        <color indexed="8"/>
      </right>
      <top style="thin">
        <color indexed="8"/>
      </top>
      <bottom/>
      <diagonal/>
    </border>
    <border>
      <left/>
      <right/>
      <top/>
      <bottom style="hair">
        <color indexed="8"/>
      </bottom>
      <diagonal/>
    </border>
    <border>
      <left/>
      <right/>
      <top/>
      <bottom style="thin">
        <color indexed="8"/>
      </bottom>
      <diagonal/>
    </border>
    <border>
      <left/>
      <right style="thin">
        <color indexed="8"/>
      </right>
      <top/>
      <bottom/>
      <diagonal/>
    </border>
    <border>
      <left style="thin">
        <color indexed="8"/>
      </left>
      <right style="thin">
        <color indexed="8"/>
      </right>
      <top/>
      <bottom/>
      <diagonal/>
    </border>
    <border>
      <left style="thin">
        <color indexed="8"/>
      </left>
      <right/>
      <top/>
      <bottom style="thin">
        <color indexed="8"/>
      </bottom>
      <diagonal/>
    </border>
  </borders>
  <cellStyleXfs count="2">
    <xf numFmtId="0" fontId="0" fillId="0" borderId="0">
      <protection locked="0"/>
    </xf>
    <xf numFmtId="41" fontId="42" fillId="0" borderId="0" applyFont="0" applyFill="0" applyBorder="0" applyAlignment="0" applyProtection="0"/>
  </cellStyleXfs>
  <cellXfs count="388">
    <xf numFmtId="0" fontId="1" fillId="0" borderId="0" xfId="0" applyFont="1" applyAlignment="1">
      <alignment vertical="top"/>
      <protection locked="0"/>
    </xf>
    <xf numFmtId="0" fontId="2" fillId="0" borderId="0" xfId="0" applyFont="1" applyAlignment="1">
      <alignment vertical="center"/>
      <protection locked="0"/>
    </xf>
    <xf numFmtId="0" fontId="3" fillId="0" borderId="0" xfId="0" applyFont="1" applyAlignment="1">
      <alignment vertical="center" wrapText="1"/>
      <protection locked="0"/>
    </xf>
    <xf numFmtId="166" fontId="3" fillId="0" borderId="0" xfId="0" applyNumberFormat="1" applyFont="1" applyAlignment="1">
      <alignment vertical="center" wrapText="1"/>
      <protection locked="0"/>
    </xf>
    <xf numFmtId="0" fontId="4" fillId="0" borderId="0" xfId="0" applyFont="1" applyAlignment="1" applyProtection="1">
      <alignment horizontal="center" vertical="center"/>
    </xf>
    <xf numFmtId="0" fontId="3" fillId="0" borderId="0" xfId="0" applyFont="1" applyAlignment="1">
      <alignment horizontal="center" vertical="center"/>
      <protection locked="0"/>
    </xf>
    <xf numFmtId="167" fontId="3" fillId="0" borderId="0" xfId="0" applyNumberFormat="1" applyFont="1" applyAlignment="1">
      <alignment horizontal="center" vertical="center"/>
      <protection locked="0"/>
    </xf>
    <xf numFmtId="0" fontId="4" fillId="0" borderId="0" xfId="0" applyFont="1" applyAlignment="1">
      <alignment horizontal="center" vertical="center"/>
      <protection locked="0"/>
    </xf>
    <xf numFmtId="0" fontId="5" fillId="0" borderId="0" xfId="0" applyFont="1" applyAlignment="1">
      <alignment vertical="center" wrapText="1"/>
      <protection locked="0"/>
    </xf>
    <xf numFmtId="166" fontId="5" fillId="0" borderId="0" xfId="0" applyNumberFormat="1" applyFont="1" applyAlignment="1">
      <alignment vertical="center" wrapText="1"/>
      <protection locked="0"/>
    </xf>
    <xf numFmtId="0" fontId="6" fillId="0" borderId="0" xfId="0" applyFont="1" applyAlignment="1" applyProtection="1">
      <alignment horizontal="center" vertical="center"/>
    </xf>
    <xf numFmtId="0" fontId="5" fillId="0" borderId="0" xfId="0" applyFont="1" applyAlignment="1">
      <alignment horizontal="center" vertical="center"/>
      <protection locked="0"/>
    </xf>
    <xf numFmtId="167" fontId="5" fillId="0" borderId="0" xfId="0" applyNumberFormat="1" applyFont="1" applyAlignment="1">
      <alignment horizontal="center" vertical="center"/>
      <protection locked="0"/>
    </xf>
    <xf numFmtId="0" fontId="7" fillId="0" borderId="0" xfId="0" applyFont="1" applyAlignment="1">
      <alignment horizontal="center" vertical="center" wrapText="1"/>
      <protection locked="0"/>
    </xf>
    <xf numFmtId="0" fontId="7" fillId="0" borderId="0" xfId="0" applyFont="1" applyAlignment="1">
      <alignment vertical="center" wrapText="1"/>
      <protection locked="0"/>
    </xf>
    <xf numFmtId="166" fontId="7" fillId="0" borderId="0" xfId="0" applyNumberFormat="1" applyFont="1" applyAlignment="1">
      <alignment vertical="center" wrapText="1"/>
      <protection locked="0"/>
    </xf>
    <xf numFmtId="0" fontId="8" fillId="0" borderId="0" xfId="0" applyFont="1" applyAlignment="1" applyProtection="1">
      <alignment horizontal="center" vertical="center"/>
    </xf>
    <xf numFmtId="0" fontId="7" fillId="0" borderId="0" xfId="0" applyFont="1" applyAlignment="1">
      <alignment horizontal="center" vertical="center"/>
      <protection locked="0"/>
    </xf>
    <xf numFmtId="167" fontId="7" fillId="0" borderId="0" xfId="0" applyNumberFormat="1" applyFont="1" applyAlignment="1">
      <alignment horizontal="center" vertical="center"/>
      <protection locked="0"/>
    </xf>
    <xf numFmtId="0" fontId="7" fillId="2" borderId="1" xfId="0" applyFont="1" applyFill="1" applyBorder="1" applyAlignment="1">
      <alignment horizontal="center" vertical="center" wrapText="1"/>
      <protection locked="0"/>
    </xf>
    <xf numFmtId="0" fontId="8" fillId="0" borderId="0" xfId="0" applyFont="1" applyAlignment="1" applyProtection="1">
      <alignment horizontal="center" vertical="center" wrapText="1"/>
    </xf>
    <xf numFmtId="0" fontId="7" fillId="2" borderId="2" xfId="0" applyFont="1" applyFill="1" applyBorder="1" applyAlignment="1">
      <alignment horizontal="center" vertical="center" wrapText="1"/>
      <protection locked="0"/>
    </xf>
    <xf numFmtId="3" fontId="9" fillId="0" borderId="3" xfId="0" applyNumberFormat="1" applyFont="1" applyBorder="1" applyAlignment="1">
      <alignment horizontal="center" vertical="center" wrapText="1"/>
      <protection locked="0"/>
    </xf>
    <xf numFmtId="0" fontId="10" fillId="0" borderId="4" xfId="0" applyFont="1" applyBorder="1" applyAlignment="1">
      <alignment horizontal="center" vertical="center" wrapText="1"/>
      <protection locked="0"/>
    </xf>
    <xf numFmtId="0" fontId="9" fillId="0" borderId="4" xfId="0" applyFont="1" applyBorder="1" applyAlignment="1">
      <alignment vertical="center" wrapText="1"/>
      <protection locked="0"/>
    </xf>
    <xf numFmtId="164" fontId="9" fillId="0" borderId="4" xfId="0" applyNumberFormat="1" applyFont="1" applyBorder="1" applyAlignment="1">
      <alignment horizontal="right" vertical="center" wrapText="1"/>
      <protection locked="0"/>
    </xf>
    <xf numFmtId="3" fontId="10" fillId="0" borderId="4" xfId="0" applyNumberFormat="1" applyFont="1" applyBorder="1" applyAlignment="1">
      <alignment horizontal="center" vertical="center" wrapText="1"/>
      <protection locked="0"/>
    </xf>
    <xf numFmtId="165" fontId="9" fillId="0" borderId="4" xfId="0" applyNumberFormat="1" applyFont="1" applyBorder="1" applyAlignment="1">
      <alignment horizontal="right" vertical="center" wrapText="1"/>
      <protection locked="0"/>
    </xf>
    <xf numFmtId="0" fontId="9" fillId="0" borderId="4" xfId="0" applyFont="1" applyBorder="1" applyAlignment="1">
      <alignment horizontal="center" vertical="center" wrapText="1"/>
      <protection locked="0"/>
    </xf>
    <xf numFmtId="0" fontId="9" fillId="0" borderId="4" xfId="0" applyFont="1" applyBorder="1" applyAlignment="1">
      <alignment horizontal="left" vertical="center" wrapText="1"/>
      <protection locked="0"/>
    </xf>
    <xf numFmtId="166" fontId="9" fillId="0" borderId="4" xfId="0" applyNumberFormat="1" applyFont="1" applyBorder="1" applyAlignment="1">
      <alignment horizontal="right" vertical="center" wrapText="1"/>
      <protection locked="0"/>
    </xf>
    <xf numFmtId="3" fontId="11" fillId="0" borderId="3" xfId="0" applyNumberFormat="1" applyFont="1" applyBorder="1" applyAlignment="1">
      <alignment horizontal="center" vertical="center" wrapText="1"/>
      <protection locked="0"/>
    </xf>
    <xf numFmtId="0" fontId="11" fillId="0" borderId="4" xfId="0" applyFont="1" applyBorder="1" applyAlignment="1">
      <alignment horizontal="center" vertical="center" wrapText="1"/>
      <protection locked="0"/>
    </xf>
    <xf numFmtId="0" fontId="11" fillId="0" borderId="4" xfId="0" applyFont="1" applyBorder="1" applyAlignment="1">
      <alignment vertical="center" wrapText="1"/>
      <protection locked="0"/>
    </xf>
    <xf numFmtId="0" fontId="11" fillId="0" borderId="4" xfId="0" applyFont="1" applyBorder="1" applyAlignment="1">
      <alignment horizontal="left" vertical="center" wrapText="1"/>
      <protection locked="0"/>
    </xf>
    <xf numFmtId="164" fontId="11" fillId="0" borderId="4" xfId="0" applyNumberFormat="1" applyFont="1" applyBorder="1" applyAlignment="1">
      <alignment horizontal="right" vertical="center" wrapText="1"/>
      <protection locked="0"/>
    </xf>
    <xf numFmtId="165" fontId="11" fillId="0" borderId="4" xfId="0" applyNumberFormat="1" applyFont="1" applyBorder="1" applyAlignment="1">
      <alignment horizontal="right" vertical="center" wrapText="1"/>
      <protection locked="0"/>
    </xf>
    <xf numFmtId="166" fontId="11" fillId="0" borderId="4" xfId="0" applyNumberFormat="1" applyFont="1" applyBorder="1" applyAlignment="1">
      <alignment horizontal="right" vertical="center" wrapText="1"/>
      <protection locked="0"/>
    </xf>
    <xf numFmtId="0" fontId="12" fillId="0" borderId="4" xfId="0" applyFont="1" applyBorder="1" applyAlignment="1">
      <alignment horizontal="left" vertical="center" wrapText="1"/>
      <protection locked="0"/>
    </xf>
    <xf numFmtId="0" fontId="13" fillId="0" borderId="0" xfId="0" applyFont="1" applyAlignment="1" applyProtection="1">
      <alignment horizontal="center" vertical="center"/>
    </xf>
    <xf numFmtId="0" fontId="2" fillId="0" borderId="0" xfId="0" applyFont="1" applyAlignment="1">
      <alignment horizontal="center" vertical="center"/>
      <protection locked="0"/>
    </xf>
    <xf numFmtId="0" fontId="14" fillId="0" borderId="4" xfId="0" applyFont="1" applyBorder="1" applyAlignment="1">
      <alignment horizontal="left" vertical="center" wrapText="1"/>
      <protection locked="0"/>
    </xf>
    <xf numFmtId="165" fontId="15" fillId="0" borderId="4" xfId="0" applyNumberFormat="1" applyFont="1" applyBorder="1" applyAlignment="1">
      <alignment horizontal="right" vertical="center" wrapText="1"/>
      <protection locked="0"/>
    </xf>
    <xf numFmtId="3" fontId="16" fillId="0" borderId="3" xfId="0" applyNumberFormat="1" applyFont="1" applyBorder="1" applyAlignment="1">
      <alignment horizontal="center" vertical="center" wrapText="1"/>
      <protection locked="0"/>
    </xf>
    <xf numFmtId="0" fontId="16" fillId="0" borderId="4" xfId="0" applyFont="1" applyBorder="1" applyAlignment="1">
      <alignment horizontal="center" vertical="center" wrapText="1"/>
      <protection locked="0"/>
    </xf>
    <xf numFmtId="0" fontId="16" fillId="0" borderId="4" xfId="0" applyFont="1" applyBorder="1" applyAlignment="1">
      <alignment vertical="center" wrapText="1"/>
      <protection locked="0"/>
    </xf>
    <xf numFmtId="0" fontId="16" fillId="0" borderId="4" xfId="0" applyFont="1" applyBorder="1" applyAlignment="1">
      <alignment horizontal="left" vertical="center" wrapText="1"/>
      <protection locked="0"/>
    </xf>
    <xf numFmtId="164" fontId="16" fillId="0" borderId="4" xfId="0" applyNumberFormat="1" applyFont="1" applyBorder="1" applyAlignment="1">
      <alignment horizontal="right" vertical="center" wrapText="1"/>
      <protection locked="0"/>
    </xf>
    <xf numFmtId="165" fontId="16" fillId="0" borderId="4" xfId="0" applyNumberFormat="1" applyFont="1" applyBorder="1" applyAlignment="1">
      <alignment horizontal="right" vertical="center" wrapText="1"/>
      <protection locked="0"/>
    </xf>
    <xf numFmtId="166" fontId="16" fillId="0" borderId="4" xfId="0" applyNumberFormat="1" applyFont="1" applyBorder="1" applyAlignment="1">
      <alignment horizontal="right" vertical="center" wrapText="1"/>
      <protection locked="0"/>
    </xf>
    <xf numFmtId="164" fontId="12" fillId="0" borderId="4" xfId="0" applyNumberFormat="1" applyFont="1" applyBorder="1" applyAlignment="1">
      <alignment horizontal="right" vertical="center" wrapText="1"/>
      <protection locked="0"/>
    </xf>
    <xf numFmtId="0" fontId="12" fillId="3" borderId="4" xfId="0" applyFont="1" applyFill="1" applyBorder="1" applyAlignment="1">
      <alignment horizontal="left" vertical="center" wrapText="1"/>
      <protection locked="0"/>
    </xf>
    <xf numFmtId="0" fontId="9" fillId="3" borderId="4" xfId="0" applyFont="1" applyFill="1" applyBorder="1" applyAlignment="1">
      <alignment horizontal="center" vertical="center" wrapText="1"/>
      <protection locked="0"/>
    </xf>
    <xf numFmtId="0" fontId="9" fillId="3" borderId="4" xfId="0" applyFont="1" applyFill="1" applyBorder="1" applyAlignment="1">
      <alignment horizontal="left" vertical="center" wrapText="1"/>
      <protection locked="0"/>
    </xf>
    <xf numFmtId="164" fontId="9" fillId="3" borderId="4" xfId="0" applyNumberFormat="1" applyFont="1" applyFill="1" applyBorder="1" applyAlignment="1">
      <alignment horizontal="right" vertical="center" wrapText="1"/>
      <protection locked="0"/>
    </xf>
    <xf numFmtId="165" fontId="9" fillId="3" borderId="4" xfId="0" applyNumberFormat="1" applyFont="1" applyFill="1" applyBorder="1" applyAlignment="1">
      <alignment horizontal="right" vertical="center" wrapText="1"/>
      <protection locked="0"/>
    </xf>
    <xf numFmtId="0" fontId="16" fillId="3" borderId="4" xfId="0" applyFont="1" applyFill="1" applyBorder="1" applyAlignment="1">
      <alignment horizontal="center" vertical="center" wrapText="1"/>
      <protection locked="0"/>
    </xf>
    <xf numFmtId="0" fontId="11" fillId="0" borderId="0" xfId="0" applyFont="1" applyAlignment="1">
      <alignment vertical="center" wrapText="1"/>
      <protection locked="0"/>
    </xf>
    <xf numFmtId="0" fontId="11" fillId="0" borderId="0" xfId="0" applyFont="1" applyAlignment="1" applyProtection="1">
      <alignment horizontal="center" vertical="center"/>
    </xf>
    <xf numFmtId="0" fontId="11" fillId="0" borderId="0" xfId="0" applyFont="1" applyAlignment="1">
      <alignment horizontal="center" vertical="center"/>
      <protection locked="0"/>
    </xf>
    <xf numFmtId="167" fontId="11" fillId="0" borderId="0" xfId="0" applyNumberFormat="1" applyFont="1" applyAlignment="1">
      <alignment horizontal="center" vertical="center"/>
      <protection locked="0"/>
    </xf>
    <xf numFmtId="3" fontId="9" fillId="0" borderId="5" xfId="0" applyNumberFormat="1" applyFont="1" applyBorder="1" applyAlignment="1">
      <alignment horizontal="center" vertical="center" wrapText="1"/>
      <protection locked="0"/>
    </xf>
    <xf numFmtId="0" fontId="10" fillId="0" borderId="2" xfId="0" applyFont="1" applyBorder="1" applyAlignment="1">
      <alignment horizontal="center" vertical="center" wrapText="1"/>
      <protection locked="0"/>
    </xf>
    <xf numFmtId="0" fontId="9" fillId="0" borderId="2" xfId="0" applyFont="1" applyBorder="1" applyAlignment="1">
      <alignment vertical="center" wrapText="1"/>
      <protection locked="0"/>
    </xf>
    <xf numFmtId="164" fontId="9" fillId="0" borderId="2" xfId="0" applyNumberFormat="1" applyFont="1" applyBorder="1" applyAlignment="1">
      <alignment horizontal="right" vertical="center" wrapText="1"/>
      <protection locked="0"/>
    </xf>
    <xf numFmtId="3" fontId="10" fillId="0" borderId="2" xfId="0" applyNumberFormat="1" applyFont="1" applyBorder="1" applyAlignment="1">
      <alignment horizontal="center" vertical="center" wrapText="1"/>
      <protection locked="0"/>
    </xf>
    <xf numFmtId="165" fontId="9" fillId="0" borderId="2" xfId="0" applyNumberFormat="1" applyFont="1" applyBorder="1" applyAlignment="1">
      <alignment horizontal="right" vertical="center" wrapText="1"/>
      <protection locked="0"/>
    </xf>
    <xf numFmtId="3" fontId="2" fillId="0" borderId="0" xfId="0" applyNumberFormat="1" applyFont="1" applyAlignment="1">
      <alignment horizontal="center" vertical="center" wrapText="1"/>
      <protection locked="0"/>
    </xf>
    <xf numFmtId="0" fontId="2" fillId="0" borderId="0" xfId="0" applyFont="1" applyAlignment="1">
      <alignment horizontal="center" vertical="center" wrapText="1"/>
      <protection locked="0"/>
    </xf>
    <xf numFmtId="0" fontId="2" fillId="0" borderId="0" xfId="0" applyFont="1" applyAlignment="1">
      <alignment horizontal="left" vertical="center" wrapText="1"/>
      <protection locked="0"/>
    </xf>
    <xf numFmtId="164" fontId="2" fillId="0" borderId="0" xfId="0" applyNumberFormat="1" applyFont="1" applyAlignment="1">
      <alignment horizontal="right" vertical="center" wrapText="1"/>
      <protection locked="0"/>
    </xf>
    <xf numFmtId="165" fontId="2" fillId="0" borderId="0" xfId="0" applyNumberFormat="1" applyFont="1" applyAlignment="1">
      <alignment horizontal="right" vertical="center" wrapText="1"/>
      <protection locked="0"/>
    </xf>
    <xf numFmtId="166" fontId="2" fillId="0" borderId="0" xfId="0" applyNumberFormat="1" applyFont="1" applyAlignment="1">
      <alignment horizontal="right" vertical="center" wrapText="1"/>
      <protection locked="0"/>
    </xf>
    <xf numFmtId="0" fontId="2" fillId="0" borderId="0" xfId="0" applyFont="1" applyAlignment="1">
      <alignment vertical="center" wrapText="1"/>
      <protection locked="0"/>
    </xf>
    <xf numFmtId="164" fontId="2" fillId="0" borderId="0" xfId="0" applyNumberFormat="1" applyFont="1" applyAlignment="1">
      <alignment vertical="center" wrapText="1"/>
      <protection locked="0"/>
    </xf>
    <xf numFmtId="165" fontId="2" fillId="0" borderId="0" xfId="0" applyNumberFormat="1" applyFont="1" applyAlignment="1">
      <alignment vertical="center" wrapText="1"/>
      <protection locked="0"/>
    </xf>
    <xf numFmtId="166" fontId="2" fillId="0" borderId="0" xfId="0" applyNumberFormat="1" applyFont="1" applyAlignment="1">
      <alignment vertical="center" wrapText="1"/>
      <protection locked="0"/>
    </xf>
    <xf numFmtId="167" fontId="2" fillId="0" borderId="0" xfId="0" applyNumberFormat="1" applyFont="1" applyAlignment="1">
      <alignment horizontal="center" vertical="center"/>
      <protection locked="0"/>
    </xf>
    <xf numFmtId="0" fontId="1" fillId="0" borderId="0" xfId="0" applyFont="1" applyAlignment="1">
      <alignment vertical="center" wrapText="1"/>
      <protection locked="0"/>
    </xf>
    <xf numFmtId="0" fontId="7" fillId="2" borderId="6" xfId="0" applyFont="1" applyFill="1" applyBorder="1" applyAlignment="1">
      <alignment horizontal="center" vertical="center" wrapText="1"/>
      <protection locked="0"/>
    </xf>
    <xf numFmtId="0" fontId="17" fillId="0" borderId="3" xfId="0" applyFont="1" applyBorder="1" applyAlignment="1">
      <alignment horizontal="center" vertical="center" wrapText="1"/>
      <protection locked="0"/>
    </xf>
    <xf numFmtId="0" fontId="17" fillId="0" borderId="4" xfId="0" applyFont="1" applyBorder="1" applyAlignment="1">
      <alignment horizontal="center" vertical="center" wrapText="1"/>
      <protection locked="0"/>
    </xf>
    <xf numFmtId="166" fontId="17" fillId="0" borderId="4" xfId="0" applyNumberFormat="1" applyFont="1" applyBorder="1" applyAlignment="1">
      <alignment horizontal="center" vertical="center" wrapText="1"/>
      <protection locked="0"/>
    </xf>
    <xf numFmtId="166" fontId="17" fillId="4" borderId="4" xfId="0" applyNumberFormat="1" applyFont="1" applyFill="1" applyBorder="1" applyAlignment="1">
      <alignment horizontal="center" vertical="center" wrapText="1"/>
      <protection locked="0"/>
    </xf>
    <xf numFmtId="0" fontId="2" fillId="0" borderId="3" xfId="0" applyFont="1" applyBorder="1" applyAlignment="1">
      <alignment horizontal="center" vertical="center" wrapText="1"/>
      <protection locked="0"/>
    </xf>
    <xf numFmtId="0" fontId="2" fillId="0" borderId="4" xfId="0" applyFont="1" applyBorder="1" applyAlignment="1">
      <alignment horizontal="center" vertical="center" wrapText="1"/>
      <protection locked="0"/>
    </xf>
    <xf numFmtId="0" fontId="2" fillId="0" borderId="4" xfId="0" applyFont="1" applyBorder="1" applyAlignment="1">
      <alignment vertical="center" wrapText="1"/>
      <protection locked="0"/>
    </xf>
    <xf numFmtId="166" fontId="2" fillId="0" borderId="4" xfId="0" applyNumberFormat="1" applyFont="1" applyBorder="1" applyAlignment="1">
      <alignment vertical="center" wrapText="1"/>
      <protection locked="0"/>
    </xf>
    <xf numFmtId="166" fontId="18" fillId="4" borderId="4" xfId="0" applyNumberFormat="1" applyFont="1" applyFill="1" applyBorder="1" applyAlignment="1">
      <alignment vertical="center" wrapText="1"/>
      <protection locked="0"/>
    </xf>
    <xf numFmtId="0" fontId="2" fillId="0" borderId="4" xfId="0" applyFont="1" applyBorder="1" applyAlignment="1">
      <alignment horizontal="center" vertical="center"/>
      <protection locked="0"/>
    </xf>
    <xf numFmtId="166" fontId="2" fillId="4" borderId="4" xfId="0" applyNumberFormat="1" applyFont="1" applyFill="1" applyBorder="1" applyAlignment="1">
      <alignment vertical="center" wrapText="1"/>
      <protection locked="0"/>
    </xf>
    <xf numFmtId="166" fontId="19" fillId="4" borderId="4" xfId="0" applyNumberFormat="1" applyFont="1" applyFill="1" applyBorder="1" applyAlignment="1">
      <alignment vertical="center" wrapText="1"/>
      <protection locked="0"/>
    </xf>
    <xf numFmtId="0" fontId="2" fillId="0" borderId="5" xfId="0" applyFont="1" applyBorder="1" applyAlignment="1">
      <alignment horizontal="center" vertical="center" wrapText="1"/>
      <protection locked="0"/>
    </xf>
    <xf numFmtId="0" fontId="2" fillId="0" borderId="2" xfId="0" applyFont="1" applyBorder="1" applyAlignment="1">
      <alignment horizontal="center" vertical="center" wrapText="1"/>
      <protection locked="0"/>
    </xf>
    <xf numFmtId="0" fontId="2" fillId="0" borderId="2" xfId="0" applyFont="1" applyBorder="1" applyAlignment="1">
      <alignment vertical="center" wrapText="1"/>
      <protection locked="0"/>
    </xf>
    <xf numFmtId="166" fontId="2" fillId="0" borderId="2" xfId="0" applyNumberFormat="1" applyFont="1" applyBorder="1" applyAlignment="1">
      <alignment vertical="center" wrapText="1"/>
      <protection locked="0"/>
    </xf>
    <xf numFmtId="166" fontId="18" fillId="4" borderId="2" xfId="0" applyNumberFormat="1" applyFont="1" applyFill="1" applyBorder="1" applyAlignment="1">
      <alignment vertical="center" wrapText="1"/>
      <protection locked="0"/>
    </xf>
    <xf numFmtId="0" fontId="2" fillId="0" borderId="2" xfId="0" applyFont="1" applyBorder="1" applyAlignment="1">
      <alignment horizontal="center" vertical="center"/>
      <protection locked="0"/>
    </xf>
    <xf numFmtId="166" fontId="9" fillId="4" borderId="2" xfId="0" applyNumberFormat="1" applyFont="1" applyFill="1" applyBorder="1" applyAlignment="1">
      <alignment vertical="center" wrapText="1"/>
      <protection locked="0"/>
    </xf>
    <xf numFmtId="0" fontId="2" fillId="0" borderId="0" xfId="0" applyFont="1" applyAlignment="1">
      <alignment horizontal="center" wrapText="1"/>
      <protection locked="0"/>
    </xf>
    <xf numFmtId="3" fontId="2" fillId="0" borderId="3" xfId="0" applyNumberFormat="1" applyFont="1" applyBorder="1" applyAlignment="1">
      <alignment horizontal="center" vertical="center" wrapText="1"/>
      <protection locked="0"/>
    </xf>
    <xf numFmtId="3" fontId="18" fillId="0" borderId="4" xfId="0" applyNumberFormat="1" applyFont="1" applyBorder="1" applyAlignment="1">
      <alignment horizontal="center" vertical="center" wrapText="1"/>
      <protection locked="0"/>
    </xf>
    <xf numFmtId="3" fontId="2" fillId="0" borderId="5" xfId="0" applyNumberFormat="1" applyFont="1" applyBorder="1" applyAlignment="1">
      <alignment horizontal="center" vertical="center" wrapText="1"/>
      <protection locked="0"/>
    </xf>
    <xf numFmtId="168" fontId="18" fillId="0" borderId="2" xfId="0" applyNumberFormat="1" applyFont="1" applyBorder="1" applyAlignment="1">
      <alignment horizontal="center" vertical="center" wrapText="1"/>
      <protection locked="0"/>
    </xf>
    <xf numFmtId="10" fontId="18" fillId="0" borderId="4" xfId="0" applyNumberFormat="1" applyFont="1" applyBorder="1" applyAlignment="1">
      <alignment horizontal="center" vertical="center" wrapText="1"/>
      <protection locked="0"/>
    </xf>
    <xf numFmtId="10" fontId="18" fillId="0" borderId="2" xfId="0" applyNumberFormat="1" applyFont="1" applyBorder="1" applyAlignment="1">
      <alignment horizontal="center" vertical="center" wrapText="1"/>
      <protection locked="0"/>
    </xf>
    <xf numFmtId="49" fontId="2" fillId="0" borderId="4" xfId="0" applyNumberFormat="1" applyFont="1" applyBorder="1" applyAlignment="1">
      <alignment vertical="center" wrapText="1"/>
      <protection locked="0"/>
    </xf>
    <xf numFmtId="168" fontId="18" fillId="0" borderId="4" xfId="0" applyNumberFormat="1" applyFont="1" applyBorder="1" applyAlignment="1">
      <alignment vertical="center" wrapText="1"/>
      <protection locked="0"/>
    </xf>
    <xf numFmtId="49" fontId="2" fillId="0" borderId="2" xfId="0" applyNumberFormat="1" applyFont="1" applyBorder="1" applyAlignment="1">
      <alignment vertical="center" wrapText="1"/>
      <protection locked="0"/>
    </xf>
    <xf numFmtId="168" fontId="18" fillId="0" borderId="2" xfId="0" applyNumberFormat="1" applyFont="1" applyBorder="1" applyAlignment="1">
      <alignment vertical="center" wrapText="1"/>
      <protection locked="0"/>
    </xf>
    <xf numFmtId="168" fontId="18" fillId="0" borderId="4" xfId="0" applyNumberFormat="1" applyFont="1" applyBorder="1" applyAlignment="1">
      <alignment horizontal="center" vertical="center" wrapText="1"/>
      <protection locked="0"/>
    </xf>
    <xf numFmtId="3" fontId="18" fillId="0" borderId="2" xfId="0" applyNumberFormat="1" applyFont="1" applyBorder="1" applyAlignment="1">
      <alignment horizontal="center" vertical="center" wrapText="1"/>
      <protection locked="0"/>
    </xf>
    <xf numFmtId="10" fontId="7" fillId="2" borderId="2" xfId="0" applyNumberFormat="1" applyFont="1" applyFill="1" applyBorder="1" applyAlignment="1">
      <alignment horizontal="center" vertical="center" wrapText="1"/>
      <protection locked="0"/>
    </xf>
    <xf numFmtId="168" fontId="2" fillId="0" borderId="4" xfId="0" applyNumberFormat="1" applyFont="1" applyBorder="1" applyAlignment="1">
      <alignment horizontal="center" vertical="center" wrapText="1"/>
      <protection locked="0"/>
    </xf>
    <xf numFmtId="165" fontId="2" fillId="0" borderId="4" xfId="0" applyNumberFormat="1" applyFont="1" applyBorder="1" applyAlignment="1">
      <alignment vertical="center" wrapText="1"/>
      <protection locked="0"/>
    </xf>
    <xf numFmtId="168" fontId="2" fillId="0" borderId="4" xfId="0" applyNumberFormat="1" applyFont="1" applyBorder="1" applyAlignment="1">
      <alignment vertical="center" wrapText="1"/>
      <protection locked="0"/>
    </xf>
    <xf numFmtId="3" fontId="2" fillId="0" borderId="4" xfId="0" applyNumberFormat="1" applyFont="1" applyBorder="1" applyAlignment="1">
      <alignment vertical="center" wrapText="1"/>
      <protection locked="0"/>
    </xf>
    <xf numFmtId="168" fontId="2" fillId="0" borderId="2" xfId="0" applyNumberFormat="1" applyFont="1" applyBorder="1" applyAlignment="1">
      <alignment horizontal="center" vertical="center" wrapText="1"/>
      <protection locked="0"/>
    </xf>
    <xf numFmtId="165" fontId="2" fillId="0" borderId="2" xfId="0" applyNumberFormat="1" applyFont="1" applyBorder="1" applyAlignment="1">
      <alignment vertical="center" wrapText="1"/>
      <protection locked="0"/>
    </xf>
    <xf numFmtId="168" fontId="2" fillId="0" borderId="2" xfId="0" applyNumberFormat="1" applyFont="1" applyBorder="1" applyAlignment="1">
      <alignment vertical="center" wrapText="1"/>
      <protection locked="0"/>
    </xf>
    <xf numFmtId="3" fontId="2" fillId="0" borderId="2" xfId="0" applyNumberFormat="1" applyFont="1" applyBorder="1" applyAlignment="1">
      <alignment vertical="center" wrapText="1"/>
      <protection locked="0"/>
    </xf>
    <xf numFmtId="3" fontId="7" fillId="0" borderId="3" xfId="0" applyNumberFormat="1" applyFont="1" applyBorder="1" applyAlignment="1">
      <alignment horizontal="center" vertical="center" wrapText="1"/>
      <protection locked="0"/>
    </xf>
    <xf numFmtId="0" fontId="7" fillId="0" borderId="4" xfId="0" applyFont="1" applyBorder="1" applyAlignment="1">
      <alignment horizontal="center" vertical="center" wrapText="1"/>
      <protection locked="0"/>
    </xf>
    <xf numFmtId="0" fontId="7" fillId="0" borderId="4" xfId="0" applyFont="1" applyBorder="1" applyAlignment="1">
      <alignment vertical="center" wrapText="1"/>
      <protection locked="0"/>
    </xf>
    <xf numFmtId="3" fontId="22" fillId="0" borderId="4" xfId="0" applyNumberFormat="1" applyFont="1" applyBorder="1" applyAlignment="1">
      <alignment vertical="center" wrapText="1"/>
      <protection locked="0"/>
    </xf>
    <xf numFmtId="3" fontId="7" fillId="0" borderId="4" xfId="0" applyNumberFormat="1" applyFont="1" applyBorder="1" applyAlignment="1">
      <alignment horizontal="center" vertical="center" wrapText="1"/>
      <protection locked="0"/>
    </xf>
    <xf numFmtId="165" fontId="7" fillId="0" borderId="4" xfId="0" applyNumberFormat="1" applyFont="1" applyBorder="1" applyAlignment="1">
      <alignment vertical="center" wrapText="1"/>
      <protection locked="0"/>
    </xf>
    <xf numFmtId="3" fontId="7" fillId="0" borderId="4" xfId="0" applyNumberFormat="1" applyFont="1" applyBorder="1" applyAlignment="1">
      <alignment vertical="center" wrapText="1"/>
      <protection locked="0"/>
    </xf>
    <xf numFmtId="3" fontId="23" fillId="0" borderId="3" xfId="0" applyNumberFormat="1" applyFont="1" applyBorder="1" applyAlignment="1">
      <alignment horizontal="center" vertical="center" wrapText="1"/>
      <protection locked="0"/>
    </xf>
    <xf numFmtId="0" fontId="23" fillId="0" borderId="4" xfId="0" applyFont="1" applyBorder="1" applyAlignment="1">
      <alignment horizontal="center" vertical="center" wrapText="1"/>
      <protection locked="0"/>
    </xf>
    <xf numFmtId="0" fontId="23" fillId="0" borderId="4" xfId="0" applyFont="1" applyBorder="1" applyAlignment="1">
      <alignment vertical="center" wrapText="1"/>
      <protection locked="0"/>
    </xf>
    <xf numFmtId="3" fontId="23" fillId="0" borderId="4" xfId="0" applyNumberFormat="1" applyFont="1" applyBorder="1" applyAlignment="1">
      <alignment vertical="center" wrapText="1"/>
      <protection locked="0"/>
    </xf>
    <xf numFmtId="3" fontId="23" fillId="0" borderId="4" xfId="0" applyNumberFormat="1" applyFont="1" applyBorder="1" applyAlignment="1">
      <alignment horizontal="center" vertical="center" wrapText="1"/>
      <protection locked="0"/>
    </xf>
    <xf numFmtId="165" fontId="23" fillId="0" borderId="4" xfId="0" applyNumberFormat="1" applyFont="1" applyBorder="1" applyAlignment="1">
      <alignment vertical="center" wrapText="1"/>
      <protection locked="0"/>
    </xf>
    <xf numFmtId="3" fontId="2" fillId="0" borderId="4" xfId="0" applyNumberFormat="1" applyFont="1" applyBorder="1" applyAlignment="1">
      <alignment horizontal="center" vertical="center" wrapText="1"/>
      <protection locked="0"/>
    </xf>
    <xf numFmtId="169" fontId="2" fillId="0" borderId="4" xfId="0" applyNumberFormat="1" applyFont="1" applyBorder="1" applyAlignment="1">
      <alignment vertical="center" wrapText="1"/>
      <protection locked="0"/>
    </xf>
    <xf numFmtId="166" fontId="2" fillId="0" borderId="4" xfId="0" applyNumberFormat="1" applyFont="1" applyBorder="1" applyAlignment="1">
      <alignment horizontal="center" vertical="center" wrapText="1"/>
      <protection locked="0"/>
    </xf>
    <xf numFmtId="10" fontId="2" fillId="0" borderId="4" xfId="0" applyNumberFormat="1" applyFont="1" applyBorder="1" applyAlignment="1">
      <alignment vertical="center" wrapText="1"/>
      <protection locked="0"/>
    </xf>
    <xf numFmtId="10" fontId="2" fillId="0" borderId="4" xfId="0" applyNumberFormat="1" applyFont="1" applyBorder="1" applyAlignment="1">
      <alignment horizontal="center" vertical="center" wrapText="1"/>
      <protection locked="0"/>
    </xf>
    <xf numFmtId="3" fontId="2" fillId="0" borderId="2" xfId="0" applyNumberFormat="1" applyFont="1" applyBorder="1" applyAlignment="1">
      <alignment horizontal="center" vertical="center" wrapText="1"/>
      <protection locked="0"/>
    </xf>
    <xf numFmtId="10" fontId="2" fillId="0" borderId="2" xfId="0" applyNumberFormat="1" applyFont="1" applyBorder="1" applyAlignment="1">
      <alignment vertical="center" wrapText="1"/>
      <protection locked="0"/>
    </xf>
    <xf numFmtId="0" fontId="7" fillId="0" borderId="3" xfId="0" applyFont="1" applyBorder="1" applyAlignment="1">
      <alignment horizontal="center" vertical="center" wrapText="1"/>
      <protection locked="0"/>
    </xf>
    <xf numFmtId="164" fontId="7" fillId="0" borderId="4" xfId="0" applyNumberFormat="1" applyFont="1" applyBorder="1" applyAlignment="1">
      <alignment vertical="center" wrapText="1"/>
      <protection locked="0"/>
    </xf>
    <xf numFmtId="169" fontId="7" fillId="0" borderId="4" xfId="0" applyNumberFormat="1" applyFont="1" applyBorder="1" applyAlignment="1">
      <alignment vertical="center" wrapText="1"/>
      <protection locked="0"/>
    </xf>
    <xf numFmtId="166" fontId="7" fillId="0" borderId="4" xfId="0" applyNumberFormat="1" applyFont="1" applyBorder="1" applyAlignment="1">
      <alignment horizontal="center" vertical="center" wrapText="1"/>
      <protection locked="0"/>
    </xf>
    <xf numFmtId="0" fontId="24" fillId="0" borderId="4" xfId="0" applyFont="1" applyBorder="1" applyAlignment="1">
      <alignment vertical="center" wrapText="1"/>
      <protection locked="0"/>
    </xf>
    <xf numFmtId="0" fontId="24" fillId="0" borderId="4" xfId="0" applyFont="1" applyBorder="1" applyAlignment="1">
      <alignment horizontal="center" vertical="center" wrapText="1"/>
      <protection locked="0"/>
    </xf>
    <xf numFmtId="164" fontId="24" fillId="0" borderId="4" xfId="0" applyNumberFormat="1" applyFont="1" applyBorder="1" applyAlignment="1">
      <alignment vertical="center" wrapText="1"/>
      <protection locked="0"/>
    </xf>
    <xf numFmtId="169" fontId="24" fillId="0" borderId="4" xfId="0" applyNumberFormat="1" applyFont="1" applyBorder="1" applyAlignment="1">
      <alignment vertical="center" wrapText="1"/>
      <protection locked="0"/>
    </xf>
    <xf numFmtId="166" fontId="24" fillId="0" borderId="4" xfId="0" applyNumberFormat="1" applyFont="1" applyBorder="1" applyAlignment="1">
      <alignment horizontal="center" vertical="center" wrapText="1"/>
      <protection locked="0"/>
    </xf>
    <xf numFmtId="164" fontId="2" fillId="0" borderId="4" xfId="0" applyNumberFormat="1" applyFont="1" applyBorder="1" applyAlignment="1">
      <alignment vertical="center" wrapText="1"/>
      <protection locked="0"/>
    </xf>
    <xf numFmtId="164" fontId="2" fillId="0" borderId="2" xfId="0" applyNumberFormat="1" applyFont="1" applyBorder="1" applyAlignment="1">
      <alignment vertical="center" wrapText="1"/>
      <protection locked="0"/>
    </xf>
    <xf numFmtId="169" fontId="2" fillId="0" borderId="2" xfId="0" applyNumberFormat="1" applyFont="1" applyBorder="1" applyAlignment="1">
      <alignment vertical="center" wrapText="1"/>
      <protection locked="0"/>
    </xf>
    <xf numFmtId="166" fontId="2" fillId="0" borderId="2" xfId="0" applyNumberFormat="1" applyFont="1" applyBorder="1" applyAlignment="1">
      <alignment horizontal="center" vertical="center" wrapText="1"/>
      <protection locked="0"/>
    </xf>
    <xf numFmtId="164" fontId="17" fillId="0" borderId="4" xfId="0" applyNumberFormat="1" applyFont="1" applyBorder="1" applyAlignment="1">
      <alignment horizontal="center" vertical="center" wrapText="1"/>
      <protection locked="0"/>
    </xf>
    <xf numFmtId="165" fontId="17" fillId="0" borderId="4" xfId="0" applyNumberFormat="1" applyFont="1" applyBorder="1" applyAlignment="1">
      <alignment horizontal="center" vertical="center" wrapText="1"/>
      <protection locked="0"/>
    </xf>
    <xf numFmtId="165" fontId="17" fillId="4" borderId="4" xfId="0" applyNumberFormat="1" applyFont="1" applyFill="1" applyBorder="1" applyAlignment="1">
      <alignment horizontal="center" vertical="center" wrapText="1"/>
      <protection locked="0"/>
    </xf>
    <xf numFmtId="165" fontId="2" fillId="4" borderId="4" xfId="0" applyNumberFormat="1" applyFont="1" applyFill="1" applyBorder="1" applyAlignment="1">
      <alignment vertical="center" wrapText="1"/>
      <protection locked="0"/>
    </xf>
    <xf numFmtId="0" fontId="17" fillId="0" borderId="5" xfId="0" applyFont="1" applyBorder="1" applyAlignment="1">
      <alignment horizontal="center" vertical="center" wrapText="1"/>
      <protection locked="0"/>
    </xf>
    <xf numFmtId="0" fontId="17" fillId="0" borderId="2" xfId="0" applyFont="1" applyBorder="1" applyAlignment="1">
      <alignment horizontal="center" vertical="center" wrapText="1"/>
      <protection locked="0"/>
    </xf>
    <xf numFmtId="0" fontId="17" fillId="0" borderId="2" xfId="0" applyFont="1" applyBorder="1" applyAlignment="1">
      <alignment vertical="center" wrapText="1"/>
      <protection locked="0"/>
    </xf>
    <xf numFmtId="3" fontId="17" fillId="0" borderId="2" xfId="0" applyNumberFormat="1" applyFont="1" applyBorder="1" applyAlignment="1">
      <alignment vertical="center" wrapText="1"/>
      <protection locked="0"/>
    </xf>
    <xf numFmtId="3" fontId="17" fillId="4" borderId="2" xfId="0" applyNumberFormat="1" applyFont="1" applyFill="1" applyBorder="1" applyAlignment="1">
      <alignment vertical="center" wrapText="1"/>
      <protection locked="0"/>
    </xf>
    <xf numFmtId="0" fontId="7" fillId="2" borderId="1" xfId="0" applyFont="1" applyFill="1" applyBorder="1" applyAlignment="1" applyProtection="1">
      <alignment horizontal="center" vertical="center" wrapText="1"/>
    </xf>
    <xf numFmtId="0" fontId="7" fillId="2" borderId="2" xfId="0" applyFont="1" applyFill="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164" fontId="2" fillId="0" borderId="4" xfId="0" applyNumberFormat="1" applyFont="1" applyBorder="1" applyAlignment="1" applyProtection="1">
      <alignment vertical="center" wrapText="1"/>
    </xf>
    <xf numFmtId="170" fontId="2" fillId="0" borderId="4" xfId="0" applyNumberFormat="1" applyFont="1" applyBorder="1" applyAlignment="1">
      <alignment horizontal="center" vertical="center" wrapText="1"/>
      <protection locked="0"/>
    </xf>
    <xf numFmtId="0" fontId="25" fillId="0" borderId="4" xfId="0" applyFont="1" applyBorder="1" applyAlignment="1">
      <alignment horizontal="center" vertical="center" wrapText="1"/>
      <protection locked="0"/>
    </xf>
    <xf numFmtId="166" fontId="2" fillId="0" borderId="4" xfId="0" applyNumberFormat="1" applyFont="1" applyBorder="1" applyAlignment="1" applyProtection="1">
      <alignment vertical="center" wrapText="1"/>
    </xf>
    <xf numFmtId="170" fontId="2" fillId="0" borderId="4" xfId="0" applyNumberFormat="1" applyFont="1" applyBorder="1" applyAlignment="1" applyProtection="1">
      <alignment vertical="center" wrapText="1"/>
    </xf>
    <xf numFmtId="170" fontId="2" fillId="0" borderId="4" xfId="0" applyNumberFormat="1" applyFont="1" applyBorder="1" applyAlignment="1">
      <alignment vertical="center" wrapText="1"/>
      <protection locked="0"/>
    </xf>
    <xf numFmtId="165" fontId="2" fillId="0" borderId="4" xfId="0" applyNumberFormat="1" applyFont="1" applyBorder="1" applyAlignment="1" applyProtection="1">
      <alignment vertical="center" wrapText="1"/>
    </xf>
    <xf numFmtId="0" fontId="2" fillId="0" borderId="5"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164" fontId="2" fillId="0" borderId="2" xfId="0" applyNumberFormat="1" applyFont="1" applyBorder="1" applyAlignment="1" applyProtection="1">
      <alignment vertical="center" wrapText="1"/>
    </xf>
    <xf numFmtId="170" fontId="2" fillId="0" borderId="2" xfId="0" applyNumberFormat="1" applyFont="1" applyBorder="1" applyAlignment="1">
      <alignment horizontal="center" vertical="center" wrapText="1"/>
      <protection locked="0"/>
    </xf>
    <xf numFmtId="0" fontId="25" fillId="0" borderId="2" xfId="0" applyFont="1" applyBorder="1" applyAlignment="1">
      <alignment horizontal="center" vertical="center" wrapText="1"/>
      <protection locked="0"/>
    </xf>
    <xf numFmtId="166" fontId="2" fillId="0" borderId="2" xfId="0" applyNumberFormat="1" applyFont="1" applyBorder="1" applyAlignment="1" applyProtection="1">
      <alignment vertical="center" wrapText="1"/>
    </xf>
    <xf numFmtId="170" fontId="2" fillId="0" borderId="2" xfId="0" applyNumberFormat="1" applyFont="1" applyBorder="1" applyAlignment="1" applyProtection="1">
      <alignment vertical="center" wrapText="1"/>
    </xf>
    <xf numFmtId="170" fontId="2" fillId="0" borderId="2" xfId="0" applyNumberFormat="1" applyFont="1" applyBorder="1" applyAlignment="1">
      <alignment vertical="center" wrapText="1"/>
      <protection locked="0"/>
    </xf>
    <xf numFmtId="165" fontId="2" fillId="0" borderId="2" xfId="0" applyNumberFormat="1" applyFont="1" applyBorder="1" applyAlignment="1" applyProtection="1">
      <alignment vertical="center" wrapText="1"/>
    </xf>
    <xf numFmtId="0" fontId="2" fillId="0" borderId="0" xfId="0" applyFont="1" applyAlignment="1" applyProtection="1">
      <alignment vertical="center" wrapText="1"/>
    </xf>
    <xf numFmtId="0" fontId="26" fillId="0" borderId="0" xfId="0" applyFont="1" applyAlignment="1" applyProtection="1">
      <alignment horizontal="center" vertical="center" wrapText="1"/>
    </xf>
    <xf numFmtId="165" fontId="26" fillId="0" borderId="0" xfId="0" applyNumberFormat="1" applyFont="1" applyAlignment="1" applyProtection="1">
      <alignment horizontal="center" vertical="center" wrapText="1"/>
    </xf>
    <xf numFmtId="0" fontId="27" fillId="0" borderId="3" xfId="0" applyFont="1" applyBorder="1" applyAlignment="1">
      <alignment horizontal="center" vertical="center" wrapText="1"/>
      <protection locked="0"/>
    </xf>
    <xf numFmtId="0" fontId="27" fillId="0" borderId="4" xfId="0" applyFont="1" applyBorder="1" applyAlignment="1">
      <alignment vertical="center" wrapText="1"/>
      <protection locked="0"/>
    </xf>
    <xf numFmtId="0" fontId="27" fillId="0" borderId="4" xfId="0" applyFont="1" applyBorder="1" applyAlignment="1">
      <alignment horizontal="center" vertical="center" wrapText="1"/>
      <protection locked="0"/>
    </xf>
    <xf numFmtId="165" fontId="27" fillId="0" borderId="4" xfId="0" applyNumberFormat="1" applyFont="1" applyBorder="1" applyAlignment="1">
      <alignment vertical="center" wrapText="1"/>
      <protection locked="0"/>
    </xf>
    <xf numFmtId="49" fontId="7" fillId="0" borderId="4" xfId="0" applyNumberFormat="1" applyFont="1" applyBorder="1" applyAlignment="1">
      <alignment horizontal="center" vertical="center" wrapText="1"/>
      <protection locked="0"/>
    </xf>
    <xf numFmtId="49" fontId="2" fillId="0" borderId="4" xfId="0" applyNumberFormat="1" applyFont="1" applyBorder="1" applyAlignment="1">
      <alignment horizontal="center" vertical="center" wrapText="1"/>
      <protection locked="0"/>
    </xf>
    <xf numFmtId="9" fontId="2" fillId="0" borderId="4" xfId="0" applyNumberFormat="1" applyFont="1" applyBorder="1" applyAlignment="1">
      <alignment vertical="center" wrapText="1"/>
      <protection locked="0"/>
    </xf>
    <xf numFmtId="9" fontId="2" fillId="0" borderId="4" xfId="0" applyNumberFormat="1" applyFont="1" applyBorder="1" applyAlignment="1">
      <alignment horizontal="center" vertical="center" wrapText="1"/>
      <protection locked="0"/>
    </xf>
    <xf numFmtId="10" fontId="7" fillId="0" borderId="4" xfId="0" applyNumberFormat="1" applyFont="1" applyBorder="1" applyAlignment="1">
      <alignment vertical="center" wrapText="1"/>
      <protection locked="0"/>
    </xf>
    <xf numFmtId="10" fontId="7" fillId="0" borderId="4" xfId="0" applyNumberFormat="1" applyFont="1" applyBorder="1" applyAlignment="1">
      <alignment horizontal="center" vertical="center" wrapText="1"/>
      <protection locked="0"/>
    </xf>
    <xf numFmtId="0" fontId="28" fillId="0" borderId="3" xfId="0" applyFont="1" applyBorder="1" applyAlignment="1">
      <alignment horizontal="center" vertical="center" wrapText="1"/>
      <protection locked="0"/>
    </xf>
    <xf numFmtId="0" fontId="28" fillId="0" borderId="4" xfId="0" applyFont="1" applyBorder="1" applyAlignment="1">
      <alignment horizontal="center" vertical="center" wrapText="1"/>
      <protection locked="0"/>
    </xf>
    <xf numFmtId="0" fontId="29" fillId="0" borderId="4" xfId="0" applyFont="1" applyBorder="1" applyAlignment="1">
      <alignment horizontal="center" vertical="center" wrapText="1"/>
      <protection locked="0"/>
    </xf>
    <xf numFmtId="0" fontId="28" fillId="0" borderId="4" xfId="0" applyFont="1" applyBorder="1" applyAlignment="1">
      <alignment vertical="center" wrapText="1"/>
      <protection locked="0"/>
    </xf>
    <xf numFmtId="165" fontId="28" fillId="0" borderId="4" xfId="0" applyNumberFormat="1" applyFont="1" applyBorder="1" applyAlignment="1">
      <alignment vertical="center" wrapText="1"/>
      <protection locked="0"/>
    </xf>
    <xf numFmtId="0" fontId="30" fillId="0" borderId="3" xfId="0" applyFont="1" applyBorder="1" applyAlignment="1">
      <alignment horizontal="center" vertical="center" wrapText="1"/>
      <protection locked="0"/>
    </xf>
    <xf numFmtId="0" fontId="30" fillId="0" borderId="4" xfId="0" applyFont="1" applyBorder="1" applyAlignment="1">
      <alignment horizontal="center" vertical="center" wrapText="1"/>
      <protection locked="0"/>
    </xf>
    <xf numFmtId="165" fontId="30" fillId="0" borderId="4" xfId="0" applyNumberFormat="1" applyFont="1" applyBorder="1" applyAlignment="1">
      <alignment vertical="center" wrapText="1"/>
      <protection locked="0"/>
    </xf>
    <xf numFmtId="0" fontId="31" fillId="0" borderId="0" xfId="0" applyFont="1" applyAlignment="1">
      <alignment vertical="center" wrapText="1"/>
      <protection locked="0"/>
    </xf>
    <xf numFmtId="49" fontId="31" fillId="0" borderId="0" xfId="0" applyNumberFormat="1" applyFont="1" applyAlignment="1">
      <alignment vertical="center" wrapText="1"/>
      <protection locked="0"/>
    </xf>
    <xf numFmtId="0" fontId="31" fillId="0" borderId="0" xfId="0" applyFont="1" applyAlignment="1">
      <alignment horizontal="left" vertical="center" wrapText="1"/>
      <protection locked="0"/>
    </xf>
    <xf numFmtId="0" fontId="32" fillId="2" borderId="2" xfId="0" applyFont="1" applyFill="1" applyBorder="1" applyAlignment="1">
      <alignment horizontal="center" vertical="center" wrapText="1"/>
      <protection locked="0"/>
    </xf>
    <xf numFmtId="49" fontId="33" fillId="0" borderId="3" xfId="0" applyNumberFormat="1" applyFont="1" applyBorder="1" applyAlignment="1">
      <alignment horizontal="center" vertical="center" wrapText="1"/>
      <protection locked="0"/>
    </xf>
    <xf numFmtId="49" fontId="33" fillId="0" borderId="4" xfId="0" applyNumberFormat="1" applyFont="1" applyBorder="1" applyAlignment="1">
      <alignment vertical="center" wrapText="1"/>
      <protection locked="0"/>
    </xf>
    <xf numFmtId="49" fontId="33" fillId="0" borderId="4" xfId="0" applyNumberFormat="1" applyFont="1" applyBorder="1" applyAlignment="1">
      <alignment horizontal="center" vertical="center" wrapText="1"/>
      <protection locked="0"/>
    </xf>
    <xf numFmtId="164" fontId="33" fillId="0" borderId="4" xfId="0" applyNumberFormat="1" applyFont="1" applyBorder="1" applyAlignment="1">
      <alignment vertical="center" wrapText="1"/>
      <protection locked="0"/>
    </xf>
    <xf numFmtId="165" fontId="33" fillId="0" borderId="4" xfId="0" applyNumberFormat="1" applyFont="1" applyBorder="1" applyAlignment="1">
      <alignment vertical="center" wrapText="1"/>
      <protection locked="0"/>
    </xf>
    <xf numFmtId="166" fontId="33" fillId="0" borderId="4" xfId="0" applyNumberFormat="1" applyFont="1" applyBorder="1" applyAlignment="1">
      <alignment horizontal="center" vertical="center" wrapText="1"/>
      <protection locked="0"/>
    </xf>
    <xf numFmtId="0" fontId="33" fillId="0" borderId="4" xfId="0" applyFont="1" applyBorder="1" applyAlignment="1">
      <alignment horizontal="left" vertical="center" wrapText="1"/>
      <protection locked="0"/>
    </xf>
    <xf numFmtId="49" fontId="30" fillId="0" borderId="3" xfId="0" applyNumberFormat="1" applyFont="1" applyBorder="1" applyAlignment="1">
      <alignment vertical="center" wrapText="1"/>
      <protection locked="0"/>
    </xf>
    <xf numFmtId="49" fontId="30" fillId="0" borderId="4" xfId="0" applyNumberFormat="1" applyFont="1" applyBorder="1" applyAlignment="1">
      <alignment horizontal="center" vertical="center" wrapText="1"/>
      <protection locked="0"/>
    </xf>
    <xf numFmtId="49" fontId="30" fillId="0" borderId="4" xfId="0" applyNumberFormat="1" applyFont="1" applyBorder="1" applyAlignment="1">
      <alignment vertical="center" wrapText="1"/>
      <protection locked="0"/>
    </xf>
    <xf numFmtId="164" fontId="30" fillId="0" borderId="4" xfId="0" applyNumberFormat="1" applyFont="1" applyBorder="1" applyAlignment="1">
      <alignment vertical="center" wrapText="1"/>
      <protection locked="0"/>
    </xf>
    <xf numFmtId="166" fontId="30" fillId="0" borderId="4" xfId="0" applyNumberFormat="1" applyFont="1" applyBorder="1" applyAlignment="1">
      <alignment vertical="center" wrapText="1"/>
      <protection locked="0"/>
    </xf>
    <xf numFmtId="0" fontId="30" fillId="0" borderId="4" xfId="0" applyFont="1" applyBorder="1" applyAlignment="1">
      <alignment horizontal="left" vertical="center" wrapText="1"/>
      <protection locked="0"/>
    </xf>
    <xf numFmtId="49" fontId="7" fillId="2" borderId="6" xfId="0" applyNumberFormat="1" applyFont="1" applyFill="1" applyBorder="1" applyAlignment="1">
      <alignment horizontal="center" vertical="center" wrapText="1"/>
      <protection locked="0"/>
    </xf>
    <xf numFmtId="49" fontId="7" fillId="2" borderId="1" xfId="0" applyNumberFormat="1" applyFont="1" applyFill="1" applyBorder="1" applyAlignment="1">
      <alignment horizontal="center" vertical="center" wrapText="1"/>
      <protection locked="0"/>
    </xf>
    <xf numFmtId="3" fontId="31" fillId="0" borderId="3" xfId="0" applyNumberFormat="1" applyFont="1" applyBorder="1" applyAlignment="1">
      <alignment horizontal="center" vertical="center" wrapText="1"/>
      <protection locked="0"/>
    </xf>
    <xf numFmtId="0" fontId="31" fillId="0" borderId="4" xfId="0" applyFont="1" applyBorder="1" applyAlignment="1">
      <alignment horizontal="center" vertical="center" wrapText="1"/>
      <protection locked="0"/>
    </xf>
    <xf numFmtId="171" fontId="31" fillId="0" borderId="4" xfId="0" applyNumberFormat="1" applyFont="1" applyBorder="1" applyAlignment="1">
      <alignment horizontal="center" vertical="center" wrapText="1"/>
      <protection locked="0"/>
    </xf>
    <xf numFmtId="0" fontId="31" fillId="0" borderId="4" xfId="0" applyFont="1" applyBorder="1" applyAlignment="1">
      <alignment vertical="center" wrapText="1"/>
      <protection locked="0"/>
    </xf>
    <xf numFmtId="166" fontId="31" fillId="0" borderId="4" xfId="0" applyNumberFormat="1" applyFont="1" applyBorder="1" applyAlignment="1">
      <alignment vertical="center" wrapText="1"/>
      <protection locked="0"/>
    </xf>
    <xf numFmtId="3" fontId="31" fillId="0" borderId="5" xfId="0" applyNumberFormat="1" applyFont="1" applyBorder="1" applyAlignment="1">
      <alignment horizontal="center" vertical="center" wrapText="1"/>
      <protection locked="0"/>
    </xf>
    <xf numFmtId="0" fontId="31" fillId="0" borderId="2" xfId="0" applyFont="1" applyBorder="1" applyAlignment="1">
      <alignment horizontal="center" vertical="center" wrapText="1"/>
      <protection locked="0"/>
    </xf>
    <xf numFmtId="171" fontId="31" fillId="0" borderId="2" xfId="0" applyNumberFormat="1" applyFont="1" applyBorder="1" applyAlignment="1">
      <alignment horizontal="center" vertical="center" wrapText="1"/>
      <protection locked="0"/>
    </xf>
    <xf numFmtId="0" fontId="31" fillId="0" borderId="2" xfId="0" applyFont="1" applyBorder="1" applyAlignment="1">
      <alignment vertical="center" wrapText="1"/>
      <protection locked="0"/>
    </xf>
    <xf numFmtId="166" fontId="31" fillId="0" borderId="2" xfId="0" applyNumberFormat="1" applyFont="1" applyBorder="1" applyAlignment="1">
      <alignment vertical="center" wrapText="1"/>
      <protection locked="0"/>
    </xf>
    <xf numFmtId="49" fontId="7" fillId="2" borderId="2" xfId="0" applyNumberFormat="1" applyFont="1" applyFill="1" applyBorder="1" applyAlignment="1">
      <alignment horizontal="center" vertical="center" wrapText="1"/>
      <protection locked="0"/>
    </xf>
    <xf numFmtId="165" fontId="31" fillId="0" borderId="4" xfId="0" applyNumberFormat="1" applyFont="1" applyBorder="1" applyAlignment="1">
      <alignment vertical="center" wrapText="1"/>
      <protection locked="0"/>
    </xf>
    <xf numFmtId="166" fontId="31" fillId="0" borderId="4" xfId="0" applyNumberFormat="1" applyFont="1" applyBorder="1" applyAlignment="1">
      <alignment horizontal="center" vertical="center" wrapText="1"/>
      <protection locked="0"/>
    </xf>
    <xf numFmtId="3" fontId="28" fillId="0" borderId="2" xfId="0" applyNumberFormat="1" applyFont="1" applyBorder="1" applyAlignment="1">
      <alignment wrapText="1"/>
      <protection locked="0"/>
    </xf>
    <xf numFmtId="0" fontId="1" fillId="0" borderId="0" xfId="0" applyFont="1" applyAlignment="1" applyProtection="1">
      <alignment horizontal="center" vertical="center" wrapText="1"/>
    </xf>
    <xf numFmtId="0" fontId="1" fillId="0" borderId="0" xfId="0" applyFont="1" applyAlignment="1">
      <alignment horizontal="center" vertical="center" wrapText="1"/>
      <protection locked="0"/>
    </xf>
    <xf numFmtId="171" fontId="35" fillId="0" borderId="0" xfId="0" applyNumberFormat="1" applyFont="1" applyAlignment="1" applyProtection="1">
      <alignment horizontal="right" vertical="center" wrapText="1"/>
    </xf>
    <xf numFmtId="0" fontId="5" fillId="0" borderId="3" xfId="0" applyFont="1" applyBorder="1" applyAlignment="1">
      <alignment horizontal="center" vertical="center" wrapText="1"/>
      <protection locked="0"/>
    </xf>
    <xf numFmtId="0" fontId="5" fillId="0" borderId="4" xfId="0" applyFont="1" applyBorder="1" applyAlignment="1">
      <alignment vertical="center" wrapText="1"/>
      <protection locked="0"/>
    </xf>
    <xf numFmtId="0" fontId="5" fillId="0" borderId="4" xfId="0" applyFont="1" applyBorder="1" applyAlignment="1">
      <alignment horizontal="center" vertical="center" wrapText="1"/>
      <protection locked="0"/>
    </xf>
    <xf numFmtId="171" fontId="5" fillId="0" borderId="4" xfId="0" applyNumberFormat="1" applyFont="1" applyBorder="1" applyAlignment="1">
      <alignment horizontal="center" vertical="center" wrapText="1"/>
      <protection locked="0"/>
    </xf>
    <xf numFmtId="166" fontId="5" fillId="0" borderId="4" xfId="0" applyNumberFormat="1" applyFont="1" applyBorder="1" applyAlignment="1">
      <alignment horizontal="center" vertical="center" wrapText="1"/>
      <protection locked="0"/>
    </xf>
    <xf numFmtId="3" fontId="5" fillId="0" borderId="4" xfId="0" applyNumberFormat="1" applyFont="1" applyBorder="1" applyAlignment="1">
      <alignment vertical="center" wrapText="1"/>
      <protection locked="0"/>
    </xf>
    <xf numFmtId="0" fontId="35" fillId="0" borderId="0" xfId="0" applyFont="1" applyAlignment="1" applyProtection="1">
      <alignment horizontal="center" vertical="center" wrapText="1"/>
    </xf>
    <xf numFmtId="0" fontId="35" fillId="0" borderId="0" xfId="0" applyFont="1" applyAlignment="1" applyProtection="1">
      <alignment horizontal="right" vertical="center" wrapText="1"/>
    </xf>
    <xf numFmtId="165" fontId="1" fillId="0" borderId="0" xfId="0" applyNumberFormat="1" applyFont="1" applyAlignment="1" applyProtection="1">
      <alignment vertical="center" wrapText="1"/>
    </xf>
    <xf numFmtId="0" fontId="34" fillId="0" borderId="3" xfId="0" applyFont="1" applyBorder="1" applyAlignment="1">
      <alignment horizontal="center" vertical="center" wrapText="1"/>
      <protection locked="0"/>
    </xf>
    <xf numFmtId="0" fontId="34" fillId="0" borderId="4" xfId="0" applyFont="1" applyBorder="1" applyAlignment="1">
      <alignment vertical="center" wrapText="1"/>
      <protection locked="0"/>
    </xf>
    <xf numFmtId="0" fontId="34" fillId="0" borderId="4" xfId="0" applyFont="1" applyBorder="1" applyAlignment="1">
      <alignment horizontal="center" vertical="center" wrapText="1"/>
      <protection locked="0"/>
    </xf>
    <xf numFmtId="171" fontId="34" fillId="0" borderId="4" xfId="0" applyNumberFormat="1" applyFont="1" applyBorder="1" applyAlignment="1">
      <alignment horizontal="center" vertical="center" wrapText="1"/>
      <protection locked="0"/>
    </xf>
    <xf numFmtId="166" fontId="34" fillId="0" borderId="4" xfId="0" applyNumberFormat="1" applyFont="1" applyBorder="1" applyAlignment="1">
      <alignment horizontal="center" vertical="center" wrapText="1"/>
      <protection locked="0"/>
    </xf>
    <xf numFmtId="3" fontId="34" fillId="0" borderId="4" xfId="0" applyNumberFormat="1" applyFont="1" applyBorder="1" applyAlignment="1">
      <alignment vertical="center" wrapText="1"/>
      <protection locked="0"/>
    </xf>
    <xf numFmtId="165" fontId="35" fillId="0" borderId="0" xfId="0" applyNumberFormat="1" applyFont="1" applyAlignment="1" applyProtection="1">
      <alignment horizontal="right" vertical="center" wrapText="1"/>
    </xf>
    <xf numFmtId="0" fontId="36" fillId="0" borderId="3" xfId="0" applyFont="1" applyBorder="1" applyAlignment="1">
      <alignment horizontal="center" vertical="center" wrapText="1"/>
      <protection locked="0"/>
    </xf>
    <xf numFmtId="0" fontId="36" fillId="0" borderId="4" xfId="0" applyFont="1" applyBorder="1" applyAlignment="1">
      <alignment vertical="center" wrapText="1"/>
      <protection locked="0"/>
    </xf>
    <xf numFmtId="0" fontId="36" fillId="0" borderId="4" xfId="0" applyFont="1" applyBorder="1" applyAlignment="1">
      <alignment horizontal="center" vertical="center" wrapText="1"/>
      <protection locked="0"/>
    </xf>
    <xf numFmtId="171" fontId="1" fillId="0" borderId="4" xfId="0" applyNumberFormat="1" applyFont="1" applyBorder="1" applyAlignment="1">
      <alignment horizontal="center" vertical="center" wrapText="1"/>
      <protection locked="0"/>
    </xf>
    <xf numFmtId="166" fontId="1" fillId="0" borderId="4" xfId="0" applyNumberFormat="1" applyFont="1" applyBorder="1" applyAlignment="1">
      <alignment horizontal="center" vertical="center" wrapText="1"/>
      <protection locked="0"/>
    </xf>
    <xf numFmtId="0" fontId="1" fillId="0" borderId="4" xfId="0" applyFont="1" applyBorder="1" applyAlignment="1">
      <alignment horizontal="center" vertical="center" wrapText="1"/>
      <protection locked="0"/>
    </xf>
    <xf numFmtId="3" fontId="35" fillId="0" borderId="0" xfId="0" applyNumberFormat="1" applyFont="1" applyAlignment="1" applyProtection="1">
      <alignment horizontal="right" vertical="center" wrapText="1"/>
    </xf>
    <xf numFmtId="3" fontId="35" fillId="0" borderId="0" xfId="0" applyNumberFormat="1" applyFont="1" applyAlignment="1" applyProtection="1">
      <alignment vertical="center" wrapText="1"/>
    </xf>
    <xf numFmtId="0" fontId="1" fillId="0" borderId="0" xfId="0" applyFont="1" applyAlignment="1" applyProtection="1">
      <alignment vertical="center" wrapText="1"/>
    </xf>
    <xf numFmtId="0" fontId="37" fillId="0" borderId="3" xfId="0" applyFont="1" applyBorder="1" applyAlignment="1">
      <alignment horizontal="center" vertical="center" wrapText="1"/>
      <protection locked="0"/>
    </xf>
    <xf numFmtId="0" fontId="37" fillId="0" borderId="4" xfId="0" applyFont="1" applyBorder="1" applyAlignment="1">
      <alignment vertical="center" wrapText="1"/>
      <protection locked="0"/>
    </xf>
    <xf numFmtId="0" fontId="37" fillId="0" borderId="4" xfId="0" applyFont="1" applyBorder="1" applyAlignment="1">
      <alignment horizontal="center" vertical="center" wrapText="1"/>
      <protection locked="0"/>
    </xf>
    <xf numFmtId="171" fontId="37" fillId="0" borderId="4" xfId="0" applyNumberFormat="1" applyFont="1" applyBorder="1" applyAlignment="1">
      <alignment horizontal="center" vertical="center" wrapText="1"/>
      <protection locked="0"/>
    </xf>
    <xf numFmtId="166" fontId="37" fillId="0" borderId="4" xfId="0" applyNumberFormat="1" applyFont="1" applyBorder="1" applyAlignment="1">
      <alignment horizontal="center" vertical="center" wrapText="1"/>
      <protection locked="0"/>
    </xf>
    <xf numFmtId="3" fontId="37" fillId="0" borderId="4" xfId="0" applyNumberFormat="1" applyFont="1" applyBorder="1" applyAlignment="1">
      <alignment vertical="center" wrapText="1"/>
      <protection locked="0"/>
    </xf>
    <xf numFmtId="0" fontId="1" fillId="0" borderId="2" xfId="0" applyFont="1" applyBorder="1" applyAlignment="1">
      <alignment vertical="center" wrapText="1"/>
      <protection locked="0"/>
    </xf>
    <xf numFmtId="0" fontId="35" fillId="0" borderId="0" xfId="0" applyFont="1" applyAlignment="1" applyProtection="1">
      <alignment vertical="center" wrapText="1"/>
    </xf>
    <xf numFmtId="0" fontId="7" fillId="2" borderId="0" xfId="0" applyFont="1" applyFill="1" applyAlignment="1">
      <alignment horizontal="center" vertical="center" wrapText="1"/>
      <protection locked="0"/>
    </xf>
    <xf numFmtId="0" fontId="21" fillId="0" borderId="3" xfId="0" applyFont="1" applyBorder="1" applyAlignment="1">
      <alignment vertical="center" wrapText="1"/>
      <protection locked="0"/>
    </xf>
    <xf numFmtId="165" fontId="24" fillId="0" borderId="4" xfId="0" applyNumberFormat="1" applyFont="1" applyBorder="1" applyAlignment="1">
      <alignment vertical="center" wrapText="1"/>
      <protection locked="0"/>
    </xf>
    <xf numFmtId="0" fontId="2" fillId="0" borderId="3" xfId="0" applyFont="1" applyBorder="1" applyAlignment="1">
      <alignment vertical="center" wrapText="1"/>
      <protection locked="0"/>
    </xf>
    <xf numFmtId="0" fontId="7" fillId="0" borderId="3" xfId="0" applyFont="1" applyBorder="1" applyAlignment="1">
      <alignment vertical="center" wrapText="1"/>
      <protection locked="0"/>
    </xf>
    <xf numFmtId="49" fontId="7" fillId="0" borderId="4" xfId="0" applyNumberFormat="1" applyFont="1" applyBorder="1" applyAlignment="1">
      <alignment horizontal="right" vertical="center" wrapText="1"/>
      <protection locked="0"/>
    </xf>
    <xf numFmtId="49" fontId="2" fillId="0" borderId="4" xfId="0" applyNumberFormat="1" applyFont="1" applyBorder="1" applyAlignment="1">
      <alignment horizontal="right" vertical="center" wrapText="1"/>
      <protection locked="0"/>
    </xf>
    <xf numFmtId="0" fontId="28" fillId="0" borderId="5" xfId="0" applyFont="1" applyBorder="1" applyAlignment="1">
      <alignment vertical="center" wrapText="1"/>
      <protection locked="0"/>
    </xf>
    <xf numFmtId="0" fontId="28" fillId="0" borderId="2" xfId="0" applyFont="1" applyBorder="1" applyAlignment="1">
      <alignment horizontal="center" vertical="center" wrapText="1"/>
      <protection locked="0"/>
    </xf>
    <xf numFmtId="0" fontId="28" fillId="0" borderId="2" xfId="0" applyFont="1" applyBorder="1" applyAlignment="1">
      <alignment vertical="center" wrapText="1"/>
      <protection locked="0"/>
    </xf>
    <xf numFmtId="10" fontId="28" fillId="0" borderId="2" xfId="0" applyNumberFormat="1" applyFont="1" applyBorder="1" applyAlignment="1">
      <alignment vertical="center" wrapText="1"/>
      <protection locked="0"/>
    </xf>
    <xf numFmtId="165" fontId="28" fillId="0" borderId="2" xfId="0" applyNumberFormat="1" applyFont="1" applyBorder="1" applyAlignment="1">
      <alignment vertical="center" wrapText="1"/>
      <protection locked="0"/>
    </xf>
    <xf numFmtId="165" fontId="38" fillId="0" borderId="2" xfId="0" applyNumberFormat="1" applyFont="1" applyBorder="1" applyAlignment="1">
      <alignment vertical="center" wrapText="1"/>
      <protection locked="0"/>
    </xf>
    <xf numFmtId="0" fontId="1" fillId="0" borderId="4" xfId="0" applyFont="1" applyBorder="1" applyAlignment="1">
      <alignment vertical="center" wrapText="1"/>
      <protection locked="0"/>
    </xf>
    <xf numFmtId="0" fontId="1" fillId="0" borderId="3" xfId="0" applyFont="1" applyBorder="1" applyAlignment="1">
      <alignment horizontal="center" vertical="center" wrapText="1"/>
      <protection locked="0"/>
    </xf>
    <xf numFmtId="0" fontId="30" fillId="0" borderId="4" xfId="0" applyFont="1" applyBorder="1" applyAlignment="1">
      <alignment vertical="center" wrapText="1"/>
      <protection locked="0"/>
    </xf>
    <xf numFmtId="3" fontId="30" fillId="0" borderId="4" xfId="0" applyNumberFormat="1" applyFont="1" applyBorder="1" applyAlignment="1">
      <alignment vertical="center" wrapText="1"/>
      <protection locked="0"/>
    </xf>
    <xf numFmtId="3" fontId="26" fillId="0" borderId="0" xfId="0" applyNumberFormat="1" applyFont="1" applyAlignment="1">
      <alignment vertical="center" wrapText="1"/>
      <protection locked="0"/>
    </xf>
    <xf numFmtId="3" fontId="28" fillId="0" borderId="4" xfId="0" applyNumberFormat="1" applyFont="1" applyBorder="1" applyAlignment="1">
      <alignment vertical="center" wrapText="1"/>
      <protection locked="0"/>
    </xf>
    <xf numFmtId="0" fontId="28" fillId="0" borderId="5" xfId="0" applyFont="1" applyBorder="1" applyAlignment="1">
      <alignment horizontal="center" vertical="center" wrapText="1"/>
      <protection locked="0"/>
    </xf>
    <xf numFmtId="3" fontId="28" fillId="0" borderId="2" xfId="0" applyNumberFormat="1" applyFont="1" applyBorder="1" applyAlignment="1">
      <alignment vertical="center" wrapText="1"/>
      <protection locked="0"/>
    </xf>
    <xf numFmtId="49" fontId="7" fillId="0" borderId="0" xfId="0" applyNumberFormat="1" applyFont="1" applyAlignment="1">
      <alignment horizontal="center" vertical="center" wrapText="1"/>
      <protection locked="0"/>
    </xf>
    <xf numFmtId="3" fontId="1" fillId="0" borderId="0" xfId="0" applyNumberFormat="1" applyFont="1" applyAlignment="1">
      <alignment horizontal="center" vertical="center" wrapText="1"/>
      <protection locked="0"/>
    </xf>
    <xf numFmtId="49" fontId="1" fillId="0" borderId="0" xfId="0" applyNumberFormat="1" applyFont="1" applyAlignment="1">
      <alignment vertical="center" wrapText="1"/>
      <protection locked="0"/>
    </xf>
    <xf numFmtId="49" fontId="1" fillId="0" borderId="0" xfId="0" applyNumberFormat="1" applyFont="1" applyAlignment="1">
      <alignment horizontal="center" vertical="center" wrapText="1"/>
      <protection locked="0"/>
    </xf>
    <xf numFmtId="172" fontId="39" fillId="0" borderId="0" xfId="0" applyNumberFormat="1" applyFont="1" applyAlignment="1">
      <alignment horizontal="center" vertical="center" wrapText="1"/>
      <protection locked="0"/>
    </xf>
    <xf numFmtId="49" fontId="2" fillId="0" borderId="3" xfId="0" applyNumberFormat="1" applyFont="1" applyBorder="1" applyAlignment="1">
      <alignment horizontal="center" vertical="center" wrapText="1"/>
      <protection locked="0"/>
    </xf>
    <xf numFmtId="171" fontId="2" fillId="0" borderId="4" xfId="0" applyNumberFormat="1" applyFont="1" applyBorder="1" applyAlignment="1">
      <alignment horizontal="center" vertical="center" wrapText="1"/>
      <protection locked="0"/>
    </xf>
    <xf numFmtId="49" fontId="2" fillId="0" borderId="5" xfId="0" applyNumberFormat="1" applyFont="1" applyBorder="1" applyAlignment="1">
      <alignment horizontal="center" vertical="center" wrapText="1"/>
      <protection locked="0"/>
    </xf>
    <xf numFmtId="171" fontId="2" fillId="0" borderId="2" xfId="0" applyNumberFormat="1" applyFont="1" applyBorder="1" applyAlignment="1">
      <alignment horizontal="center" vertical="center" wrapText="1"/>
      <protection locked="0"/>
    </xf>
    <xf numFmtId="171" fontId="2" fillId="0" borderId="0" xfId="0" applyNumberFormat="1" applyFont="1" applyAlignment="1">
      <alignment horizontal="center" vertical="center" wrapText="1"/>
      <protection locked="0"/>
    </xf>
    <xf numFmtId="49" fontId="2" fillId="0" borderId="0" xfId="0" applyNumberFormat="1" applyFont="1" applyAlignment="1">
      <alignment horizontal="center" vertical="center" wrapText="1"/>
      <protection locked="0"/>
    </xf>
    <xf numFmtId="0" fontId="1" fillId="0" borderId="0" xfId="0" applyFont="1" applyAlignment="1">
      <alignment vertical="center"/>
      <protection locked="0"/>
    </xf>
    <xf numFmtId="0" fontId="40" fillId="0" borderId="0" xfId="0" applyFont="1" applyAlignment="1">
      <alignment vertical="center" wrapText="1"/>
      <protection locked="0"/>
    </xf>
    <xf numFmtId="0" fontId="1" fillId="0" borderId="0" xfId="0" applyFont="1" applyAlignment="1">
      <alignment horizontal="center" vertical="top"/>
      <protection locked="0"/>
    </xf>
    <xf numFmtId="49" fontId="1" fillId="0" borderId="0" xfId="0" applyNumberFormat="1" applyFont="1" applyAlignment="1">
      <alignment vertical="center"/>
      <protection locked="0"/>
    </xf>
    <xf numFmtId="49" fontId="1" fillId="0" borderId="0" xfId="0" applyNumberFormat="1" applyFont="1" applyAlignment="1">
      <alignment horizontal="center" vertical="center"/>
      <protection locked="0"/>
    </xf>
    <xf numFmtId="173" fontId="5" fillId="0" borderId="4" xfId="0" applyNumberFormat="1" applyFont="1" applyBorder="1" applyAlignment="1">
      <alignment horizontal="center" vertical="center" wrapText="1"/>
      <protection locked="0"/>
    </xf>
    <xf numFmtId="173" fontId="34" fillId="0" borderId="4" xfId="0" applyNumberFormat="1" applyFont="1" applyBorder="1" applyAlignment="1">
      <alignment horizontal="center" vertical="center" wrapText="1"/>
      <protection locked="0"/>
    </xf>
    <xf numFmtId="41" fontId="2" fillId="0" borderId="0" xfId="1" applyFont="1" applyAlignment="1" applyProtection="1">
      <alignment vertical="center" wrapText="1"/>
      <protection locked="0"/>
    </xf>
    <xf numFmtId="0" fontId="3" fillId="0" borderId="0" xfId="0" applyFont="1" applyAlignment="1">
      <alignment horizontal="center" vertical="center" wrapText="1"/>
      <protection locked="0"/>
    </xf>
    <xf numFmtId="0" fontId="1" fillId="0" borderId="0" xfId="0" applyFont="1" applyAlignment="1">
      <alignment vertical="center" wrapText="1"/>
      <protection locked="0"/>
    </xf>
    <xf numFmtId="0" fontId="5" fillId="0" borderId="0" xfId="0" applyFont="1" applyAlignment="1">
      <alignment horizontal="center" vertical="center" wrapText="1"/>
      <protection locked="0"/>
    </xf>
    <xf numFmtId="0" fontId="7" fillId="0" borderId="0" xfId="0" applyFont="1" applyAlignment="1">
      <alignment horizontal="center" vertical="center" wrapText="1"/>
      <protection locked="0"/>
    </xf>
    <xf numFmtId="49" fontId="21" fillId="0" borderId="14" xfId="0" applyNumberFormat="1" applyFont="1" applyBorder="1" applyAlignment="1">
      <alignment horizontal="center" vertical="center" wrapText="1"/>
      <protection locked="0"/>
    </xf>
    <xf numFmtId="0" fontId="1" fillId="0" borderId="11" xfId="0" applyFont="1" applyBorder="1" applyAlignment="1">
      <alignment horizontal="center" vertical="center" wrapText="1"/>
      <protection locked="0"/>
    </xf>
    <xf numFmtId="0" fontId="1" fillId="0" borderId="11" xfId="0" applyFont="1" applyBorder="1" applyAlignment="1">
      <alignment vertical="center" wrapText="1"/>
      <protection locked="0"/>
    </xf>
    <xf numFmtId="0" fontId="1" fillId="0" borderId="2" xfId="0" applyFont="1" applyBorder="1" applyAlignment="1">
      <alignment vertical="center" wrapText="1"/>
      <protection locked="0"/>
    </xf>
    <xf numFmtId="0" fontId="8" fillId="0" borderId="0" xfId="0" applyFont="1" applyAlignment="1" applyProtection="1">
      <alignment horizontal="center" vertical="center" wrapText="1"/>
    </xf>
    <xf numFmtId="0" fontId="3" fillId="0" borderId="0" xfId="0" applyFont="1" applyAlignment="1">
      <alignment vertical="center" wrapText="1"/>
      <protection locked="0"/>
    </xf>
    <xf numFmtId="164" fontId="3" fillId="0" borderId="0" xfId="0" applyNumberFormat="1" applyFont="1" applyAlignment="1">
      <alignment vertical="center" wrapText="1"/>
      <protection locked="0"/>
    </xf>
    <xf numFmtId="165" fontId="3" fillId="0" borderId="0" xfId="0" applyNumberFormat="1" applyFont="1" applyAlignment="1">
      <alignment vertical="center" wrapText="1"/>
      <protection locked="0"/>
    </xf>
    <xf numFmtId="0" fontId="7" fillId="0" borderId="0" xfId="0" applyFont="1" applyAlignment="1">
      <alignment vertical="center" wrapText="1"/>
      <protection locked="0"/>
    </xf>
    <xf numFmtId="164" fontId="7" fillId="0" borderId="0" xfId="0" applyNumberFormat="1" applyFont="1" applyAlignment="1">
      <alignment vertical="center" wrapText="1"/>
      <protection locked="0"/>
    </xf>
    <xf numFmtId="165" fontId="7" fillId="0" borderId="0" xfId="0" applyNumberFormat="1" applyFont="1" applyAlignment="1">
      <alignment vertical="center" wrapText="1"/>
      <protection locked="0"/>
    </xf>
    <xf numFmtId="0" fontId="5" fillId="0" borderId="0" xfId="0" applyFont="1" applyAlignment="1">
      <alignment vertical="center" wrapText="1"/>
      <protection locked="0"/>
    </xf>
    <xf numFmtId="164" fontId="5" fillId="0" borderId="0" xfId="0" applyNumberFormat="1" applyFont="1" applyAlignment="1">
      <alignment vertical="center" wrapText="1"/>
      <protection locked="0"/>
    </xf>
    <xf numFmtId="165" fontId="5" fillId="0" borderId="0" xfId="0" applyNumberFormat="1" applyFont="1" applyAlignment="1">
      <alignment vertical="center" wrapText="1"/>
      <protection locked="0"/>
    </xf>
    <xf numFmtId="0" fontId="7" fillId="2" borderId="7" xfId="0" applyFont="1" applyFill="1" applyBorder="1" applyAlignment="1">
      <alignment horizontal="center" vertical="center" wrapText="1"/>
      <protection locked="0"/>
    </xf>
    <xf numFmtId="0" fontId="7" fillId="2" borderId="2" xfId="0" applyFont="1" applyFill="1" applyBorder="1" applyAlignment="1">
      <alignment horizontal="center" vertical="center" wrapText="1"/>
      <protection locked="0"/>
    </xf>
    <xf numFmtId="0" fontId="7" fillId="2" borderId="8" xfId="0" applyFont="1" applyFill="1" applyBorder="1" applyAlignment="1">
      <alignment horizontal="center" vertical="center" wrapText="1"/>
      <protection locked="0"/>
    </xf>
    <xf numFmtId="0" fontId="7" fillId="2" borderId="1" xfId="0" applyFont="1" applyFill="1" applyBorder="1" applyAlignment="1">
      <alignment horizontal="center" vertical="center" wrapText="1"/>
      <protection locked="0"/>
    </xf>
    <xf numFmtId="0" fontId="7" fillId="2" borderId="9" xfId="0" applyFont="1" applyFill="1" applyBorder="1" applyAlignment="1">
      <alignment horizontal="center" vertical="center" wrapText="1"/>
      <protection locked="0"/>
    </xf>
    <xf numFmtId="0" fontId="7" fillId="2" borderId="5" xfId="0" applyFont="1" applyFill="1" applyBorder="1" applyAlignment="1">
      <alignment horizontal="center" vertical="center" wrapText="1"/>
      <protection locked="0"/>
    </xf>
    <xf numFmtId="49" fontId="2" fillId="0" borderId="10" xfId="0" applyNumberFormat="1" applyFont="1" applyBorder="1" applyAlignment="1">
      <alignment vertical="center" wrapText="1"/>
      <protection locked="0"/>
    </xf>
    <xf numFmtId="0" fontId="2" fillId="0" borderId="4" xfId="0" applyFont="1" applyBorder="1" applyAlignment="1">
      <alignment vertical="center" wrapText="1"/>
      <protection locked="0"/>
    </xf>
    <xf numFmtId="49" fontId="2" fillId="0" borderId="11" xfId="0" applyNumberFormat="1" applyFont="1" applyBorder="1" applyAlignment="1">
      <alignment vertical="center" wrapText="1"/>
      <protection locked="0"/>
    </xf>
    <xf numFmtId="0" fontId="2" fillId="0" borderId="2" xfId="0" applyFont="1" applyBorder="1" applyAlignment="1">
      <alignment vertical="center" wrapText="1"/>
      <protection locked="0"/>
    </xf>
    <xf numFmtId="0" fontId="20" fillId="0" borderId="0" xfId="0" applyFont="1" applyAlignment="1">
      <alignment horizontal="center" wrapText="1"/>
      <protection locked="0"/>
    </xf>
    <xf numFmtId="0" fontId="2" fillId="0" borderId="0" xfId="0" applyFont="1" applyAlignment="1">
      <alignment horizontal="center" wrapText="1"/>
      <protection locked="0"/>
    </xf>
    <xf numFmtId="0" fontId="2" fillId="0" borderId="0" xfId="0" applyFont="1" applyAlignment="1">
      <alignment vertical="center" wrapText="1"/>
      <protection locked="0"/>
    </xf>
    <xf numFmtId="1" fontId="2" fillId="0" borderId="0" xfId="0" applyNumberFormat="1" applyFont="1" applyAlignment="1">
      <alignment vertical="center"/>
      <protection locked="0"/>
    </xf>
    <xf numFmtId="0" fontId="2" fillId="0" borderId="0" xfId="0" applyFont="1" applyAlignment="1">
      <alignment horizontal="center" vertical="center" wrapText="1"/>
      <protection locked="0"/>
    </xf>
    <xf numFmtId="0" fontId="21" fillId="0" borderId="0" xfId="0" applyFont="1" applyAlignment="1">
      <alignment horizontal="center" vertical="center" wrapText="1"/>
      <protection locked="0"/>
    </xf>
    <xf numFmtId="0" fontId="2" fillId="0" borderId="0" xfId="0" applyFont="1" applyAlignment="1">
      <alignment horizontal="right" wrapText="1"/>
      <protection locked="0"/>
    </xf>
    <xf numFmtId="0" fontId="7" fillId="2" borderId="13" xfId="0" applyFont="1" applyFill="1" applyBorder="1" applyAlignment="1">
      <alignment horizontal="center" vertical="center" wrapText="1"/>
      <protection locked="0"/>
    </xf>
    <xf numFmtId="0" fontId="7" fillId="2" borderId="12" xfId="0" applyFont="1" applyFill="1" applyBorder="1" applyAlignment="1">
      <alignment horizontal="center" vertical="center" wrapText="1"/>
      <protection locked="0"/>
    </xf>
    <xf numFmtId="0" fontId="7" fillId="2" borderId="8" xfId="0" applyFont="1" applyFill="1" applyBorder="1" applyAlignment="1" applyProtection="1">
      <alignment horizontal="center" vertical="center" wrapText="1"/>
    </xf>
    <xf numFmtId="0" fontId="7" fillId="2" borderId="1" xfId="0" applyFont="1" applyFill="1" applyBorder="1" applyAlignment="1" applyProtection="1">
      <alignment horizontal="center" vertical="center" wrapText="1"/>
    </xf>
    <xf numFmtId="0" fontId="7" fillId="2" borderId="7" xfId="0" applyFont="1" applyFill="1" applyBorder="1" applyAlignment="1" applyProtection="1">
      <alignment horizontal="center" vertical="center" wrapText="1"/>
    </xf>
    <xf numFmtId="0" fontId="7" fillId="2" borderId="2" xfId="0" applyFont="1" applyFill="1" applyBorder="1" applyAlignment="1" applyProtection="1">
      <alignment horizontal="center" vertical="center" wrapText="1"/>
    </xf>
    <xf numFmtId="0" fontId="3" fillId="0" borderId="0" xfId="0" applyFont="1" applyAlignment="1" applyProtection="1">
      <alignment horizontal="center" vertical="center" wrapText="1"/>
    </xf>
    <xf numFmtId="0" fontId="2" fillId="0" borderId="0" xfId="0" applyFont="1" applyAlignment="1" applyProtection="1">
      <alignment vertical="center" wrapText="1"/>
    </xf>
    <xf numFmtId="0" fontId="5" fillId="0" borderId="0" xfId="0" applyFont="1" applyAlignment="1" applyProtection="1">
      <alignment horizontal="center" vertical="center" wrapText="1"/>
    </xf>
    <xf numFmtId="0" fontId="7" fillId="2" borderId="9" xfId="0" applyFont="1" applyFill="1" applyBorder="1" applyAlignment="1" applyProtection="1">
      <alignment horizontal="center" vertical="center" wrapText="1"/>
    </xf>
    <xf numFmtId="0" fontId="7" fillId="2" borderId="5" xfId="0" applyFont="1" applyFill="1" applyBorder="1" applyAlignment="1" applyProtection="1">
      <alignment horizontal="center" vertical="center" wrapText="1"/>
    </xf>
    <xf numFmtId="0" fontId="5" fillId="0" borderId="0" xfId="0" applyFont="1" applyAlignment="1">
      <alignment horizontal="left" vertical="center" wrapText="1"/>
      <protection locked="0"/>
    </xf>
    <xf numFmtId="0" fontId="21" fillId="0" borderId="14" xfId="0" applyFont="1" applyBorder="1" applyAlignment="1">
      <alignment horizontal="center" vertical="center" wrapText="1"/>
      <protection locked="0"/>
    </xf>
    <xf numFmtId="0" fontId="2" fillId="0" borderId="11" xfId="0" applyFont="1" applyBorder="1" applyAlignment="1">
      <alignment horizontal="center" vertical="center" wrapText="1"/>
      <protection locked="0"/>
    </xf>
    <xf numFmtId="3" fontId="1" fillId="0" borderId="2" xfId="0" applyNumberFormat="1" applyFont="1" applyBorder="1" applyAlignment="1">
      <alignment vertical="center" wrapText="1"/>
      <protection locked="0"/>
    </xf>
    <xf numFmtId="0" fontId="2" fillId="0" borderId="11" xfId="0" applyFont="1" applyBorder="1" applyAlignment="1">
      <alignment vertical="center" wrapText="1"/>
      <protection locked="0"/>
    </xf>
    <xf numFmtId="0" fontId="32" fillId="2" borderId="2" xfId="0" applyFont="1" applyFill="1" applyBorder="1" applyAlignment="1">
      <alignment horizontal="center" vertical="center" wrapText="1"/>
      <protection locked="0"/>
    </xf>
    <xf numFmtId="49" fontId="31" fillId="0" borderId="11" xfId="0" applyNumberFormat="1" applyFont="1" applyBorder="1" applyAlignment="1">
      <alignment vertical="center" wrapText="1"/>
      <protection locked="0"/>
    </xf>
    <xf numFmtId="0" fontId="31" fillId="0" borderId="11" xfId="0" applyFont="1" applyBorder="1" applyAlignment="1">
      <alignment vertical="center" wrapText="1"/>
      <protection locked="0"/>
    </xf>
    <xf numFmtId="0" fontId="31" fillId="0" borderId="2" xfId="0" applyFont="1" applyBorder="1" applyAlignment="1">
      <alignment horizontal="left" vertical="center" wrapText="1"/>
      <protection locked="0"/>
    </xf>
    <xf numFmtId="49" fontId="3" fillId="0" borderId="0" xfId="0" applyNumberFormat="1" applyFont="1" applyAlignment="1">
      <alignment horizontal="center" vertical="center" wrapText="1"/>
      <protection locked="0"/>
    </xf>
    <xf numFmtId="49" fontId="31" fillId="0" borderId="0" xfId="0" applyNumberFormat="1" applyFont="1" applyAlignment="1">
      <alignment vertical="center" wrapText="1"/>
      <protection locked="0"/>
    </xf>
    <xf numFmtId="0" fontId="31" fillId="0" borderId="0" xfId="0" applyFont="1" applyAlignment="1">
      <alignment vertical="center" wrapText="1"/>
      <protection locked="0"/>
    </xf>
    <xf numFmtId="0" fontId="31" fillId="0" borderId="0" xfId="0" applyFont="1" applyAlignment="1">
      <alignment horizontal="left" vertical="center" wrapText="1"/>
      <protection locked="0"/>
    </xf>
    <xf numFmtId="0" fontId="32" fillId="2" borderId="5" xfId="0" applyFont="1" applyFill="1" applyBorder="1" applyAlignment="1">
      <alignment horizontal="center" vertical="center" wrapText="1"/>
      <protection locked="0"/>
    </xf>
    <xf numFmtId="0" fontId="28" fillId="0" borderId="14" xfId="0" applyFont="1" applyBorder="1" applyAlignment="1">
      <alignment horizontal="center" wrapText="1"/>
      <protection locked="0"/>
    </xf>
    <xf numFmtId="0" fontId="31" fillId="0" borderId="2" xfId="0" applyFont="1" applyBorder="1" applyAlignment="1">
      <alignment vertical="center" wrapText="1"/>
      <protection locked="0"/>
    </xf>
    <xf numFmtId="3" fontId="28" fillId="0" borderId="11" xfId="0" applyNumberFormat="1" applyFont="1" applyBorder="1" applyAlignment="1">
      <alignment wrapText="1"/>
      <protection locked="0"/>
    </xf>
    <xf numFmtId="166" fontId="28" fillId="0" borderId="12" xfId="0" applyNumberFormat="1" applyFont="1" applyBorder="1" applyAlignment="1">
      <alignment horizontal="center" wrapText="1"/>
      <protection locked="0"/>
    </xf>
    <xf numFmtId="166" fontId="31" fillId="0" borderId="12" xfId="0" applyNumberFormat="1" applyFont="1" applyBorder="1" applyAlignment="1">
      <alignment vertical="center" wrapText="1"/>
      <protection locked="0"/>
    </xf>
    <xf numFmtId="166" fontId="31" fillId="0" borderId="4" xfId="0" applyNumberFormat="1" applyFont="1" applyBorder="1" applyAlignment="1">
      <alignment vertical="center" wrapText="1"/>
      <protection locked="0"/>
    </xf>
    <xf numFmtId="49" fontId="7" fillId="2" borderId="9" xfId="0" applyNumberFormat="1" applyFont="1" applyFill="1" applyBorder="1" applyAlignment="1">
      <alignment horizontal="center" vertical="center" wrapText="1"/>
      <protection locked="0"/>
    </xf>
    <xf numFmtId="49" fontId="7" fillId="2" borderId="5" xfId="0" applyNumberFormat="1" applyFont="1" applyFill="1" applyBorder="1" applyAlignment="1">
      <alignment horizontal="center" vertical="center" wrapText="1"/>
      <protection locked="0"/>
    </xf>
    <xf numFmtId="49" fontId="7" fillId="2" borderId="7" xfId="0" applyNumberFormat="1" applyFont="1" applyFill="1" applyBorder="1" applyAlignment="1">
      <alignment horizontal="center" vertical="center" wrapText="1"/>
      <protection locked="0"/>
    </xf>
    <xf numFmtId="49" fontId="7" fillId="2" borderId="2" xfId="0" applyNumberFormat="1" applyFont="1" applyFill="1" applyBorder="1" applyAlignment="1">
      <alignment horizontal="center" vertical="center" wrapText="1"/>
      <protection locked="0"/>
    </xf>
    <xf numFmtId="0" fontId="1" fillId="0" borderId="0" xfId="0" applyFont="1" applyAlignment="1" applyProtection="1">
      <alignment horizontal="center" vertical="center" wrapText="1"/>
    </xf>
    <xf numFmtId="0" fontId="34" fillId="0" borderId="0" xfId="0" applyFont="1" applyAlignment="1">
      <alignment horizontal="right" wrapText="1"/>
      <protection locked="0"/>
    </xf>
    <xf numFmtId="0" fontId="7" fillId="2" borderId="0" xfId="0" applyFont="1" applyFill="1" applyAlignment="1">
      <alignment horizontal="center" vertical="center" wrapText="1"/>
      <protection locked="0"/>
    </xf>
    <xf numFmtId="0" fontId="1" fillId="0" borderId="0" xfId="0" applyFont="1" applyAlignment="1">
      <alignment vertical="top"/>
      <protection locked="0"/>
    </xf>
    <xf numFmtId="0" fontId="1" fillId="0" borderId="0" xfId="0" applyFont="1" applyAlignment="1">
      <alignment horizontal="left" vertical="top"/>
      <protection locked="0"/>
    </xf>
  </cellXfs>
  <cellStyles count="2">
    <cellStyle name="Comma [0]" xfId="1" builtinId="6"/>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00008B"/>
      <rgbColor rgb="00FFFFCC"/>
      <rgbColor rgb="00A52A2A"/>
      <rgbColor rgb="00660066"/>
      <rgbColor rgb="00FF8080"/>
      <rgbColor rgb="000066CC"/>
      <rgbColor rgb="00CCCCFF"/>
      <rgbColor rgb="000000CD"/>
      <rgbColor rgb="00D3D3D3"/>
      <rgbColor rgb="00F5F5F5"/>
      <rgbColor rgb="00646464"/>
      <rgbColor rgb="00F5FFFA"/>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RowHeight="11" x14ac:dyDescent="0.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32C6E-AA73-2A43-90AA-D016AAC941DC}">
  <dimension ref="A1:AM169"/>
  <sheetViews>
    <sheetView showZeros="0" workbookViewId="0">
      <pane xSplit="5" ySplit="5" topLeftCell="F17" activePane="bottomRight" state="frozenSplit"/>
      <selection activeCell="F106" sqref="F106"/>
      <selection pane="topRight" activeCell="F106" sqref="F106"/>
      <selection pane="bottomLeft" activeCell="F106" sqref="F106"/>
      <selection pane="bottomRight" activeCell="F36" sqref="F36"/>
    </sheetView>
  </sheetViews>
  <sheetFormatPr baseColWidth="10" defaultColWidth="10" defaultRowHeight="15" customHeight="1" x14ac:dyDescent="0.15"/>
  <cols>
    <col min="1" max="1" width="5" style="1" customWidth="1"/>
    <col min="2" max="2" width="10" style="73" customWidth="1"/>
    <col min="3" max="4" width="13.75" style="73" hidden="1" customWidth="1"/>
    <col min="5" max="5" width="13.75" style="73" customWidth="1"/>
    <col min="6" max="6" width="35.25" style="73" customWidth="1"/>
    <col min="7" max="7" width="9.25" style="73" customWidth="1"/>
    <col min="8" max="8" width="7.75" style="74" hidden="1" customWidth="1"/>
    <col min="9" max="11" width="10" style="74" hidden="1" customWidth="1"/>
    <col min="12" max="12" width="7.25" style="74" hidden="1" customWidth="1"/>
    <col min="13" max="14" width="10" style="74" hidden="1" customWidth="1"/>
    <col min="15" max="15" width="9.25" style="74" hidden="1" customWidth="1"/>
    <col min="16" max="16" width="14" style="74" customWidth="1"/>
    <col min="17" max="17" width="17.25" style="75" customWidth="1"/>
    <col min="18" max="18" width="10.75" style="75" hidden="1" customWidth="1"/>
    <col min="19" max="19" width="15.75" style="75" customWidth="1"/>
    <col min="20" max="20" width="15.5" style="75" customWidth="1"/>
    <col min="21" max="21" width="18.75" style="75" customWidth="1"/>
    <col min="22" max="22" width="12.5" style="75" hidden="1" customWidth="1"/>
    <col min="23" max="23" width="17.25" style="75" customWidth="1"/>
    <col min="24" max="24" width="21.5" style="75" customWidth="1"/>
    <col min="25" max="27" width="7.75" style="76" customWidth="1"/>
    <col min="28" max="28" width="31.75" style="73" customWidth="1"/>
    <col min="29" max="29" width="28.25" style="39" customWidth="1"/>
    <col min="30" max="30" width="28.25" style="39" hidden="1" customWidth="1"/>
    <col min="31" max="36" width="10" style="40" hidden="1" customWidth="1"/>
    <col min="37" max="38" width="10.75" style="77" customWidth="1"/>
    <col min="39" max="39" width="25" style="39" customWidth="1"/>
    <col min="40" max="16384" width="10" style="1"/>
  </cols>
  <sheetData>
    <row r="1" spans="1:39" ht="24.75" customHeight="1" x14ac:dyDescent="0.15">
      <c r="A1" s="313" t="s">
        <v>0</v>
      </c>
      <c r="B1" s="322"/>
      <c r="C1" s="322"/>
      <c r="D1" s="322"/>
      <c r="E1" s="322"/>
      <c r="F1" s="322"/>
      <c r="G1" s="322"/>
      <c r="H1" s="323"/>
      <c r="I1" s="323"/>
      <c r="J1" s="323"/>
      <c r="K1" s="323"/>
      <c r="L1" s="323"/>
      <c r="M1" s="323"/>
      <c r="N1" s="323"/>
      <c r="O1" s="323"/>
      <c r="P1" s="323"/>
      <c r="Q1" s="324"/>
      <c r="R1" s="324"/>
      <c r="S1" s="324"/>
      <c r="T1" s="324"/>
      <c r="U1" s="324"/>
      <c r="V1" s="324"/>
      <c r="W1" s="324"/>
      <c r="X1" s="324"/>
      <c r="Y1" s="3"/>
      <c r="Z1" s="3"/>
      <c r="AA1" s="3"/>
      <c r="AB1" s="2"/>
      <c r="AC1" s="4"/>
      <c r="AD1" s="4"/>
      <c r="AE1" s="5"/>
      <c r="AF1" s="5"/>
      <c r="AG1" s="5"/>
      <c r="AH1" s="5"/>
      <c r="AI1" s="5"/>
      <c r="AJ1" s="5"/>
      <c r="AK1" s="6"/>
      <c r="AL1" s="6"/>
      <c r="AM1" s="7" t="s">
        <v>1</v>
      </c>
    </row>
    <row r="2" spans="1:39" ht="30" customHeight="1" x14ac:dyDescent="0.15">
      <c r="A2" s="315" t="s">
        <v>2</v>
      </c>
      <c r="B2" s="328"/>
      <c r="C2" s="328"/>
      <c r="D2" s="328"/>
      <c r="E2" s="328"/>
      <c r="F2" s="328"/>
      <c r="G2" s="328"/>
      <c r="H2" s="329"/>
      <c r="I2" s="329"/>
      <c r="J2" s="329"/>
      <c r="K2" s="329"/>
      <c r="L2" s="329"/>
      <c r="M2" s="329"/>
      <c r="N2" s="329"/>
      <c r="O2" s="329"/>
      <c r="P2" s="329"/>
      <c r="Q2" s="330"/>
      <c r="R2" s="330"/>
      <c r="S2" s="330"/>
      <c r="T2" s="330"/>
      <c r="U2" s="330"/>
      <c r="V2" s="330"/>
      <c r="W2" s="330"/>
      <c r="X2" s="330"/>
      <c r="Y2" s="9"/>
      <c r="Z2" s="9"/>
      <c r="AA2" s="9"/>
      <c r="AB2" s="8"/>
      <c r="AC2" s="10"/>
      <c r="AD2" s="10"/>
      <c r="AE2" s="11"/>
      <c r="AF2" s="11"/>
      <c r="AG2" s="11"/>
      <c r="AH2" s="11"/>
      <c r="AI2" s="11"/>
      <c r="AJ2" s="11"/>
      <c r="AK2" s="12"/>
      <c r="AL2" s="12"/>
      <c r="AM2" s="10"/>
    </row>
    <row r="3" spans="1:39" ht="26.25" customHeight="1" x14ac:dyDescent="0.15">
      <c r="A3" s="316" t="s">
        <v>3</v>
      </c>
      <c r="B3" s="325"/>
      <c r="C3" s="325"/>
      <c r="D3" s="325"/>
      <c r="E3" s="325"/>
      <c r="F3" s="325"/>
      <c r="G3" s="325"/>
      <c r="H3" s="326"/>
      <c r="I3" s="326"/>
      <c r="J3" s="326"/>
      <c r="K3" s="326"/>
      <c r="L3" s="326"/>
      <c r="M3" s="326"/>
      <c r="N3" s="326"/>
      <c r="O3" s="326"/>
      <c r="P3" s="326"/>
      <c r="Q3" s="327"/>
      <c r="R3" s="327"/>
      <c r="S3" s="327"/>
      <c r="T3" s="327"/>
      <c r="U3" s="327"/>
      <c r="V3" s="327"/>
      <c r="W3" s="327"/>
      <c r="X3" s="327"/>
      <c r="Y3" s="15"/>
      <c r="Z3" s="15"/>
      <c r="AA3" s="15"/>
      <c r="AB3" s="14"/>
      <c r="AC3" s="16"/>
      <c r="AD3" s="16"/>
      <c r="AE3" s="17"/>
      <c r="AF3" s="17"/>
      <c r="AG3" s="17"/>
      <c r="AH3" s="17"/>
      <c r="AI3" s="17"/>
      <c r="AJ3" s="17"/>
      <c r="AK3" s="18"/>
      <c r="AL3" s="18"/>
      <c r="AM3" s="16"/>
    </row>
    <row r="4" spans="1:39" ht="18.75" customHeight="1" x14ac:dyDescent="0.15">
      <c r="A4" s="335" t="s">
        <v>4</v>
      </c>
      <c r="B4" s="331" t="s">
        <v>5</v>
      </c>
      <c r="C4" s="331" t="s">
        <v>6</v>
      </c>
      <c r="D4" s="331" t="s">
        <v>7</v>
      </c>
      <c r="E4" s="331" t="s">
        <v>8</v>
      </c>
      <c r="F4" s="331" t="s">
        <v>9</v>
      </c>
      <c r="G4" s="331" t="s">
        <v>10</v>
      </c>
      <c r="H4" s="331" t="s">
        <v>11</v>
      </c>
      <c r="I4" s="333" t="s">
        <v>12</v>
      </c>
      <c r="J4" s="333"/>
      <c r="K4" s="334"/>
      <c r="L4" s="331" t="s">
        <v>13</v>
      </c>
      <c r="M4" s="331" t="s">
        <v>14</v>
      </c>
      <c r="N4" s="331" t="s">
        <v>15</v>
      </c>
      <c r="O4" s="331" t="s">
        <v>16</v>
      </c>
      <c r="P4" s="331" t="s">
        <v>17</v>
      </c>
      <c r="Q4" s="333" t="str">
        <f>"Đơn giá "&amp;'Công trình'!AM1</f>
        <v>Đơn giá (đ)</v>
      </c>
      <c r="R4" s="333"/>
      <c r="S4" s="333"/>
      <c r="T4" s="334"/>
      <c r="U4" s="333" t="str">
        <f>"Thành tiền "&amp;'Công trình'!AM1</f>
        <v>Thành tiền (đ)</v>
      </c>
      <c r="V4" s="333"/>
      <c r="W4" s="333"/>
      <c r="X4" s="334"/>
      <c r="Y4" s="333" t="s">
        <v>18</v>
      </c>
      <c r="Z4" s="333"/>
      <c r="AA4" s="334"/>
      <c r="AB4" s="316" t="s">
        <v>19</v>
      </c>
      <c r="AC4" s="321" t="s">
        <v>20</v>
      </c>
      <c r="AD4" s="321"/>
      <c r="AE4" s="316" t="s">
        <v>21</v>
      </c>
      <c r="AF4" s="316"/>
      <c r="AG4" s="316"/>
      <c r="AH4" s="316" t="s">
        <v>22</v>
      </c>
      <c r="AI4" s="316"/>
      <c r="AJ4" s="316"/>
      <c r="AK4" s="316" t="s">
        <v>23</v>
      </c>
      <c r="AL4" s="316"/>
      <c r="AM4" s="321" t="s">
        <v>24</v>
      </c>
    </row>
    <row r="5" spans="1:39" ht="30" customHeight="1" x14ac:dyDescent="0.15">
      <c r="A5" s="336"/>
      <c r="B5" s="332"/>
      <c r="C5" s="332"/>
      <c r="D5" s="332"/>
      <c r="E5" s="332"/>
      <c r="F5" s="332"/>
      <c r="G5" s="332"/>
      <c r="H5" s="332"/>
      <c r="I5" s="21" t="s">
        <v>25</v>
      </c>
      <c r="J5" s="21" t="s">
        <v>26</v>
      </c>
      <c r="K5" s="21" t="s">
        <v>27</v>
      </c>
      <c r="L5" s="332"/>
      <c r="M5" s="332"/>
      <c r="N5" s="332"/>
      <c r="O5" s="332"/>
      <c r="P5" s="332"/>
      <c r="Q5" s="21" t="s">
        <v>28</v>
      </c>
      <c r="R5" s="21" t="s">
        <v>29</v>
      </c>
      <c r="S5" s="21" t="s">
        <v>30</v>
      </c>
      <c r="T5" s="21" t="s">
        <v>31</v>
      </c>
      <c r="U5" s="21" t="s">
        <v>28</v>
      </c>
      <c r="V5" s="21" t="s">
        <v>29</v>
      </c>
      <c r="W5" s="21" t="s">
        <v>30</v>
      </c>
      <c r="X5" s="21" t="s">
        <v>32</v>
      </c>
      <c r="Y5" s="21" t="s">
        <v>33</v>
      </c>
      <c r="Z5" s="21" t="s">
        <v>34</v>
      </c>
      <c r="AA5" s="21" t="s">
        <v>35</v>
      </c>
      <c r="AB5" s="316"/>
      <c r="AC5" s="20" t="s">
        <v>36</v>
      </c>
      <c r="AD5" s="20" t="s">
        <v>37</v>
      </c>
      <c r="AE5" s="13" t="s">
        <v>33</v>
      </c>
      <c r="AF5" s="13" t="s">
        <v>34</v>
      </c>
      <c r="AG5" s="13" t="s">
        <v>35</v>
      </c>
      <c r="AH5" s="13" t="s">
        <v>33</v>
      </c>
      <c r="AI5" s="13" t="s">
        <v>34</v>
      </c>
      <c r="AJ5" s="13" t="s">
        <v>35</v>
      </c>
      <c r="AK5" s="13" t="s">
        <v>38</v>
      </c>
      <c r="AL5" s="13" t="s">
        <v>39</v>
      </c>
      <c r="AM5" s="321"/>
    </row>
    <row r="6" spans="1:39" ht="14" x14ac:dyDescent="0.15">
      <c r="A6" s="22"/>
      <c r="B6" s="23"/>
      <c r="C6" s="24"/>
      <c r="D6" s="24"/>
      <c r="E6" s="23" t="s">
        <v>40</v>
      </c>
      <c r="F6" s="23" t="s">
        <v>3</v>
      </c>
      <c r="G6" s="23"/>
      <c r="H6" s="25"/>
      <c r="I6" s="25"/>
      <c r="J6" s="25"/>
      <c r="K6" s="25"/>
      <c r="L6" s="25"/>
      <c r="M6" s="25"/>
      <c r="N6" s="25"/>
      <c r="O6" s="25">
        <v>4</v>
      </c>
      <c r="P6" s="26"/>
      <c r="Q6" s="26"/>
      <c r="R6" s="27"/>
      <c r="S6" s="26"/>
      <c r="T6" s="26"/>
      <c r="U6" s="26"/>
      <c r="V6" s="27"/>
      <c r="W6" s="26"/>
      <c r="X6" s="26"/>
      <c r="Y6" s="26"/>
      <c r="Z6" s="26"/>
      <c r="AA6" s="26"/>
    </row>
    <row r="7" spans="1:39" x14ac:dyDescent="0.15">
      <c r="A7" s="22"/>
      <c r="B7" s="28"/>
      <c r="C7" s="24"/>
      <c r="D7" s="24"/>
      <c r="E7" s="28"/>
      <c r="F7" s="29" t="s">
        <v>41</v>
      </c>
      <c r="G7" s="28"/>
      <c r="H7" s="25"/>
      <c r="I7" s="25"/>
      <c r="J7" s="25"/>
      <c r="K7" s="25"/>
      <c r="L7" s="25"/>
      <c r="M7" s="25"/>
      <c r="N7" s="25"/>
      <c r="O7" s="25"/>
      <c r="P7" s="25"/>
      <c r="Q7" s="27"/>
      <c r="R7" s="27"/>
      <c r="S7" s="27"/>
      <c r="T7" s="27"/>
      <c r="U7" s="27"/>
      <c r="V7" s="27"/>
      <c r="W7" s="27"/>
      <c r="X7" s="27"/>
      <c r="Y7" s="30"/>
      <c r="Z7" s="30"/>
      <c r="AA7" s="30"/>
    </row>
    <row r="8" spans="1:39" ht="30" x14ac:dyDescent="0.15">
      <c r="A8" s="31">
        <v>1</v>
      </c>
      <c r="B8" s="32"/>
      <c r="C8" s="33"/>
      <c r="D8" s="33"/>
      <c r="E8" s="32" t="s">
        <v>42</v>
      </c>
      <c r="F8" s="34" t="s">
        <v>43</v>
      </c>
      <c r="G8" s="32" t="s">
        <v>44</v>
      </c>
      <c r="H8" s="35"/>
      <c r="I8" s="35"/>
      <c r="J8" s="35"/>
      <c r="K8" s="35"/>
      <c r="L8" s="35"/>
      <c r="M8" s="35"/>
      <c r="N8" s="35"/>
      <c r="O8" s="35"/>
      <c r="P8" s="35">
        <f>ROUND(SUM(O8:O9),4)</f>
        <v>2</v>
      </c>
      <c r="Q8" s="36"/>
      <c r="R8" s="36"/>
      <c r="S8" s="36"/>
      <c r="T8" s="36">
        <v>3000000</v>
      </c>
      <c r="U8" s="36">
        <f>P8*Q8</f>
        <v>0</v>
      </c>
      <c r="V8" s="36">
        <f>P8*R8</f>
        <v>0</v>
      </c>
      <c r="W8" s="36">
        <f>P8*S8</f>
        <v>0</v>
      </c>
      <c r="X8" s="36">
        <f>P8*T8</f>
        <v>6000000</v>
      </c>
      <c r="Y8" s="37"/>
      <c r="Z8" s="37"/>
      <c r="AA8" s="37"/>
    </row>
    <row r="9" spans="1:39" x14ac:dyDescent="0.15">
      <c r="A9" s="22"/>
      <c r="B9" s="28"/>
      <c r="C9" s="24"/>
      <c r="D9" s="24"/>
      <c r="E9" s="28"/>
      <c r="F9" s="38" t="s">
        <v>45</v>
      </c>
      <c r="G9" s="28"/>
      <c r="H9" s="25"/>
      <c r="I9" s="25"/>
      <c r="J9" s="25"/>
      <c r="K9" s="25"/>
      <c r="L9" s="25"/>
      <c r="M9" s="25"/>
      <c r="N9" s="25"/>
      <c r="O9" s="25">
        <v>2</v>
      </c>
      <c r="P9" s="25"/>
      <c r="Q9" s="27"/>
      <c r="R9" s="27"/>
      <c r="S9" s="27"/>
      <c r="T9" s="27"/>
      <c r="U9" s="27"/>
      <c r="V9" s="27"/>
      <c r="W9" s="27"/>
      <c r="X9" s="27"/>
      <c r="Y9" s="30"/>
      <c r="Z9" s="30"/>
      <c r="AA9" s="30"/>
    </row>
    <row r="10" spans="1:39" ht="60" x14ac:dyDescent="0.15">
      <c r="A10" s="22">
        <v>2</v>
      </c>
      <c r="B10" s="28"/>
      <c r="C10" s="24" t="s">
        <v>46</v>
      </c>
      <c r="D10" s="24"/>
      <c r="E10" s="28" t="s">
        <v>46</v>
      </c>
      <c r="F10" s="29" t="s">
        <v>47</v>
      </c>
      <c r="G10" s="28" t="s">
        <v>48</v>
      </c>
      <c r="H10" s="25"/>
      <c r="I10" s="25"/>
      <c r="J10" s="25"/>
      <c r="K10" s="25"/>
      <c r="L10" s="25"/>
      <c r="M10" s="25"/>
      <c r="N10" s="25"/>
      <c r="O10" s="25"/>
      <c r="P10" s="25">
        <f>ROUND(SUM(O10:O31),4)</f>
        <v>48.04</v>
      </c>
      <c r="Q10" s="27"/>
      <c r="R10" s="27"/>
      <c r="S10" s="27">
        <v>1750160</v>
      </c>
      <c r="T10" s="27">
        <v>4102240</v>
      </c>
      <c r="U10" s="27">
        <f>P10*Q10</f>
        <v>0</v>
      </c>
      <c r="V10" s="27">
        <f>P10*R10</f>
        <v>0</v>
      </c>
      <c r="W10" s="27">
        <f>P10*S10</f>
        <v>84077686.399999991</v>
      </c>
      <c r="X10" s="27">
        <f>P10*T10</f>
        <v>197071609.59999999</v>
      </c>
      <c r="Y10" s="30"/>
      <c r="Z10" s="30"/>
      <c r="AA10" s="30"/>
      <c r="AC10" s="39" t="s">
        <v>49</v>
      </c>
      <c r="AD10" s="39" t="s">
        <v>50</v>
      </c>
      <c r="AE10" s="40" t="s">
        <v>51</v>
      </c>
      <c r="AF10" s="40" t="s">
        <v>52</v>
      </c>
      <c r="AG10" s="40" t="s">
        <v>53</v>
      </c>
      <c r="AM10" s="39" t="s">
        <v>54</v>
      </c>
    </row>
    <row r="11" spans="1:39" ht="75" x14ac:dyDescent="0.15">
      <c r="A11" s="22"/>
      <c r="B11" s="28"/>
      <c r="C11" s="28"/>
      <c r="D11" s="28"/>
      <c r="E11" s="28"/>
      <c r="F11" s="41" t="s">
        <v>55</v>
      </c>
      <c r="G11" s="28"/>
      <c r="H11" s="25"/>
      <c r="I11" s="25"/>
      <c r="J11" s="25"/>
      <c r="K11" s="25"/>
      <c r="L11" s="25"/>
      <c r="M11" s="25"/>
      <c r="N11" s="25"/>
      <c r="O11" s="25"/>
      <c r="P11" s="25"/>
      <c r="Q11" s="27"/>
      <c r="R11" s="27"/>
      <c r="S11" s="27"/>
      <c r="T11" s="27"/>
      <c r="U11" s="27"/>
      <c r="V11" s="27"/>
      <c r="W11" s="27"/>
      <c r="X11" s="27"/>
      <c r="Y11" s="30"/>
      <c r="Z11" s="30"/>
      <c r="AA11" s="30"/>
    </row>
    <row r="12" spans="1:39" x14ac:dyDescent="0.15">
      <c r="A12" s="22"/>
      <c r="B12" s="28"/>
      <c r="C12" s="28"/>
      <c r="D12" s="28"/>
      <c r="E12" s="28"/>
      <c r="F12" s="41" t="s">
        <v>56</v>
      </c>
      <c r="G12" s="28"/>
      <c r="H12" s="25"/>
      <c r="I12" s="25"/>
      <c r="J12" s="25"/>
      <c r="K12" s="25"/>
      <c r="L12" s="25"/>
      <c r="M12" s="25"/>
      <c r="N12" s="25"/>
      <c r="O12" s="25"/>
      <c r="P12" s="25"/>
      <c r="Q12" s="27"/>
      <c r="R12" s="27"/>
      <c r="S12" s="27"/>
      <c r="T12" s="27"/>
      <c r="U12" s="27"/>
      <c r="V12" s="27"/>
      <c r="W12" s="27"/>
      <c r="X12" s="27"/>
      <c r="Y12" s="30"/>
      <c r="Z12" s="30"/>
      <c r="AA12" s="30"/>
    </row>
    <row r="13" spans="1:39" ht="45" x14ac:dyDescent="0.15">
      <c r="A13" s="22"/>
      <c r="B13" s="28"/>
      <c r="C13" s="28"/>
      <c r="D13" s="28"/>
      <c r="E13" s="28"/>
      <c r="F13" s="38" t="s">
        <v>57</v>
      </c>
      <c r="G13" s="28"/>
      <c r="H13" s="25"/>
      <c r="I13" s="25"/>
      <c r="J13" s="25"/>
      <c r="K13" s="25"/>
      <c r="L13" s="25"/>
      <c r="M13" s="25"/>
      <c r="N13" s="25"/>
      <c r="O13" s="25">
        <v>8.6</v>
      </c>
      <c r="P13" s="25"/>
      <c r="Q13" s="27"/>
      <c r="R13" s="27"/>
      <c r="S13" s="27"/>
      <c r="T13" s="27"/>
      <c r="U13" s="27"/>
      <c r="V13" s="27"/>
      <c r="W13" s="27"/>
      <c r="X13" s="27"/>
      <c r="Y13" s="30"/>
      <c r="Z13" s="30"/>
      <c r="AA13" s="30"/>
    </row>
    <row r="14" spans="1:39" ht="30" x14ac:dyDescent="0.15">
      <c r="A14" s="22"/>
      <c r="B14" s="28"/>
      <c r="C14" s="28"/>
      <c r="D14" s="28"/>
      <c r="E14" s="28"/>
      <c r="F14" s="38" t="s">
        <v>58</v>
      </c>
      <c r="G14" s="28"/>
      <c r="H14" s="25"/>
      <c r="I14" s="25"/>
      <c r="J14" s="25"/>
      <c r="K14" s="25"/>
      <c r="L14" s="25"/>
      <c r="M14" s="25"/>
      <c r="N14" s="25"/>
      <c r="O14" s="25">
        <v>0.44800000000000001</v>
      </c>
      <c r="P14" s="25"/>
      <c r="Q14" s="27"/>
      <c r="R14" s="27"/>
      <c r="S14" s="27"/>
      <c r="T14" s="27"/>
      <c r="U14" s="27"/>
      <c r="V14" s="27"/>
      <c r="W14" s="27"/>
      <c r="X14" s="27"/>
      <c r="Y14" s="30"/>
      <c r="Z14" s="30"/>
      <c r="AA14" s="30"/>
    </row>
    <row r="15" spans="1:39" ht="75" x14ac:dyDescent="0.15">
      <c r="A15" s="22"/>
      <c r="B15" s="28"/>
      <c r="C15" s="28"/>
      <c r="D15" s="28"/>
      <c r="E15" s="28"/>
      <c r="F15" s="38" t="s">
        <v>59</v>
      </c>
      <c r="G15" s="28"/>
      <c r="H15" s="25"/>
      <c r="I15" s="25"/>
      <c r="J15" s="25"/>
      <c r="K15" s="25"/>
      <c r="L15" s="25"/>
      <c r="M15" s="25"/>
      <c r="N15" s="25"/>
      <c r="O15" s="25">
        <v>0.56000000000000005</v>
      </c>
      <c r="P15" s="25"/>
      <c r="Q15" s="27"/>
      <c r="R15" s="27"/>
      <c r="S15" s="27"/>
      <c r="T15" s="27"/>
      <c r="U15" s="27"/>
      <c r="V15" s="27"/>
      <c r="W15" s="27"/>
      <c r="X15" s="27"/>
      <c r="Y15" s="30"/>
      <c r="Z15" s="30"/>
      <c r="AA15" s="30"/>
    </row>
    <row r="16" spans="1:39" x14ac:dyDescent="0.15">
      <c r="A16" s="22"/>
      <c r="B16" s="28"/>
      <c r="C16" s="28"/>
      <c r="D16" s="28"/>
      <c r="E16" s="28"/>
      <c r="F16" s="41" t="s">
        <v>60</v>
      </c>
      <c r="G16" s="28"/>
      <c r="H16" s="25"/>
      <c r="I16" s="25"/>
      <c r="J16" s="25"/>
      <c r="K16" s="25"/>
      <c r="L16" s="25"/>
      <c r="M16" s="25"/>
      <c r="N16" s="25"/>
      <c r="O16" s="25"/>
      <c r="P16" s="25"/>
      <c r="Q16" s="27"/>
      <c r="R16" s="27"/>
      <c r="S16" s="27"/>
      <c r="T16" s="27"/>
      <c r="U16" s="27"/>
      <c r="V16" s="27"/>
      <c r="W16" s="27"/>
      <c r="X16" s="27"/>
      <c r="Y16" s="30"/>
      <c r="Z16" s="30"/>
      <c r="AA16" s="30"/>
    </row>
    <row r="17" spans="1:28" ht="45" x14ac:dyDescent="0.15">
      <c r="A17" s="22"/>
      <c r="B17" s="28"/>
      <c r="C17" s="28"/>
      <c r="D17" s="28"/>
      <c r="E17" s="28"/>
      <c r="F17" s="38" t="s">
        <v>57</v>
      </c>
      <c r="G17" s="28"/>
      <c r="H17" s="25"/>
      <c r="I17" s="25"/>
      <c r="J17" s="25"/>
      <c r="K17" s="25"/>
      <c r="L17" s="25"/>
      <c r="M17" s="25"/>
      <c r="N17" s="25"/>
      <c r="O17" s="25">
        <v>8.6</v>
      </c>
      <c r="P17" s="25"/>
      <c r="Q17" s="27"/>
      <c r="R17" s="27"/>
      <c r="S17" s="27"/>
      <c r="T17" s="27"/>
      <c r="U17" s="27"/>
      <c r="V17" s="27"/>
      <c r="W17" s="27"/>
      <c r="X17" s="27"/>
      <c r="Y17" s="30"/>
      <c r="Z17" s="30"/>
      <c r="AA17" s="30"/>
    </row>
    <row r="18" spans="1:28" ht="30" x14ac:dyDescent="0.15">
      <c r="A18" s="22"/>
      <c r="B18" s="28"/>
      <c r="C18" s="28"/>
      <c r="D18" s="28"/>
      <c r="E18" s="28"/>
      <c r="F18" s="38" t="s">
        <v>58</v>
      </c>
      <c r="G18" s="28"/>
      <c r="H18" s="25"/>
      <c r="I18" s="25"/>
      <c r="J18" s="25"/>
      <c r="K18" s="25"/>
      <c r="L18" s="25"/>
      <c r="M18" s="25"/>
      <c r="N18" s="25"/>
      <c r="O18" s="25">
        <v>0.44800000000000001</v>
      </c>
      <c r="P18" s="25"/>
      <c r="Q18" s="27"/>
      <c r="R18" s="27"/>
      <c r="S18" s="27"/>
      <c r="T18" s="27"/>
      <c r="U18" s="27"/>
      <c r="V18" s="27"/>
      <c r="W18" s="27"/>
      <c r="X18" s="27"/>
      <c r="Y18" s="30"/>
      <c r="Z18" s="30"/>
      <c r="AA18" s="30"/>
    </row>
    <row r="19" spans="1:28" ht="75" x14ac:dyDescent="0.15">
      <c r="A19" s="22"/>
      <c r="B19" s="28"/>
      <c r="C19" s="28"/>
      <c r="D19" s="28"/>
      <c r="E19" s="28"/>
      <c r="F19" s="38" t="s">
        <v>59</v>
      </c>
      <c r="G19" s="28"/>
      <c r="H19" s="25"/>
      <c r="I19" s="25"/>
      <c r="J19" s="25"/>
      <c r="K19" s="25"/>
      <c r="L19" s="25"/>
      <c r="M19" s="25"/>
      <c r="N19" s="25"/>
      <c r="O19" s="25">
        <v>0.56000000000000005</v>
      </c>
      <c r="P19" s="25"/>
      <c r="Q19" s="27"/>
      <c r="R19" s="27"/>
      <c r="S19" s="27"/>
      <c r="T19" s="27"/>
      <c r="U19" s="27"/>
      <c r="V19" s="27"/>
      <c r="W19" s="27"/>
      <c r="X19" s="27"/>
      <c r="Y19" s="30"/>
      <c r="Z19" s="30"/>
      <c r="AA19" s="30"/>
    </row>
    <row r="20" spans="1:28" x14ac:dyDescent="0.15">
      <c r="A20" s="22"/>
      <c r="B20" s="28"/>
      <c r="C20" s="28"/>
      <c r="D20" s="28"/>
      <c r="E20" s="28"/>
      <c r="F20" s="41" t="s">
        <v>61</v>
      </c>
      <c r="G20" s="28"/>
      <c r="H20" s="25"/>
      <c r="I20" s="25"/>
      <c r="J20" s="25"/>
      <c r="K20" s="25"/>
      <c r="L20" s="25"/>
      <c r="M20" s="25"/>
      <c r="N20" s="25"/>
      <c r="O20" s="25"/>
      <c r="P20" s="25"/>
      <c r="Q20" s="27"/>
      <c r="R20" s="27"/>
      <c r="S20" s="27"/>
      <c r="T20" s="27"/>
      <c r="U20" s="27"/>
      <c r="V20" s="27"/>
      <c r="W20" s="27"/>
      <c r="X20" s="27"/>
      <c r="Y20" s="30"/>
      <c r="Z20" s="30"/>
      <c r="AA20" s="30"/>
    </row>
    <row r="21" spans="1:28" ht="45" x14ac:dyDescent="0.15">
      <c r="A21" s="22"/>
      <c r="B21" s="28"/>
      <c r="C21" s="28"/>
      <c r="D21" s="28"/>
      <c r="E21" s="28"/>
      <c r="F21" s="38" t="s">
        <v>57</v>
      </c>
      <c r="G21" s="28"/>
      <c r="H21" s="25"/>
      <c r="I21" s="25"/>
      <c r="J21" s="25"/>
      <c r="K21" s="25"/>
      <c r="L21" s="25"/>
      <c r="M21" s="25"/>
      <c r="N21" s="25"/>
      <c r="O21" s="25">
        <v>8.6</v>
      </c>
      <c r="P21" s="25"/>
      <c r="Q21" s="27"/>
      <c r="R21" s="27"/>
      <c r="S21" s="27"/>
      <c r="T21" s="27"/>
      <c r="U21" s="27"/>
      <c r="V21" s="27"/>
      <c r="W21" s="27"/>
      <c r="X21" s="27"/>
      <c r="Y21" s="30"/>
      <c r="Z21" s="30"/>
      <c r="AA21" s="30"/>
    </row>
    <row r="22" spans="1:28" ht="30" x14ac:dyDescent="0.15">
      <c r="A22" s="22"/>
      <c r="B22" s="28"/>
      <c r="C22" s="28"/>
      <c r="D22" s="28"/>
      <c r="E22" s="28"/>
      <c r="F22" s="38" t="s">
        <v>58</v>
      </c>
      <c r="G22" s="28"/>
      <c r="H22" s="25"/>
      <c r="I22" s="25"/>
      <c r="J22" s="25"/>
      <c r="K22" s="25"/>
      <c r="L22" s="25"/>
      <c r="M22" s="25"/>
      <c r="N22" s="25"/>
      <c r="O22" s="25">
        <v>0.44800000000000001</v>
      </c>
      <c r="P22" s="25"/>
      <c r="Q22" s="27"/>
      <c r="R22" s="27"/>
      <c r="S22" s="27"/>
      <c r="T22" s="27"/>
      <c r="U22" s="27"/>
      <c r="V22" s="27"/>
      <c r="W22" s="27"/>
      <c r="X22" s="27"/>
      <c r="Y22" s="30"/>
      <c r="Z22" s="30"/>
      <c r="AA22" s="30"/>
    </row>
    <row r="23" spans="1:28" ht="75" x14ac:dyDescent="0.15">
      <c r="A23" s="22"/>
      <c r="B23" s="28"/>
      <c r="C23" s="28"/>
      <c r="D23" s="28"/>
      <c r="E23" s="28"/>
      <c r="F23" s="38" t="s">
        <v>59</v>
      </c>
      <c r="G23" s="28"/>
      <c r="H23" s="25"/>
      <c r="I23" s="25"/>
      <c r="J23" s="25"/>
      <c r="K23" s="25"/>
      <c r="L23" s="25"/>
      <c r="M23" s="25"/>
      <c r="N23" s="25"/>
      <c r="O23" s="25">
        <v>0.56000000000000005</v>
      </c>
      <c r="P23" s="25"/>
      <c r="Q23" s="27"/>
      <c r="R23" s="27"/>
      <c r="S23" s="27"/>
      <c r="T23" s="27"/>
      <c r="U23" s="27"/>
      <c r="V23" s="27"/>
      <c r="W23" s="27"/>
      <c r="X23" s="27"/>
      <c r="Y23" s="30"/>
      <c r="Z23" s="30"/>
      <c r="AA23" s="30"/>
    </row>
    <row r="24" spans="1:28" x14ac:dyDescent="0.15">
      <c r="A24" s="22"/>
      <c r="B24" s="28"/>
      <c r="C24" s="28"/>
      <c r="D24" s="28"/>
      <c r="E24" s="28"/>
      <c r="F24" s="41" t="s">
        <v>62</v>
      </c>
      <c r="G24" s="28"/>
      <c r="H24" s="25"/>
      <c r="I24" s="25"/>
      <c r="J24" s="25"/>
      <c r="K24" s="25"/>
      <c r="L24" s="25"/>
      <c r="M24" s="25"/>
      <c r="N24" s="25"/>
      <c r="O24" s="25"/>
      <c r="P24" s="25"/>
      <c r="Q24" s="27"/>
      <c r="R24" s="27"/>
      <c r="S24" s="27"/>
      <c r="T24" s="27"/>
      <c r="U24" s="27"/>
      <c r="V24" s="27"/>
      <c r="W24" s="27"/>
      <c r="X24" s="27"/>
      <c r="Y24" s="30"/>
      <c r="Z24" s="30"/>
      <c r="AA24" s="30"/>
    </row>
    <row r="25" spans="1:28" ht="45" x14ac:dyDescent="0.15">
      <c r="A25" s="22"/>
      <c r="B25" s="28"/>
      <c r="C25" s="28"/>
      <c r="D25" s="28"/>
      <c r="E25" s="28"/>
      <c r="F25" s="38" t="s">
        <v>57</v>
      </c>
      <c r="G25" s="28"/>
      <c r="H25" s="25"/>
      <c r="I25" s="25"/>
      <c r="J25" s="25"/>
      <c r="K25" s="25"/>
      <c r="L25" s="25"/>
      <c r="M25" s="25"/>
      <c r="N25" s="25"/>
      <c r="O25" s="25">
        <v>8.6</v>
      </c>
      <c r="P25" s="25"/>
      <c r="Q25" s="27"/>
      <c r="R25" s="27"/>
      <c r="S25" s="27"/>
      <c r="T25" s="27"/>
      <c r="U25" s="27"/>
      <c r="V25" s="27"/>
      <c r="W25" s="27"/>
      <c r="X25" s="27"/>
      <c r="Y25" s="30"/>
      <c r="Z25" s="30"/>
      <c r="AA25" s="30"/>
    </row>
    <row r="26" spans="1:28" ht="30" x14ac:dyDescent="0.15">
      <c r="A26" s="22"/>
      <c r="B26" s="28"/>
      <c r="C26" s="28"/>
      <c r="D26" s="28"/>
      <c r="E26" s="28"/>
      <c r="F26" s="38" t="s">
        <v>58</v>
      </c>
      <c r="G26" s="28"/>
      <c r="H26" s="25"/>
      <c r="I26" s="25"/>
      <c r="J26" s="25"/>
      <c r="K26" s="25"/>
      <c r="L26" s="25"/>
      <c r="M26" s="25"/>
      <c r="N26" s="25"/>
      <c r="O26" s="25">
        <v>0.44800000000000001</v>
      </c>
      <c r="P26" s="25"/>
      <c r="Q26" s="27"/>
      <c r="R26" s="27"/>
      <c r="S26" s="27"/>
      <c r="T26" s="27"/>
      <c r="U26" s="27"/>
      <c r="V26" s="27"/>
      <c r="W26" s="27"/>
      <c r="X26" s="27"/>
      <c r="Y26" s="30"/>
      <c r="Z26" s="30"/>
      <c r="AA26" s="30"/>
    </row>
    <row r="27" spans="1:28" ht="75" x14ac:dyDescent="0.15">
      <c r="A27" s="22"/>
      <c r="B27" s="28"/>
      <c r="C27" s="28"/>
      <c r="D27" s="28"/>
      <c r="E27" s="28"/>
      <c r="F27" s="38" t="s">
        <v>59</v>
      </c>
      <c r="G27" s="28"/>
      <c r="H27" s="25"/>
      <c r="I27" s="25"/>
      <c r="J27" s="25"/>
      <c r="K27" s="25"/>
      <c r="L27" s="25"/>
      <c r="M27" s="25"/>
      <c r="N27" s="25"/>
      <c r="O27" s="25">
        <v>0.56000000000000005</v>
      </c>
      <c r="P27" s="25"/>
      <c r="Q27" s="27"/>
      <c r="R27" s="27"/>
      <c r="S27" s="27"/>
      <c r="T27" s="27"/>
      <c r="U27" s="27"/>
      <c r="V27" s="27"/>
      <c r="W27" s="27"/>
      <c r="X27" s="27"/>
      <c r="Y27" s="30"/>
      <c r="Z27" s="30"/>
      <c r="AA27" s="30"/>
    </row>
    <row r="28" spans="1:28" x14ac:dyDescent="0.15">
      <c r="A28" s="22"/>
      <c r="B28" s="28"/>
      <c r="C28" s="28"/>
      <c r="D28" s="28"/>
      <c r="E28" s="28"/>
      <c r="F28" s="41" t="s">
        <v>63</v>
      </c>
      <c r="G28" s="28"/>
      <c r="H28" s="25"/>
      <c r="I28" s="25"/>
      <c r="J28" s="25"/>
      <c r="K28" s="25"/>
      <c r="L28" s="25"/>
      <c r="M28" s="25"/>
      <c r="N28" s="25"/>
      <c r="O28" s="25"/>
      <c r="P28" s="25"/>
      <c r="Q28" s="27"/>
      <c r="R28" s="27"/>
      <c r="S28" s="27"/>
      <c r="T28" s="27"/>
      <c r="U28" s="27"/>
      <c r="V28" s="27"/>
      <c r="W28" s="27"/>
      <c r="X28" s="27"/>
      <c r="Y28" s="30"/>
      <c r="Z28" s="30"/>
      <c r="AA28" s="30"/>
    </row>
    <row r="29" spans="1:28" ht="45" x14ac:dyDescent="0.15">
      <c r="A29" s="22"/>
      <c r="B29" s="28"/>
      <c r="C29" s="28"/>
      <c r="D29" s="28"/>
      <c r="E29" s="28"/>
      <c r="F29" s="38" t="s">
        <v>57</v>
      </c>
      <c r="G29" s="28"/>
      <c r="H29" s="25"/>
      <c r="I29" s="25"/>
      <c r="J29" s="25"/>
      <c r="K29" s="25"/>
      <c r="L29" s="25"/>
      <c r="M29" s="25"/>
      <c r="N29" s="25"/>
      <c r="O29" s="25">
        <v>8.6</v>
      </c>
      <c r="P29" s="25"/>
      <c r="Q29" s="27"/>
      <c r="R29" s="27"/>
      <c r="S29" s="27"/>
      <c r="T29" s="27"/>
      <c r="U29" s="27"/>
      <c r="V29" s="27"/>
      <c r="W29" s="27"/>
      <c r="X29" s="27"/>
      <c r="Y29" s="30"/>
      <c r="Z29" s="30"/>
      <c r="AA29" s="30"/>
    </row>
    <row r="30" spans="1:28" ht="30" x14ac:dyDescent="0.15">
      <c r="A30" s="22"/>
      <c r="B30" s="28"/>
      <c r="C30" s="28"/>
      <c r="D30" s="28"/>
      <c r="E30" s="28"/>
      <c r="F30" s="38" t="s">
        <v>58</v>
      </c>
      <c r="G30" s="28"/>
      <c r="H30" s="25"/>
      <c r="I30" s="25"/>
      <c r="J30" s="25"/>
      <c r="K30" s="25"/>
      <c r="L30" s="25"/>
      <c r="M30" s="25"/>
      <c r="N30" s="25"/>
      <c r="O30" s="25">
        <v>0.44800000000000001</v>
      </c>
      <c r="P30" s="25"/>
      <c r="Q30" s="27"/>
      <c r="R30" s="27"/>
      <c r="S30" s="27"/>
      <c r="T30" s="27"/>
      <c r="U30" s="27"/>
      <c r="V30" s="27"/>
      <c r="W30" s="27"/>
      <c r="X30" s="27"/>
      <c r="Y30" s="30"/>
      <c r="Z30" s="30"/>
      <c r="AA30" s="30"/>
    </row>
    <row r="31" spans="1:28" ht="75" x14ac:dyDescent="0.15">
      <c r="A31" s="22"/>
      <c r="B31" s="28"/>
      <c r="C31" s="28"/>
      <c r="D31" s="28"/>
      <c r="E31" s="28"/>
      <c r="F31" s="38" t="s">
        <v>59</v>
      </c>
      <c r="G31" s="28"/>
      <c r="H31" s="25"/>
      <c r="I31" s="25"/>
      <c r="J31" s="25"/>
      <c r="K31" s="25"/>
      <c r="L31" s="25"/>
      <c r="M31" s="25"/>
      <c r="N31" s="25"/>
      <c r="O31" s="25">
        <v>0.56000000000000005</v>
      </c>
      <c r="P31" s="25"/>
      <c r="Q31" s="27"/>
      <c r="R31" s="27"/>
      <c r="S31" s="27"/>
      <c r="T31" s="27"/>
      <c r="U31" s="27"/>
      <c r="V31" s="27"/>
      <c r="W31" s="27"/>
      <c r="X31" s="27"/>
      <c r="Y31" s="30"/>
      <c r="Z31" s="30"/>
      <c r="AA31" s="30"/>
    </row>
    <row r="32" spans="1:28" ht="60" x14ac:dyDescent="0.15">
      <c r="A32" s="31">
        <v>3</v>
      </c>
      <c r="B32" s="32"/>
      <c r="C32" s="33"/>
      <c r="D32" s="33"/>
      <c r="E32" s="32" t="s">
        <v>42</v>
      </c>
      <c r="F32" s="34" t="s">
        <v>64</v>
      </c>
      <c r="G32" s="32" t="s">
        <v>65</v>
      </c>
      <c r="H32" s="35"/>
      <c r="I32" s="35"/>
      <c r="J32" s="35"/>
      <c r="K32" s="35"/>
      <c r="L32" s="35"/>
      <c r="M32" s="35"/>
      <c r="N32" s="35"/>
      <c r="O32" s="35"/>
      <c r="P32" s="35">
        <f>ROUND(SUM(O32:O33),4)</f>
        <v>2882.4</v>
      </c>
      <c r="Q32" s="36">
        <v>2500</v>
      </c>
      <c r="R32" s="36"/>
      <c r="S32" s="36"/>
      <c r="T32" s="36"/>
      <c r="U32" s="36">
        <f>P32*Q32</f>
        <v>7206000</v>
      </c>
      <c r="V32" s="36">
        <f>P32*R32</f>
        <v>0</v>
      </c>
      <c r="W32" s="36">
        <f>P32*S32</f>
        <v>0</v>
      </c>
      <c r="X32" s="36">
        <f>P32*T32</f>
        <v>0</v>
      </c>
      <c r="Y32" s="37"/>
      <c r="Z32" s="37"/>
      <c r="AA32" s="37"/>
      <c r="AB32" s="312">
        <f>U32*180</f>
        <v>1297080000</v>
      </c>
    </row>
    <row r="33" spans="1:39" x14ac:dyDescent="0.15">
      <c r="A33" s="22"/>
      <c r="B33" s="28"/>
      <c r="C33" s="24"/>
      <c r="D33" s="24"/>
      <c r="E33" s="28"/>
      <c r="F33" s="38" t="s">
        <v>66</v>
      </c>
      <c r="G33" s="28"/>
      <c r="H33" s="25"/>
      <c r="I33" s="25"/>
      <c r="J33" s="25"/>
      <c r="K33" s="25"/>
      <c r="L33" s="25"/>
      <c r="M33" s="25"/>
      <c r="N33" s="25"/>
      <c r="O33" s="25">
        <v>2882.4</v>
      </c>
      <c r="P33" s="25"/>
      <c r="Q33" s="27"/>
      <c r="R33" s="27"/>
      <c r="S33" s="27"/>
      <c r="T33" s="27"/>
      <c r="U33" s="27"/>
      <c r="V33" s="27"/>
      <c r="W33" s="27"/>
      <c r="X33" s="27"/>
      <c r="Y33" s="30"/>
      <c r="Z33" s="30"/>
      <c r="AA33" s="30"/>
    </row>
    <row r="34" spans="1:39" ht="30" x14ac:dyDescent="0.15">
      <c r="A34" s="31">
        <v>4</v>
      </c>
      <c r="B34" s="32"/>
      <c r="C34" s="33"/>
      <c r="D34" s="33"/>
      <c r="E34" s="32" t="s">
        <v>42</v>
      </c>
      <c r="F34" s="34" t="s">
        <v>67</v>
      </c>
      <c r="G34" s="32" t="s">
        <v>44</v>
      </c>
      <c r="H34" s="35"/>
      <c r="I34" s="35"/>
      <c r="J34" s="35"/>
      <c r="K34" s="35"/>
      <c r="L34" s="35"/>
      <c r="M34" s="35"/>
      <c r="N34" s="35"/>
      <c r="O34" s="35"/>
      <c r="P34" s="35">
        <f>ROUND(SUM(O34:O35),4)</f>
        <v>75</v>
      </c>
      <c r="Q34" s="36"/>
      <c r="R34" s="36"/>
      <c r="S34" s="36">
        <v>50000</v>
      </c>
      <c r="T34" s="36">
        <v>450000</v>
      </c>
      <c r="U34" s="36">
        <f>P34*Q34</f>
        <v>0</v>
      </c>
      <c r="V34" s="36">
        <f>P34*R34</f>
        <v>0</v>
      </c>
      <c r="W34" s="36">
        <f>P34*S34</f>
        <v>3750000</v>
      </c>
      <c r="X34" s="36">
        <f>P34*T34</f>
        <v>33750000</v>
      </c>
      <c r="Y34" s="37"/>
      <c r="Z34" s="37"/>
      <c r="AA34" s="37"/>
    </row>
    <row r="35" spans="1:39" x14ac:dyDescent="0.15">
      <c r="A35" s="22"/>
      <c r="B35" s="28"/>
      <c r="C35" s="24"/>
      <c r="D35" s="24"/>
      <c r="E35" s="28"/>
      <c r="F35" s="38" t="s">
        <v>68</v>
      </c>
      <c r="G35" s="28"/>
      <c r="H35" s="25"/>
      <c r="I35" s="25"/>
      <c r="J35" s="25"/>
      <c r="K35" s="25"/>
      <c r="L35" s="25"/>
      <c r="M35" s="25"/>
      <c r="N35" s="25"/>
      <c r="O35" s="25">
        <v>75</v>
      </c>
      <c r="P35" s="25"/>
      <c r="Q35" s="27"/>
      <c r="R35" s="27"/>
      <c r="S35" s="27"/>
      <c r="T35" s="27"/>
      <c r="U35" s="27"/>
      <c r="V35" s="27"/>
      <c r="W35" s="27"/>
      <c r="X35" s="27"/>
      <c r="Y35" s="30"/>
      <c r="Z35" s="30"/>
      <c r="AA35" s="30"/>
    </row>
    <row r="36" spans="1:39" ht="30" x14ac:dyDescent="0.15">
      <c r="A36" s="31">
        <v>5</v>
      </c>
      <c r="B36" s="32"/>
      <c r="C36" s="33"/>
      <c r="D36" s="33"/>
      <c r="E36" s="32" t="s">
        <v>42</v>
      </c>
      <c r="F36" s="34" t="s">
        <v>69</v>
      </c>
      <c r="G36" s="32" t="s">
        <v>70</v>
      </c>
      <c r="H36" s="35"/>
      <c r="I36" s="35"/>
      <c r="J36" s="35"/>
      <c r="K36" s="35"/>
      <c r="L36" s="35"/>
      <c r="M36" s="35"/>
      <c r="N36" s="35"/>
      <c r="O36" s="35"/>
      <c r="P36" s="35">
        <f>ROUND(SUM(O36:O38),4)</f>
        <v>5</v>
      </c>
      <c r="Q36" s="36">
        <v>19500000</v>
      </c>
      <c r="R36" s="36"/>
      <c r="S36" s="36"/>
      <c r="T36" s="36"/>
      <c r="U36" s="36">
        <f>P36*Q36</f>
        <v>97500000</v>
      </c>
      <c r="V36" s="36">
        <f>P36*R36</f>
        <v>0</v>
      </c>
      <c r="W36" s="36">
        <f>P36*S36</f>
        <v>0</v>
      </c>
      <c r="X36" s="36">
        <f>P36*T36</f>
        <v>0</v>
      </c>
      <c r="Y36" s="37"/>
      <c r="Z36" s="37"/>
      <c r="AA36" s="37"/>
    </row>
    <row r="37" spans="1:39" ht="30" x14ac:dyDescent="0.15">
      <c r="A37" s="22"/>
      <c r="B37" s="28"/>
      <c r="C37" s="24"/>
      <c r="D37" s="24"/>
      <c r="E37" s="28"/>
      <c r="F37" s="41" t="s">
        <v>71</v>
      </c>
      <c r="G37" s="28"/>
      <c r="H37" s="25"/>
      <c r="I37" s="25"/>
      <c r="J37" s="25"/>
      <c r="K37" s="25"/>
      <c r="L37" s="25"/>
      <c r="M37" s="25"/>
      <c r="N37" s="25"/>
      <c r="O37" s="25"/>
      <c r="P37" s="25"/>
      <c r="Q37" s="27"/>
      <c r="R37" s="27"/>
      <c r="S37" s="27"/>
      <c r="T37" s="27"/>
      <c r="U37" s="27"/>
      <c r="V37" s="27"/>
      <c r="W37" s="27"/>
      <c r="X37" s="27"/>
      <c r="Y37" s="30"/>
      <c r="Z37" s="30"/>
      <c r="AA37" s="30"/>
    </row>
    <row r="38" spans="1:39" x14ac:dyDescent="0.15">
      <c r="A38" s="22"/>
      <c r="B38" s="28"/>
      <c r="C38" s="24"/>
      <c r="D38" s="24"/>
      <c r="E38" s="28"/>
      <c r="F38" s="38" t="s">
        <v>72</v>
      </c>
      <c r="G38" s="28"/>
      <c r="H38" s="25"/>
      <c r="I38" s="25"/>
      <c r="J38" s="25"/>
      <c r="K38" s="25"/>
      <c r="L38" s="25"/>
      <c r="M38" s="25"/>
      <c r="N38" s="25"/>
      <c r="O38" s="25">
        <v>5</v>
      </c>
      <c r="P38" s="25"/>
      <c r="Q38" s="27"/>
      <c r="R38" s="27"/>
      <c r="S38" s="27"/>
      <c r="T38" s="27"/>
      <c r="U38" s="27"/>
      <c r="V38" s="27"/>
      <c r="W38" s="27"/>
      <c r="X38" s="27"/>
      <c r="Y38" s="30"/>
      <c r="Z38" s="30"/>
      <c r="AA38" s="30"/>
    </row>
    <row r="39" spans="1:39" ht="60" x14ac:dyDescent="0.15">
      <c r="A39" s="22">
        <v>6</v>
      </c>
      <c r="B39" s="28"/>
      <c r="C39" s="28" t="s">
        <v>46</v>
      </c>
      <c r="D39" s="28"/>
      <c r="E39" s="28" t="s">
        <v>46</v>
      </c>
      <c r="F39" s="29" t="s">
        <v>73</v>
      </c>
      <c r="G39" s="28" t="s">
        <v>48</v>
      </c>
      <c r="H39" s="25"/>
      <c r="I39" s="25"/>
      <c r="J39" s="25"/>
      <c r="K39" s="25"/>
      <c r="L39" s="25"/>
      <c r="M39" s="25"/>
      <c r="N39" s="25"/>
      <c r="O39" s="25"/>
      <c r="P39" s="25">
        <f>ROUND(SUM(O39:O40),4)</f>
        <v>48.04</v>
      </c>
      <c r="Q39" s="27"/>
      <c r="R39" s="27"/>
      <c r="S39" s="27">
        <v>1750160</v>
      </c>
      <c r="T39" s="27">
        <v>4102240</v>
      </c>
      <c r="U39" s="27">
        <f>P39*Q39</f>
        <v>0</v>
      </c>
      <c r="V39" s="27">
        <f>P39*R39</f>
        <v>0</v>
      </c>
      <c r="W39" s="27">
        <f>P39*S39</f>
        <v>84077686.399999991</v>
      </c>
      <c r="X39" s="27">
        <f>P39*T39</f>
        <v>197071609.59999999</v>
      </c>
      <c r="Y39" s="30"/>
      <c r="Z39" s="30"/>
      <c r="AA39" s="30"/>
      <c r="AC39" s="39" t="s">
        <v>49</v>
      </c>
      <c r="AD39" s="39" t="s">
        <v>50</v>
      </c>
      <c r="AE39" s="40" t="s">
        <v>51</v>
      </c>
      <c r="AF39" s="40" t="s">
        <v>52</v>
      </c>
      <c r="AG39" s="40" t="s">
        <v>53</v>
      </c>
      <c r="AM39" s="39" t="s">
        <v>54</v>
      </c>
    </row>
    <row r="40" spans="1:39" ht="30" x14ac:dyDescent="0.15">
      <c r="A40" s="22"/>
      <c r="B40" s="28"/>
      <c r="C40" s="28"/>
      <c r="D40" s="28"/>
      <c r="E40" s="28"/>
      <c r="F40" s="38" t="s">
        <v>74</v>
      </c>
      <c r="G40" s="28"/>
      <c r="H40" s="25"/>
      <c r="I40" s="25"/>
      <c r="J40" s="25"/>
      <c r="K40" s="25"/>
      <c r="L40" s="25"/>
      <c r="M40" s="25"/>
      <c r="N40" s="25"/>
      <c r="O40" s="25">
        <v>48.04</v>
      </c>
      <c r="P40" s="25"/>
      <c r="Q40" s="27"/>
      <c r="R40" s="27"/>
      <c r="S40" s="27"/>
      <c r="T40" s="27"/>
      <c r="U40" s="27"/>
      <c r="V40" s="27"/>
      <c r="W40" s="27"/>
      <c r="X40" s="27"/>
      <c r="Y40" s="30"/>
      <c r="Z40" s="30"/>
      <c r="AA40" s="30"/>
    </row>
    <row r="41" spans="1:39" ht="30" x14ac:dyDescent="0.15">
      <c r="A41" s="22">
        <v>7</v>
      </c>
      <c r="B41" s="28"/>
      <c r="C41" s="24" t="s">
        <v>75</v>
      </c>
      <c r="D41" s="24"/>
      <c r="E41" s="28" t="s">
        <v>75</v>
      </c>
      <c r="F41" s="29" t="s">
        <v>76</v>
      </c>
      <c r="G41" s="28" t="s">
        <v>77</v>
      </c>
      <c r="H41" s="25"/>
      <c r="I41" s="25"/>
      <c r="J41" s="25"/>
      <c r="K41" s="25"/>
      <c r="L41" s="25"/>
      <c r="M41" s="25"/>
      <c r="N41" s="25"/>
      <c r="O41" s="25"/>
      <c r="P41" s="25">
        <f>ROUND(SUM(O41:O43),4)</f>
        <v>1.44</v>
      </c>
      <c r="Q41" s="27">
        <v>1167831</v>
      </c>
      <c r="R41" s="27"/>
      <c r="S41" s="27">
        <v>309160</v>
      </c>
      <c r="T41" s="27"/>
      <c r="U41" s="27">
        <f>P41*Q41</f>
        <v>1681676.64</v>
      </c>
      <c r="V41" s="27">
        <f>P41*R41</f>
        <v>0</v>
      </c>
      <c r="W41" s="27">
        <f>P41*S41</f>
        <v>445190.39999999997</v>
      </c>
      <c r="X41" s="27">
        <f>P41*T41</f>
        <v>0</v>
      </c>
      <c r="Y41" s="30"/>
      <c r="Z41" s="30"/>
      <c r="AA41" s="30"/>
      <c r="AC41" s="39" t="s">
        <v>49</v>
      </c>
      <c r="AD41" s="39" t="s">
        <v>50</v>
      </c>
      <c r="AE41" s="40" t="s">
        <v>78</v>
      </c>
      <c r="AF41" s="40" t="s">
        <v>79</v>
      </c>
      <c r="AM41" s="39" t="s">
        <v>54</v>
      </c>
    </row>
    <row r="42" spans="1:39" ht="60" x14ac:dyDescent="0.15">
      <c r="A42" s="22"/>
      <c r="B42" s="28"/>
      <c r="C42" s="24"/>
      <c r="D42" s="24"/>
      <c r="E42" s="28"/>
      <c r="F42" s="38" t="s">
        <v>80</v>
      </c>
      <c r="G42" s="28"/>
      <c r="H42" s="25"/>
      <c r="I42" s="25"/>
      <c r="J42" s="25"/>
      <c r="K42" s="25"/>
      <c r="L42" s="25"/>
      <c r="M42" s="25"/>
      <c r="N42" s="25"/>
      <c r="O42" s="25">
        <v>1.44</v>
      </c>
      <c r="P42" s="25"/>
      <c r="Q42" s="27"/>
      <c r="R42" s="27"/>
      <c r="S42" s="27"/>
      <c r="T42" s="27"/>
      <c r="U42" s="27"/>
      <c r="V42" s="27"/>
      <c r="W42" s="27"/>
      <c r="X42" s="27"/>
      <c r="Y42" s="30"/>
      <c r="Z42" s="30"/>
      <c r="AA42" s="30"/>
    </row>
    <row r="43" spans="1:39" ht="30" x14ac:dyDescent="0.15">
      <c r="A43" s="22"/>
      <c r="B43" s="28"/>
      <c r="C43" s="24"/>
      <c r="D43" s="24"/>
      <c r="E43" s="28"/>
      <c r="F43" s="41" t="s">
        <v>81</v>
      </c>
      <c r="G43" s="28"/>
      <c r="H43" s="25"/>
      <c r="I43" s="25"/>
      <c r="J43" s="25"/>
      <c r="K43" s="25"/>
      <c r="L43" s="25"/>
      <c r="M43" s="25"/>
      <c r="N43" s="25"/>
      <c r="O43" s="25"/>
      <c r="P43" s="25"/>
      <c r="Q43" s="27"/>
      <c r="R43" s="27"/>
      <c r="S43" s="27"/>
      <c r="T43" s="27"/>
      <c r="U43" s="27"/>
      <c r="V43" s="27"/>
      <c r="W43" s="27"/>
      <c r="X43" s="27"/>
      <c r="Y43" s="30"/>
      <c r="Z43" s="30"/>
      <c r="AA43" s="30"/>
    </row>
    <row r="44" spans="1:39" ht="60" x14ac:dyDescent="0.15">
      <c r="A44" s="22">
        <v>8</v>
      </c>
      <c r="B44" s="28"/>
      <c r="C44" s="24" t="s">
        <v>82</v>
      </c>
      <c r="D44" s="24"/>
      <c r="E44" s="28" t="s">
        <v>82</v>
      </c>
      <c r="F44" s="29" t="s">
        <v>83</v>
      </c>
      <c r="G44" s="28" t="s">
        <v>84</v>
      </c>
      <c r="H44" s="25"/>
      <c r="I44" s="25"/>
      <c r="J44" s="25"/>
      <c r="K44" s="25"/>
      <c r="L44" s="25"/>
      <c r="M44" s="25"/>
      <c r="N44" s="25"/>
      <c r="O44" s="25"/>
      <c r="P44" s="25">
        <f>ROUND(SUM(O44:O46),4)</f>
        <v>20</v>
      </c>
      <c r="Q44" s="27"/>
      <c r="R44" s="27"/>
      <c r="S44" s="27">
        <v>15491</v>
      </c>
      <c r="T44" s="27">
        <v>1603</v>
      </c>
      <c r="U44" s="27">
        <f>P44*Q44</f>
        <v>0</v>
      </c>
      <c r="V44" s="27">
        <f>P44*R44</f>
        <v>0</v>
      </c>
      <c r="W44" s="27">
        <f>P44*S44</f>
        <v>309820</v>
      </c>
      <c r="X44" s="27">
        <f>P44*T44</f>
        <v>32060</v>
      </c>
      <c r="Y44" s="30"/>
      <c r="Z44" s="30"/>
      <c r="AA44" s="30"/>
      <c r="AC44" s="39" t="s">
        <v>49</v>
      </c>
      <c r="AD44" s="39" t="s">
        <v>50</v>
      </c>
      <c r="AF44" s="40" t="s">
        <v>85</v>
      </c>
      <c r="AG44" s="40" t="s">
        <v>86</v>
      </c>
      <c r="AM44" s="39" t="s">
        <v>54</v>
      </c>
    </row>
    <row r="45" spans="1:39" x14ac:dyDescent="0.15">
      <c r="A45" s="22"/>
      <c r="B45" s="28"/>
      <c r="C45" s="24"/>
      <c r="D45" s="24"/>
      <c r="E45" s="28"/>
      <c r="F45" s="38" t="s">
        <v>87</v>
      </c>
      <c r="G45" s="28"/>
      <c r="H45" s="25"/>
      <c r="I45" s="25"/>
      <c r="J45" s="25"/>
      <c r="K45" s="25"/>
      <c r="L45" s="25"/>
      <c r="M45" s="25"/>
      <c r="N45" s="25"/>
      <c r="O45" s="25">
        <v>20</v>
      </c>
      <c r="P45" s="25"/>
      <c r="Q45" s="27"/>
      <c r="R45" s="27"/>
      <c r="S45" s="27"/>
      <c r="T45" s="27"/>
      <c r="U45" s="27"/>
      <c r="V45" s="27"/>
      <c r="W45" s="27"/>
      <c r="X45" s="27"/>
      <c r="Y45" s="30"/>
      <c r="Z45" s="30"/>
      <c r="AA45" s="30"/>
    </row>
    <row r="46" spans="1:39" x14ac:dyDescent="0.15">
      <c r="A46" s="22"/>
      <c r="B46" s="28"/>
      <c r="C46" s="24"/>
      <c r="D46" s="24"/>
      <c r="E46" s="28"/>
      <c r="F46" s="41" t="s">
        <v>88</v>
      </c>
      <c r="G46" s="28"/>
      <c r="H46" s="25"/>
      <c r="I46" s="25"/>
      <c r="J46" s="25"/>
      <c r="K46" s="25"/>
      <c r="L46" s="25"/>
      <c r="M46" s="25"/>
      <c r="N46" s="25"/>
      <c r="O46" s="25"/>
      <c r="P46" s="25"/>
      <c r="Q46" s="27"/>
      <c r="R46" s="27"/>
      <c r="S46" s="27"/>
      <c r="T46" s="27"/>
      <c r="U46" s="27"/>
      <c r="V46" s="27"/>
      <c r="W46" s="27"/>
      <c r="X46" s="27"/>
      <c r="Y46" s="30"/>
      <c r="Z46" s="30"/>
      <c r="AA46" s="30"/>
    </row>
    <row r="47" spans="1:39" ht="45" x14ac:dyDescent="0.15">
      <c r="A47" s="22">
        <v>9</v>
      </c>
      <c r="B47" s="28"/>
      <c r="C47" s="24" t="s">
        <v>89</v>
      </c>
      <c r="D47" s="24"/>
      <c r="E47" s="28" t="s">
        <v>89</v>
      </c>
      <c r="F47" s="29" t="s">
        <v>90</v>
      </c>
      <c r="G47" s="28" t="s">
        <v>91</v>
      </c>
      <c r="H47" s="25"/>
      <c r="I47" s="25"/>
      <c r="J47" s="25"/>
      <c r="K47" s="25"/>
      <c r="L47" s="25"/>
      <c r="M47" s="25"/>
      <c r="N47" s="25"/>
      <c r="O47" s="25"/>
      <c r="P47" s="25">
        <f>ROUND(SUM(O47:O48),4)</f>
        <v>1152.9000000000001</v>
      </c>
      <c r="Q47" s="27">
        <v>2546</v>
      </c>
      <c r="R47" s="27"/>
      <c r="S47" s="27">
        <v>75243</v>
      </c>
      <c r="T47" s="27">
        <v>679931</v>
      </c>
      <c r="U47" s="27">
        <f>P47*Q47</f>
        <v>2935283.4000000004</v>
      </c>
      <c r="V47" s="27">
        <f>P47*R47</f>
        <v>0</v>
      </c>
      <c r="W47" s="27">
        <f>P47*S47</f>
        <v>86747654.700000003</v>
      </c>
      <c r="X47" s="27">
        <f>P47*T47</f>
        <v>783892449.9000001</v>
      </c>
      <c r="Y47" s="30"/>
      <c r="Z47" s="30"/>
      <c r="AA47" s="30"/>
      <c r="AC47" s="39" t="s">
        <v>49</v>
      </c>
      <c r="AD47" s="39" t="s">
        <v>50</v>
      </c>
      <c r="AE47" s="40" t="s">
        <v>92</v>
      </c>
      <c r="AF47" s="40" t="s">
        <v>93</v>
      </c>
      <c r="AG47" s="40" t="s">
        <v>94</v>
      </c>
      <c r="AM47" s="39" t="s">
        <v>54</v>
      </c>
    </row>
    <row r="48" spans="1:39" ht="45" x14ac:dyDescent="0.15">
      <c r="A48" s="22"/>
      <c r="B48" s="28"/>
      <c r="C48" s="24"/>
      <c r="D48" s="24"/>
      <c r="E48" s="28"/>
      <c r="F48" s="38" t="s">
        <v>95</v>
      </c>
      <c r="G48" s="28"/>
      <c r="H48" s="25"/>
      <c r="I48" s="25"/>
      <c r="J48" s="25"/>
      <c r="K48" s="25"/>
      <c r="L48" s="25"/>
      <c r="M48" s="25"/>
      <c r="N48" s="25"/>
      <c r="O48" s="25">
        <v>1152.9000000000001</v>
      </c>
      <c r="P48" s="25"/>
      <c r="Q48" s="27"/>
      <c r="R48" s="27"/>
      <c r="S48" s="27"/>
      <c r="T48" s="27"/>
      <c r="U48" s="27"/>
      <c r="V48" s="27"/>
      <c r="W48" s="27"/>
      <c r="X48" s="27"/>
      <c r="Y48" s="30"/>
      <c r="Z48" s="30"/>
      <c r="AA48" s="30"/>
    </row>
    <row r="49" spans="1:39" ht="60" x14ac:dyDescent="0.15">
      <c r="A49" s="22">
        <v>10</v>
      </c>
      <c r="B49" s="28"/>
      <c r="C49" s="24" t="s">
        <v>96</v>
      </c>
      <c r="D49" s="24"/>
      <c r="E49" s="28" t="s">
        <v>96</v>
      </c>
      <c r="F49" s="29" t="s">
        <v>97</v>
      </c>
      <c r="G49" s="28" t="s">
        <v>98</v>
      </c>
      <c r="H49" s="25"/>
      <c r="I49" s="25"/>
      <c r="J49" s="25"/>
      <c r="K49" s="25"/>
      <c r="L49" s="25"/>
      <c r="M49" s="25"/>
      <c r="N49" s="25"/>
      <c r="O49" s="25"/>
      <c r="P49" s="25">
        <f>ROUND(SUM(O49:O50),4)</f>
        <v>4.8853</v>
      </c>
      <c r="Q49" s="27"/>
      <c r="R49" s="27"/>
      <c r="S49" s="27">
        <v>380641</v>
      </c>
      <c r="T49" s="27">
        <v>884609</v>
      </c>
      <c r="U49" s="27">
        <f>P49*Q49</f>
        <v>0</v>
      </c>
      <c r="V49" s="27">
        <f>P49*R49</f>
        <v>0</v>
      </c>
      <c r="W49" s="27">
        <f>P49*S49</f>
        <v>1859545.4772999999</v>
      </c>
      <c r="X49" s="27">
        <f>P49*T49</f>
        <v>4321580.3476999998</v>
      </c>
      <c r="Y49" s="30"/>
      <c r="Z49" s="30"/>
      <c r="AA49" s="30"/>
      <c r="AC49" s="39" t="s">
        <v>49</v>
      </c>
      <c r="AD49" s="39" t="s">
        <v>50</v>
      </c>
      <c r="AF49" s="40" t="s">
        <v>99</v>
      </c>
      <c r="AG49" s="40" t="s">
        <v>100</v>
      </c>
      <c r="AM49" s="39" t="s">
        <v>54</v>
      </c>
    </row>
    <row r="50" spans="1:39" ht="75" x14ac:dyDescent="0.15">
      <c r="A50" s="22"/>
      <c r="B50" s="28"/>
      <c r="C50" s="24"/>
      <c r="D50" s="24"/>
      <c r="E50" s="28"/>
      <c r="F50" s="38" t="s">
        <v>1192</v>
      </c>
      <c r="G50" s="28"/>
      <c r="H50" s="25"/>
      <c r="I50" s="25"/>
      <c r="J50" s="25"/>
      <c r="K50" s="25"/>
      <c r="L50" s="25"/>
      <c r="M50" s="25"/>
      <c r="N50" s="25"/>
      <c r="O50" s="25">
        <v>4.8853</v>
      </c>
      <c r="P50" s="25"/>
      <c r="Q50" s="27"/>
      <c r="R50" s="27"/>
      <c r="S50" s="27"/>
      <c r="T50" s="27"/>
      <c r="U50" s="27"/>
      <c r="V50" s="27"/>
      <c r="W50" s="27"/>
      <c r="X50" s="27"/>
      <c r="Y50" s="30"/>
      <c r="Z50" s="30"/>
      <c r="AA50" s="30"/>
    </row>
    <row r="51" spans="1:39" ht="30" x14ac:dyDescent="0.15">
      <c r="A51" s="22">
        <v>11</v>
      </c>
      <c r="B51" s="28"/>
      <c r="C51" s="24" t="s">
        <v>101</v>
      </c>
      <c r="D51" s="24"/>
      <c r="E51" s="28" t="s">
        <v>101</v>
      </c>
      <c r="F51" s="29" t="s">
        <v>102</v>
      </c>
      <c r="G51" s="28" t="s">
        <v>98</v>
      </c>
      <c r="H51" s="25"/>
      <c r="I51" s="25"/>
      <c r="J51" s="25"/>
      <c r="K51" s="25"/>
      <c r="L51" s="25"/>
      <c r="M51" s="25"/>
      <c r="N51" s="25"/>
      <c r="O51" s="25"/>
      <c r="P51" s="25">
        <f>ROUND(SUM(O51:O52),4)</f>
        <v>16.414300000000001</v>
      </c>
      <c r="Q51" s="27"/>
      <c r="R51" s="27"/>
      <c r="S51" s="27">
        <v>81882</v>
      </c>
      <c r="T51" s="27">
        <v>730011</v>
      </c>
      <c r="U51" s="27">
        <f>P51*Q51</f>
        <v>0</v>
      </c>
      <c r="V51" s="27">
        <f>P51*R51</f>
        <v>0</v>
      </c>
      <c r="W51" s="27">
        <f>P51*S51</f>
        <v>1344035.7126</v>
      </c>
      <c r="X51" s="27">
        <f>P51*T51</f>
        <v>11982619.557300001</v>
      </c>
      <c r="Y51" s="30"/>
      <c r="Z51" s="30"/>
      <c r="AA51" s="30"/>
      <c r="AC51" s="39" t="s">
        <v>49</v>
      </c>
      <c r="AD51" s="39" t="s">
        <v>50</v>
      </c>
      <c r="AF51" s="40" t="s">
        <v>103</v>
      </c>
      <c r="AG51" s="40" t="s">
        <v>104</v>
      </c>
      <c r="AM51" s="39" t="s">
        <v>54</v>
      </c>
    </row>
    <row r="52" spans="1:39" ht="45" x14ac:dyDescent="0.15">
      <c r="A52" s="22"/>
      <c r="B52" s="28"/>
      <c r="C52" s="24"/>
      <c r="D52" s="24"/>
      <c r="E52" s="28"/>
      <c r="F52" s="38" t="s">
        <v>105</v>
      </c>
      <c r="G52" s="28"/>
      <c r="H52" s="25"/>
      <c r="I52" s="25"/>
      <c r="J52" s="25"/>
      <c r="K52" s="25"/>
      <c r="L52" s="25"/>
      <c r="M52" s="25"/>
      <c r="N52" s="25"/>
      <c r="O52" s="25">
        <v>16.414300000000001</v>
      </c>
      <c r="P52" s="25"/>
      <c r="Q52" s="27"/>
      <c r="R52" s="27"/>
      <c r="S52" s="27"/>
      <c r="T52" s="27"/>
      <c r="U52" s="27"/>
      <c r="V52" s="27"/>
      <c r="W52" s="27"/>
      <c r="X52" s="27"/>
      <c r="Y52" s="30"/>
      <c r="Z52" s="30"/>
      <c r="AA52" s="30"/>
    </row>
    <row r="53" spans="1:39" ht="45" x14ac:dyDescent="0.15">
      <c r="A53" s="22">
        <v>12</v>
      </c>
      <c r="B53" s="28"/>
      <c r="C53" s="24" t="s">
        <v>106</v>
      </c>
      <c r="D53" s="24"/>
      <c r="E53" s="28" t="s">
        <v>106</v>
      </c>
      <c r="F53" s="29" t="s">
        <v>107</v>
      </c>
      <c r="G53" s="28" t="s">
        <v>98</v>
      </c>
      <c r="H53" s="25"/>
      <c r="I53" s="25"/>
      <c r="J53" s="25"/>
      <c r="K53" s="25"/>
      <c r="L53" s="25"/>
      <c r="M53" s="25"/>
      <c r="N53" s="25"/>
      <c r="O53" s="25"/>
      <c r="P53" s="25">
        <f>ROUND(SUM(O53:O54),4)</f>
        <v>16.414000000000001</v>
      </c>
      <c r="Q53" s="27"/>
      <c r="R53" s="27"/>
      <c r="S53" s="27"/>
      <c r="T53" s="27">
        <v>1987073</v>
      </c>
      <c r="U53" s="27">
        <f>P53*Q53</f>
        <v>0</v>
      </c>
      <c r="V53" s="27">
        <f>P53*R53</f>
        <v>0</v>
      </c>
      <c r="W53" s="27">
        <f>P53*S53</f>
        <v>0</v>
      </c>
      <c r="X53" s="27">
        <f>P53*T53</f>
        <v>32615816.222000003</v>
      </c>
      <c r="Y53" s="30"/>
      <c r="Z53" s="30"/>
      <c r="AA53" s="30"/>
      <c r="AC53" s="39" t="s">
        <v>49</v>
      </c>
      <c r="AD53" s="39" t="s">
        <v>50</v>
      </c>
      <c r="AG53" s="40" t="s">
        <v>108</v>
      </c>
      <c r="AM53" s="39" t="s">
        <v>54</v>
      </c>
    </row>
    <row r="54" spans="1:39" ht="30" x14ac:dyDescent="0.15">
      <c r="A54" s="22"/>
      <c r="B54" s="28"/>
      <c r="C54" s="24"/>
      <c r="D54" s="24"/>
      <c r="E54" s="28"/>
      <c r="F54" s="38" t="s">
        <v>109</v>
      </c>
      <c r="G54" s="28"/>
      <c r="H54" s="25"/>
      <c r="I54" s="25"/>
      <c r="J54" s="25"/>
      <c r="K54" s="25"/>
      <c r="L54" s="25"/>
      <c r="M54" s="25"/>
      <c r="N54" s="25"/>
      <c r="O54" s="25">
        <v>16.414000000000001</v>
      </c>
      <c r="P54" s="25"/>
      <c r="Q54" s="27"/>
      <c r="R54" s="27"/>
      <c r="S54" s="27"/>
      <c r="T54" s="27"/>
      <c r="U54" s="27"/>
      <c r="V54" s="27"/>
      <c r="W54" s="27"/>
      <c r="X54" s="27"/>
      <c r="Y54" s="30"/>
      <c r="Z54" s="30"/>
      <c r="AA54" s="30"/>
    </row>
    <row r="55" spans="1:39" ht="60" x14ac:dyDescent="0.15">
      <c r="A55" s="22">
        <v>13</v>
      </c>
      <c r="B55" s="28"/>
      <c r="C55" s="24" t="s">
        <v>110</v>
      </c>
      <c r="D55" s="24"/>
      <c r="E55" s="28" t="s">
        <v>110</v>
      </c>
      <c r="F55" s="29" t="s">
        <v>111</v>
      </c>
      <c r="G55" s="28" t="s">
        <v>98</v>
      </c>
      <c r="H55" s="25"/>
      <c r="I55" s="25"/>
      <c r="J55" s="25"/>
      <c r="K55" s="25"/>
      <c r="L55" s="25"/>
      <c r="M55" s="25"/>
      <c r="N55" s="25"/>
      <c r="O55" s="25"/>
      <c r="P55" s="25">
        <f>ROUND(SUM(O55:O56),4)</f>
        <v>16.414000000000001</v>
      </c>
      <c r="Q55" s="27"/>
      <c r="R55" s="27"/>
      <c r="S55" s="27"/>
      <c r="T55" s="42">
        <f>915782*AA55</f>
        <v>3663128</v>
      </c>
      <c r="U55" s="27">
        <f>P55*Q55</f>
        <v>0</v>
      </c>
      <c r="V55" s="27">
        <f>P55*R55</f>
        <v>0</v>
      </c>
      <c r="W55" s="27">
        <f>P55*S55</f>
        <v>0</v>
      </c>
      <c r="X55" s="27">
        <f>P55*T55</f>
        <v>60126582.992000006</v>
      </c>
      <c r="Y55" s="30"/>
      <c r="Z55" s="30"/>
      <c r="AA55" s="30">
        <v>4</v>
      </c>
      <c r="AC55" s="39" t="s">
        <v>49</v>
      </c>
      <c r="AD55" s="39" t="s">
        <v>50</v>
      </c>
      <c r="AG55" s="40" t="s">
        <v>112</v>
      </c>
      <c r="AM55" s="39" t="s">
        <v>54</v>
      </c>
    </row>
    <row r="56" spans="1:39" ht="30" x14ac:dyDescent="0.15">
      <c r="A56" s="22"/>
      <c r="B56" s="28"/>
      <c r="C56" s="24"/>
      <c r="D56" s="24"/>
      <c r="E56" s="28"/>
      <c r="F56" s="38" t="s">
        <v>113</v>
      </c>
      <c r="G56" s="28"/>
      <c r="H56" s="25"/>
      <c r="I56" s="25"/>
      <c r="J56" s="25"/>
      <c r="K56" s="25"/>
      <c r="L56" s="25"/>
      <c r="M56" s="25"/>
      <c r="N56" s="25"/>
      <c r="O56" s="25">
        <v>16.414000000000001</v>
      </c>
      <c r="P56" s="25"/>
      <c r="Q56" s="27"/>
      <c r="R56" s="27"/>
      <c r="S56" s="27"/>
      <c r="T56" s="27"/>
      <c r="U56" s="27"/>
      <c r="V56" s="27"/>
      <c r="W56" s="27"/>
      <c r="X56" s="27"/>
      <c r="Y56" s="30"/>
      <c r="Z56" s="30"/>
      <c r="AA56" s="30"/>
    </row>
    <row r="57" spans="1:39" ht="45" x14ac:dyDescent="0.15">
      <c r="A57" s="43">
        <v>14</v>
      </c>
      <c r="B57" s="44"/>
      <c r="C57" s="45" t="s">
        <v>114</v>
      </c>
      <c r="D57" s="45"/>
      <c r="E57" s="44" t="s">
        <v>114</v>
      </c>
      <c r="F57" s="46" t="s">
        <v>115</v>
      </c>
      <c r="G57" s="44" t="s">
        <v>48</v>
      </c>
      <c r="H57" s="47"/>
      <c r="I57" s="47"/>
      <c r="J57" s="47"/>
      <c r="K57" s="47"/>
      <c r="L57" s="47"/>
      <c r="M57" s="47"/>
      <c r="N57" s="47"/>
      <c r="O57" s="47"/>
      <c r="P57" s="47">
        <f>ROUND(SUM(O57:O58),4)</f>
        <v>456.875</v>
      </c>
      <c r="Q57" s="48">
        <v>413484</v>
      </c>
      <c r="R57" s="48"/>
      <c r="S57" s="48">
        <v>483976</v>
      </c>
      <c r="T57" s="48"/>
      <c r="U57" s="48">
        <f>P57*Q57</f>
        <v>188910502.5</v>
      </c>
      <c r="V57" s="48">
        <f>P57*R57</f>
        <v>0</v>
      </c>
      <c r="W57" s="48">
        <f>P57*S57</f>
        <v>221116535</v>
      </c>
      <c r="X57" s="48">
        <f>P57*T57</f>
        <v>0</v>
      </c>
      <c r="Y57" s="49"/>
      <c r="Z57" s="49"/>
      <c r="AA57" s="49"/>
      <c r="AC57" s="39" t="s">
        <v>49</v>
      </c>
      <c r="AD57" s="39" t="s">
        <v>50</v>
      </c>
      <c r="AE57" s="40" t="s">
        <v>116</v>
      </c>
      <c r="AF57" s="40" t="s">
        <v>117</v>
      </c>
      <c r="AM57" s="39" t="s">
        <v>54</v>
      </c>
    </row>
    <row r="58" spans="1:39" x14ac:dyDescent="0.15">
      <c r="A58" s="43"/>
      <c r="B58" s="44"/>
      <c r="C58" s="45"/>
      <c r="D58" s="45"/>
      <c r="E58" s="44"/>
      <c r="F58" s="38" t="s">
        <v>118</v>
      </c>
      <c r="G58" s="44"/>
      <c r="H58" s="47"/>
      <c r="I58" s="47"/>
      <c r="J58" s="47"/>
      <c r="K58" s="47"/>
      <c r="L58" s="47"/>
      <c r="M58" s="47"/>
      <c r="N58" s="47"/>
      <c r="O58" s="47">
        <v>456.875</v>
      </c>
      <c r="P58" s="50"/>
      <c r="Q58" s="48"/>
      <c r="R58" s="48"/>
      <c r="S58" s="48"/>
      <c r="T58" s="48"/>
      <c r="U58" s="48"/>
      <c r="V58" s="48"/>
      <c r="W58" s="48"/>
      <c r="X58" s="48"/>
      <c r="Y58" s="49"/>
      <c r="Z58" s="49"/>
      <c r="AA58" s="49"/>
    </row>
    <row r="59" spans="1:39" ht="45" x14ac:dyDescent="0.15">
      <c r="A59" s="22">
        <v>15</v>
      </c>
      <c r="B59" s="28"/>
      <c r="C59" s="24" t="s">
        <v>119</v>
      </c>
      <c r="D59" s="24"/>
      <c r="E59" s="28" t="s">
        <v>119</v>
      </c>
      <c r="F59" s="29" t="s">
        <v>120</v>
      </c>
      <c r="G59" s="28" t="s">
        <v>91</v>
      </c>
      <c r="H59" s="25"/>
      <c r="I59" s="25"/>
      <c r="J59" s="25"/>
      <c r="K59" s="25"/>
      <c r="L59" s="25"/>
      <c r="M59" s="25"/>
      <c r="N59" s="25"/>
      <c r="O59" s="25"/>
      <c r="P59" s="25">
        <f>ROUND(SUM(O59:O60),4)</f>
        <v>73.099999999999994</v>
      </c>
      <c r="Q59" s="27">
        <v>174216</v>
      </c>
      <c r="R59" s="27"/>
      <c r="S59" s="27">
        <v>99586</v>
      </c>
      <c r="T59" s="27"/>
      <c r="U59" s="27">
        <f>P59*Q59</f>
        <v>12735189.6</v>
      </c>
      <c r="V59" s="27">
        <f>P59*R59</f>
        <v>0</v>
      </c>
      <c r="W59" s="27">
        <f>P59*S59</f>
        <v>7279736.5999999996</v>
      </c>
      <c r="X59" s="27">
        <f>P59*T59</f>
        <v>0</v>
      </c>
      <c r="Y59" s="30"/>
      <c r="Z59" s="30"/>
      <c r="AA59" s="30"/>
      <c r="AC59" s="39" t="s">
        <v>49</v>
      </c>
      <c r="AD59" s="39" t="s">
        <v>50</v>
      </c>
      <c r="AE59" s="40" t="s">
        <v>121</v>
      </c>
      <c r="AF59" s="40" t="s">
        <v>122</v>
      </c>
      <c r="AM59" s="39" t="s">
        <v>54</v>
      </c>
    </row>
    <row r="60" spans="1:39" ht="30" x14ac:dyDescent="0.15">
      <c r="A60" s="22"/>
      <c r="B60" s="28"/>
      <c r="C60" s="24"/>
      <c r="D60" s="24"/>
      <c r="E60" s="28"/>
      <c r="F60" s="51" t="s">
        <v>123</v>
      </c>
      <c r="G60" s="28"/>
      <c r="H60" s="25"/>
      <c r="I60" s="25"/>
      <c r="J60" s="25"/>
      <c r="K60" s="25"/>
      <c r="L60" s="25"/>
      <c r="M60" s="25"/>
      <c r="N60" s="25"/>
      <c r="O60" s="25">
        <v>73.099999999999994</v>
      </c>
      <c r="P60" s="25"/>
      <c r="Q60" s="27"/>
      <c r="R60" s="27"/>
      <c r="S60" s="27"/>
      <c r="T60" s="27"/>
      <c r="U60" s="27"/>
      <c r="V60" s="27"/>
      <c r="W60" s="27"/>
      <c r="X60" s="27"/>
      <c r="Y60" s="30"/>
      <c r="Z60" s="30"/>
      <c r="AA60" s="30"/>
    </row>
    <row r="61" spans="1:39" ht="30" x14ac:dyDescent="0.15">
      <c r="A61" s="22">
        <v>16</v>
      </c>
      <c r="B61" s="28"/>
      <c r="C61" s="24" t="s">
        <v>124</v>
      </c>
      <c r="D61" s="24"/>
      <c r="E61" s="28" t="s">
        <v>124</v>
      </c>
      <c r="F61" s="29" t="s">
        <v>125</v>
      </c>
      <c r="G61" s="28" t="s">
        <v>77</v>
      </c>
      <c r="H61" s="25"/>
      <c r="I61" s="25"/>
      <c r="J61" s="25"/>
      <c r="K61" s="25"/>
      <c r="L61" s="25"/>
      <c r="M61" s="25"/>
      <c r="N61" s="25"/>
      <c r="O61" s="25"/>
      <c r="P61" s="25">
        <f>ROUND(SUM(O61:O62),4)</f>
        <v>0.46400000000000002</v>
      </c>
      <c r="Q61" s="27">
        <v>1779989</v>
      </c>
      <c r="R61" s="27"/>
      <c r="S61" s="27">
        <v>3483998</v>
      </c>
      <c r="T61" s="27">
        <v>344346</v>
      </c>
      <c r="U61" s="27">
        <f>P61*Q61</f>
        <v>825914.89600000007</v>
      </c>
      <c r="V61" s="27">
        <f>P61*R61</f>
        <v>0</v>
      </c>
      <c r="W61" s="27">
        <f>P61*S61</f>
        <v>1616575.0720000002</v>
      </c>
      <c r="X61" s="27">
        <f>P61*T61</f>
        <v>159776.54399999999</v>
      </c>
      <c r="Y61" s="30"/>
      <c r="Z61" s="30"/>
      <c r="AA61" s="30"/>
      <c r="AC61" s="39" t="s">
        <v>49</v>
      </c>
      <c r="AD61" s="39" t="s">
        <v>50</v>
      </c>
      <c r="AE61" s="40" t="s">
        <v>126</v>
      </c>
      <c r="AF61" s="40" t="s">
        <v>127</v>
      </c>
      <c r="AG61" s="40" t="s">
        <v>128</v>
      </c>
      <c r="AM61" s="39" t="s">
        <v>54</v>
      </c>
    </row>
    <row r="62" spans="1:39" x14ac:dyDescent="0.15">
      <c r="A62" s="22"/>
      <c r="B62" s="28"/>
      <c r="C62" s="24"/>
      <c r="D62" s="24"/>
      <c r="E62" s="28"/>
      <c r="F62" s="38" t="s">
        <v>129</v>
      </c>
      <c r="G62" s="28"/>
      <c r="H62" s="25"/>
      <c r="I62" s="25"/>
      <c r="J62" s="25"/>
      <c r="K62" s="25"/>
      <c r="L62" s="25"/>
      <c r="M62" s="25"/>
      <c r="N62" s="25"/>
      <c r="O62" s="25">
        <v>0.46400000000000002</v>
      </c>
      <c r="P62" s="25"/>
      <c r="Q62" s="27"/>
      <c r="R62" s="27"/>
      <c r="S62" s="27"/>
      <c r="T62" s="27"/>
      <c r="U62" s="27"/>
      <c r="V62" s="27"/>
      <c r="W62" s="27"/>
      <c r="X62" s="27"/>
      <c r="Y62" s="30"/>
      <c r="Z62" s="30"/>
      <c r="AA62" s="30"/>
    </row>
    <row r="63" spans="1:39" ht="60" x14ac:dyDescent="0.15">
      <c r="A63" s="22">
        <v>17</v>
      </c>
      <c r="B63" s="28"/>
      <c r="C63" s="24" t="s">
        <v>130</v>
      </c>
      <c r="D63" s="24" t="s">
        <v>131</v>
      </c>
      <c r="E63" s="28" t="s">
        <v>132</v>
      </c>
      <c r="F63" s="29" t="s">
        <v>133</v>
      </c>
      <c r="G63" s="28" t="s">
        <v>91</v>
      </c>
      <c r="H63" s="25"/>
      <c r="I63" s="25"/>
      <c r="J63" s="25"/>
      <c r="K63" s="25"/>
      <c r="L63" s="25"/>
      <c r="M63" s="25"/>
      <c r="N63" s="25"/>
      <c r="O63" s="25"/>
      <c r="P63" s="25">
        <f>ROUND(SUM(O63:O64),4)</f>
        <v>73.099999999999994</v>
      </c>
      <c r="Q63" s="27">
        <v>857235</v>
      </c>
      <c r="R63" s="27"/>
      <c r="S63" s="27">
        <v>294698</v>
      </c>
      <c r="T63" s="27">
        <v>55110</v>
      </c>
      <c r="U63" s="27">
        <f>P63*Q63</f>
        <v>62663878.499999993</v>
      </c>
      <c r="V63" s="27">
        <f>P63*R63</f>
        <v>0</v>
      </c>
      <c r="W63" s="27">
        <f>P63*S63</f>
        <v>21542423.799999997</v>
      </c>
      <c r="X63" s="27">
        <f>P63*T63</f>
        <v>4028540.9999999995</v>
      </c>
      <c r="Y63" s="30"/>
      <c r="Z63" s="30"/>
      <c r="AA63" s="30"/>
      <c r="AC63" s="39" t="s">
        <v>49</v>
      </c>
      <c r="AD63" s="39" t="s">
        <v>50</v>
      </c>
      <c r="AE63" s="40" t="s">
        <v>134</v>
      </c>
      <c r="AF63" s="40" t="s">
        <v>135</v>
      </c>
      <c r="AG63" s="40" t="s">
        <v>136</v>
      </c>
      <c r="AM63" s="39" t="s">
        <v>54</v>
      </c>
    </row>
    <row r="64" spans="1:39" x14ac:dyDescent="0.15">
      <c r="A64" s="22"/>
      <c r="B64" s="28"/>
      <c r="C64" s="24"/>
      <c r="D64" s="24"/>
      <c r="E64" s="28"/>
      <c r="F64" s="38" t="s">
        <v>137</v>
      </c>
      <c r="G64" s="28"/>
      <c r="H64" s="25"/>
      <c r="I64" s="25"/>
      <c r="J64" s="25"/>
      <c r="K64" s="25"/>
      <c r="L64" s="25"/>
      <c r="M64" s="25"/>
      <c r="N64" s="25"/>
      <c r="O64" s="25">
        <v>73.099999999999994</v>
      </c>
      <c r="P64" s="25"/>
      <c r="Q64" s="27"/>
      <c r="R64" s="27"/>
      <c r="S64" s="27"/>
      <c r="T64" s="27"/>
      <c r="U64" s="27"/>
      <c r="V64" s="27"/>
      <c r="W64" s="27"/>
      <c r="X64" s="27"/>
      <c r="Y64" s="30"/>
      <c r="Z64" s="30"/>
      <c r="AA64" s="30"/>
    </row>
    <row r="65" spans="1:39" ht="60" x14ac:dyDescent="0.15">
      <c r="A65" s="22">
        <v>18</v>
      </c>
      <c r="B65" s="28"/>
      <c r="C65" s="24" t="s">
        <v>138</v>
      </c>
      <c r="D65" s="24"/>
      <c r="E65" s="28" t="s">
        <v>138</v>
      </c>
      <c r="F65" s="29" t="s">
        <v>139</v>
      </c>
      <c r="G65" s="28" t="s">
        <v>140</v>
      </c>
      <c r="H65" s="25"/>
      <c r="I65" s="25"/>
      <c r="J65" s="25"/>
      <c r="K65" s="25"/>
      <c r="L65" s="25"/>
      <c r="M65" s="25"/>
      <c r="N65" s="25"/>
      <c r="O65" s="25"/>
      <c r="P65" s="25">
        <f>ROUND(SUM(O65:O66),4)</f>
        <v>10.3291</v>
      </c>
      <c r="Q65" s="27">
        <v>19885600</v>
      </c>
      <c r="R65" s="27"/>
      <c r="S65" s="27">
        <v>2009540</v>
      </c>
      <c r="T65" s="27">
        <v>551116</v>
      </c>
      <c r="U65" s="27">
        <f>P65*Q65</f>
        <v>205400350.96000001</v>
      </c>
      <c r="V65" s="27">
        <f>P65*R65</f>
        <v>0</v>
      </c>
      <c r="W65" s="27">
        <f>P65*S65</f>
        <v>20756739.614</v>
      </c>
      <c r="X65" s="27">
        <f>P65*T65</f>
        <v>5692532.2756000003</v>
      </c>
      <c r="Y65" s="30"/>
      <c r="Z65" s="30"/>
      <c r="AA65" s="30"/>
      <c r="AC65" s="39" t="s">
        <v>49</v>
      </c>
      <c r="AD65" s="39" t="s">
        <v>50</v>
      </c>
      <c r="AE65" s="40" t="s">
        <v>141</v>
      </c>
      <c r="AF65" s="40" t="s">
        <v>142</v>
      </c>
      <c r="AG65" s="40" t="s">
        <v>143</v>
      </c>
      <c r="AM65" s="39" t="s">
        <v>54</v>
      </c>
    </row>
    <row r="66" spans="1:39" ht="45" x14ac:dyDescent="0.15">
      <c r="A66" s="22"/>
      <c r="B66" s="28"/>
      <c r="C66" s="24"/>
      <c r="D66" s="24"/>
      <c r="E66" s="28"/>
      <c r="F66" s="38" t="s">
        <v>144</v>
      </c>
      <c r="G66" s="28"/>
      <c r="H66" s="25"/>
      <c r="I66" s="25"/>
      <c r="J66" s="25"/>
      <c r="K66" s="25"/>
      <c r="L66" s="25"/>
      <c r="M66" s="25"/>
      <c r="N66" s="25"/>
      <c r="O66" s="25">
        <v>10.3291</v>
      </c>
      <c r="P66" s="25"/>
      <c r="Q66" s="27"/>
      <c r="R66" s="27"/>
      <c r="S66" s="27"/>
      <c r="T66" s="27"/>
      <c r="U66" s="27"/>
      <c r="V66" s="27"/>
      <c r="W66" s="27"/>
      <c r="X66" s="27"/>
      <c r="Y66" s="30"/>
      <c r="Z66" s="30"/>
      <c r="AA66" s="30"/>
    </row>
    <row r="67" spans="1:39" ht="30" x14ac:dyDescent="0.15">
      <c r="A67" s="22">
        <v>19</v>
      </c>
      <c r="B67" s="28"/>
      <c r="C67" s="24" t="s">
        <v>124</v>
      </c>
      <c r="D67" s="24"/>
      <c r="E67" s="28" t="s">
        <v>124</v>
      </c>
      <c r="F67" s="29" t="s">
        <v>125</v>
      </c>
      <c r="G67" s="28" t="s">
        <v>77</v>
      </c>
      <c r="H67" s="25"/>
      <c r="I67" s="25"/>
      <c r="J67" s="25"/>
      <c r="K67" s="25"/>
      <c r="L67" s="25"/>
      <c r="M67" s="25"/>
      <c r="N67" s="25"/>
      <c r="O67" s="25"/>
      <c r="P67" s="25">
        <f>ROUND(SUM(O67:O68),4)</f>
        <v>1.1599999999999999</v>
      </c>
      <c r="Q67" s="27">
        <v>1779989</v>
      </c>
      <c r="R67" s="27"/>
      <c r="S67" s="27">
        <v>3483998</v>
      </c>
      <c r="T67" s="27">
        <v>344346</v>
      </c>
      <c r="U67" s="27">
        <f>P67*Q67</f>
        <v>2064787.2399999998</v>
      </c>
      <c r="V67" s="27">
        <f>P67*R67</f>
        <v>0</v>
      </c>
      <c r="W67" s="27">
        <f>P67*S67</f>
        <v>4041437.6799999997</v>
      </c>
      <c r="X67" s="27">
        <f>P67*T67</f>
        <v>399441.36</v>
      </c>
      <c r="Y67" s="30"/>
      <c r="Z67" s="30"/>
      <c r="AA67" s="30"/>
      <c r="AC67" s="39" t="s">
        <v>49</v>
      </c>
      <c r="AD67" s="39" t="s">
        <v>50</v>
      </c>
      <c r="AE67" s="40" t="s">
        <v>126</v>
      </c>
      <c r="AF67" s="40" t="s">
        <v>127</v>
      </c>
      <c r="AG67" s="40" t="s">
        <v>128</v>
      </c>
      <c r="AM67" s="39" t="s">
        <v>54</v>
      </c>
    </row>
    <row r="68" spans="1:39" x14ac:dyDescent="0.15">
      <c r="A68" s="22"/>
      <c r="B68" s="28"/>
      <c r="C68" s="24"/>
      <c r="D68" s="24"/>
      <c r="E68" s="28"/>
      <c r="F68" s="38" t="s">
        <v>145</v>
      </c>
      <c r="G68" s="28"/>
      <c r="H68" s="25"/>
      <c r="I68" s="25"/>
      <c r="J68" s="25"/>
      <c r="K68" s="25"/>
      <c r="L68" s="25"/>
      <c r="M68" s="25"/>
      <c r="N68" s="25"/>
      <c r="O68" s="25">
        <v>1.1599999999999999</v>
      </c>
      <c r="P68" s="25"/>
      <c r="Q68" s="27"/>
      <c r="R68" s="27"/>
      <c r="S68" s="27"/>
      <c r="T68" s="27"/>
      <c r="U68" s="27"/>
      <c r="V68" s="27"/>
      <c r="W68" s="27"/>
      <c r="X68" s="27"/>
      <c r="Y68" s="30"/>
      <c r="Z68" s="30"/>
      <c r="AA68" s="30"/>
    </row>
    <row r="69" spans="1:39" ht="60" x14ac:dyDescent="0.15">
      <c r="A69" s="22">
        <v>20</v>
      </c>
      <c r="B69" s="28"/>
      <c r="C69" s="24" t="s">
        <v>130</v>
      </c>
      <c r="D69" s="24" t="s">
        <v>146</v>
      </c>
      <c r="E69" s="28" t="s">
        <v>147</v>
      </c>
      <c r="F69" s="29" t="s">
        <v>148</v>
      </c>
      <c r="G69" s="28" t="s">
        <v>91</v>
      </c>
      <c r="H69" s="25"/>
      <c r="I69" s="25"/>
      <c r="J69" s="25"/>
      <c r="K69" s="25"/>
      <c r="L69" s="25"/>
      <c r="M69" s="25"/>
      <c r="N69" s="25"/>
      <c r="O69" s="25"/>
      <c r="P69" s="25">
        <f>ROUND(SUM(O69:O71),4)</f>
        <v>182.75</v>
      </c>
      <c r="Q69" s="27">
        <v>1027471</v>
      </c>
      <c r="R69" s="27"/>
      <c r="S69" s="27">
        <v>294698</v>
      </c>
      <c r="T69" s="27">
        <v>55110</v>
      </c>
      <c r="U69" s="27">
        <f>P69*Q69</f>
        <v>187770325.25</v>
      </c>
      <c r="V69" s="27">
        <f>P69*R69</f>
        <v>0</v>
      </c>
      <c r="W69" s="27">
        <f>P69*S69</f>
        <v>53856059.5</v>
      </c>
      <c r="X69" s="27">
        <f>P69*T69</f>
        <v>10071352.5</v>
      </c>
      <c r="Y69" s="30"/>
      <c r="Z69" s="30"/>
      <c r="AA69" s="30"/>
      <c r="AC69" s="39" t="s">
        <v>49</v>
      </c>
      <c r="AD69" s="39" t="s">
        <v>50</v>
      </c>
      <c r="AE69" s="40" t="s">
        <v>149</v>
      </c>
      <c r="AF69" s="40" t="s">
        <v>135</v>
      </c>
      <c r="AG69" s="40" t="s">
        <v>136</v>
      </c>
      <c r="AM69" s="39" t="s">
        <v>54</v>
      </c>
    </row>
    <row r="70" spans="1:39" x14ac:dyDescent="0.15">
      <c r="A70" s="22"/>
      <c r="B70" s="28"/>
      <c r="C70" s="24"/>
      <c r="D70" s="24"/>
      <c r="E70" s="28"/>
      <c r="F70" s="38" t="s">
        <v>150</v>
      </c>
      <c r="G70" s="28"/>
      <c r="H70" s="25"/>
      <c r="I70" s="25"/>
      <c r="J70" s="25"/>
      <c r="K70" s="25"/>
      <c r="L70" s="25"/>
      <c r="M70" s="25"/>
      <c r="N70" s="25"/>
      <c r="O70" s="25">
        <v>182.75</v>
      </c>
      <c r="P70" s="25"/>
      <c r="Q70" s="27"/>
      <c r="R70" s="27"/>
      <c r="S70" s="27"/>
      <c r="T70" s="27"/>
      <c r="U70" s="27"/>
      <c r="V70" s="27"/>
      <c r="W70" s="27"/>
      <c r="X70" s="27"/>
      <c r="Y70" s="30"/>
      <c r="Z70" s="30"/>
      <c r="AA70" s="30"/>
    </row>
    <row r="71" spans="1:39" x14ac:dyDescent="0.15">
      <c r="A71" s="22"/>
      <c r="B71" s="28"/>
      <c r="C71" s="24"/>
      <c r="D71" s="24"/>
      <c r="E71" s="28"/>
      <c r="F71" s="41" t="s">
        <v>151</v>
      </c>
      <c r="G71" s="28"/>
      <c r="H71" s="25"/>
      <c r="I71" s="25"/>
      <c r="J71" s="25"/>
      <c r="K71" s="25"/>
      <c r="L71" s="25"/>
      <c r="M71" s="25"/>
      <c r="N71" s="25"/>
      <c r="O71" s="25"/>
      <c r="P71" s="25"/>
      <c r="Q71" s="27"/>
      <c r="R71" s="27"/>
      <c r="S71" s="27"/>
      <c r="T71" s="27"/>
      <c r="U71" s="27"/>
      <c r="V71" s="27"/>
      <c r="W71" s="27"/>
      <c r="X71" s="27"/>
      <c r="Y71" s="30"/>
      <c r="Z71" s="30"/>
      <c r="AA71" s="30"/>
    </row>
    <row r="72" spans="1:39" ht="60" x14ac:dyDescent="0.15">
      <c r="A72" s="22">
        <v>21</v>
      </c>
      <c r="B72" s="28"/>
      <c r="C72" s="24" t="s">
        <v>152</v>
      </c>
      <c r="D72" s="24"/>
      <c r="E72" s="28" t="s">
        <v>152</v>
      </c>
      <c r="F72" s="29" t="s">
        <v>153</v>
      </c>
      <c r="G72" s="28" t="s">
        <v>140</v>
      </c>
      <c r="H72" s="25"/>
      <c r="I72" s="25"/>
      <c r="J72" s="25"/>
      <c r="K72" s="25"/>
      <c r="L72" s="25"/>
      <c r="M72" s="25"/>
      <c r="N72" s="25"/>
      <c r="O72" s="25"/>
      <c r="P72" s="25">
        <f>ROUND(SUM(O72:O73),4)</f>
        <v>22.322500000000002</v>
      </c>
      <c r="Q72" s="27">
        <v>19617400</v>
      </c>
      <c r="R72" s="27"/>
      <c r="S72" s="27">
        <v>3392900</v>
      </c>
      <c r="T72" s="27">
        <v>112514</v>
      </c>
      <c r="U72" s="27">
        <f>P72*Q72</f>
        <v>437909411.50000006</v>
      </c>
      <c r="V72" s="27">
        <f>P72*R72</f>
        <v>0</v>
      </c>
      <c r="W72" s="27">
        <f>P72*S72</f>
        <v>75738010.25</v>
      </c>
      <c r="X72" s="27">
        <f>P72*T72</f>
        <v>2511593.7650000001</v>
      </c>
      <c r="Y72" s="30"/>
      <c r="Z72" s="30"/>
      <c r="AA72" s="30"/>
      <c r="AC72" s="39" t="s">
        <v>49</v>
      </c>
      <c r="AD72" s="39" t="s">
        <v>50</v>
      </c>
      <c r="AE72" s="40" t="s">
        <v>154</v>
      </c>
      <c r="AF72" s="40" t="s">
        <v>155</v>
      </c>
      <c r="AG72" s="40" t="s">
        <v>156</v>
      </c>
      <c r="AM72" s="39" t="s">
        <v>54</v>
      </c>
    </row>
    <row r="73" spans="1:39" ht="45" x14ac:dyDescent="0.15">
      <c r="A73" s="22"/>
      <c r="B73" s="28"/>
      <c r="C73" s="24"/>
      <c r="D73" s="24"/>
      <c r="E73" s="28"/>
      <c r="F73" s="38" t="s">
        <v>157</v>
      </c>
      <c r="G73" s="28"/>
      <c r="H73" s="25"/>
      <c r="I73" s="25"/>
      <c r="J73" s="25"/>
      <c r="K73" s="25"/>
      <c r="L73" s="25"/>
      <c r="M73" s="25"/>
      <c r="N73" s="25"/>
      <c r="O73" s="25">
        <v>22.322500000000002</v>
      </c>
      <c r="P73" s="25"/>
      <c r="Q73" s="27"/>
      <c r="R73" s="27"/>
      <c r="S73" s="27"/>
      <c r="T73" s="27"/>
      <c r="U73" s="27"/>
      <c r="V73" s="27"/>
      <c r="W73" s="27"/>
      <c r="X73" s="27"/>
      <c r="Y73" s="30"/>
      <c r="Z73" s="30"/>
      <c r="AA73" s="30"/>
    </row>
    <row r="74" spans="1:39" ht="60" x14ac:dyDescent="0.15">
      <c r="A74" s="22">
        <v>22</v>
      </c>
      <c r="B74" s="28"/>
      <c r="C74" s="24" t="s">
        <v>158</v>
      </c>
      <c r="D74" s="24"/>
      <c r="E74" s="28" t="s">
        <v>158</v>
      </c>
      <c r="F74" s="29" t="s">
        <v>159</v>
      </c>
      <c r="G74" s="28" t="s">
        <v>77</v>
      </c>
      <c r="H74" s="25"/>
      <c r="I74" s="25"/>
      <c r="J74" s="25"/>
      <c r="K74" s="25"/>
      <c r="L74" s="25"/>
      <c r="M74" s="25"/>
      <c r="N74" s="25"/>
      <c r="O74" s="25"/>
      <c r="P74" s="25">
        <f>ROUND(SUM(O74:O75),4)</f>
        <v>21.625</v>
      </c>
      <c r="Q74" s="27">
        <v>2686929</v>
      </c>
      <c r="R74" s="27"/>
      <c r="S74" s="27">
        <v>8105628</v>
      </c>
      <c r="T74" s="27">
        <v>1102922</v>
      </c>
      <c r="U74" s="27">
        <f>P74*Q74</f>
        <v>58104839.625</v>
      </c>
      <c r="V74" s="27">
        <f>P74*R74</f>
        <v>0</v>
      </c>
      <c r="W74" s="27">
        <f>P74*S74</f>
        <v>175284205.5</v>
      </c>
      <c r="X74" s="27">
        <f>P74*T74</f>
        <v>23850688.25</v>
      </c>
      <c r="Y74" s="30"/>
      <c r="Z74" s="30"/>
      <c r="AA74" s="30"/>
      <c r="AC74" s="39" t="s">
        <v>49</v>
      </c>
      <c r="AD74" s="39" t="s">
        <v>50</v>
      </c>
      <c r="AE74" s="40" t="s">
        <v>160</v>
      </c>
      <c r="AF74" s="40" t="s">
        <v>161</v>
      </c>
      <c r="AG74" s="40" t="s">
        <v>162</v>
      </c>
      <c r="AM74" s="39" t="s">
        <v>54</v>
      </c>
    </row>
    <row r="75" spans="1:39" x14ac:dyDescent="0.15">
      <c r="A75" s="22"/>
      <c r="B75" s="28"/>
      <c r="C75" s="24"/>
      <c r="D75" s="24"/>
      <c r="E75" s="28"/>
      <c r="F75" s="38" t="s">
        <v>163</v>
      </c>
      <c r="G75" s="28"/>
      <c r="H75" s="25"/>
      <c r="I75" s="25"/>
      <c r="J75" s="25"/>
      <c r="K75" s="25"/>
      <c r="L75" s="25"/>
      <c r="M75" s="25"/>
      <c r="N75" s="25"/>
      <c r="O75" s="25">
        <v>21.625</v>
      </c>
      <c r="P75" s="25"/>
      <c r="Q75" s="27"/>
      <c r="R75" s="27"/>
      <c r="S75" s="27"/>
      <c r="T75" s="27"/>
      <c r="U75" s="27"/>
      <c r="V75" s="27"/>
      <c r="W75" s="27"/>
      <c r="X75" s="27"/>
      <c r="Y75" s="30"/>
      <c r="Z75" s="30"/>
      <c r="AA75" s="30"/>
    </row>
    <row r="76" spans="1:39" ht="75" x14ac:dyDescent="0.15">
      <c r="A76" s="22">
        <v>23</v>
      </c>
      <c r="B76" s="28"/>
      <c r="C76" s="24" t="s">
        <v>164</v>
      </c>
      <c r="D76" s="24" t="s">
        <v>146</v>
      </c>
      <c r="E76" s="28" t="s">
        <v>165</v>
      </c>
      <c r="F76" s="29" t="s">
        <v>166</v>
      </c>
      <c r="G76" s="28" t="s">
        <v>91</v>
      </c>
      <c r="H76" s="25"/>
      <c r="I76" s="25"/>
      <c r="J76" s="25"/>
      <c r="K76" s="25"/>
      <c r="L76" s="25"/>
      <c r="M76" s="25"/>
      <c r="N76" s="25"/>
      <c r="O76" s="25"/>
      <c r="P76" s="25">
        <f>ROUND(SUM(O76:O77),4)</f>
        <v>280.1925</v>
      </c>
      <c r="Q76" s="27">
        <v>1068163</v>
      </c>
      <c r="R76" s="27"/>
      <c r="S76" s="27">
        <v>652380</v>
      </c>
      <c r="T76" s="27">
        <v>80297</v>
      </c>
      <c r="U76" s="27">
        <f>P76*Q76</f>
        <v>299291261.3775</v>
      </c>
      <c r="V76" s="27">
        <f>P76*R76</f>
        <v>0</v>
      </c>
      <c r="W76" s="27">
        <f>P76*S76</f>
        <v>182791983.15000001</v>
      </c>
      <c r="X76" s="27">
        <f>P76*T76</f>
        <v>22498617.172499999</v>
      </c>
      <c r="Y76" s="30"/>
      <c r="Z76" s="30"/>
      <c r="AA76" s="30"/>
      <c r="AC76" s="39" t="s">
        <v>49</v>
      </c>
      <c r="AD76" s="39" t="s">
        <v>50</v>
      </c>
      <c r="AE76" s="40" t="s">
        <v>167</v>
      </c>
      <c r="AF76" s="40" t="s">
        <v>168</v>
      </c>
      <c r="AG76" s="40" t="s">
        <v>169</v>
      </c>
      <c r="AM76" s="39" t="s">
        <v>54</v>
      </c>
    </row>
    <row r="77" spans="1:39" x14ac:dyDescent="0.15">
      <c r="A77" s="22"/>
      <c r="B77" s="28"/>
      <c r="C77" s="24"/>
      <c r="D77" s="24"/>
      <c r="E77" s="28"/>
      <c r="F77" s="38" t="s">
        <v>170</v>
      </c>
      <c r="G77" s="28"/>
      <c r="H77" s="25"/>
      <c r="I77" s="25"/>
      <c r="J77" s="25"/>
      <c r="K77" s="25"/>
      <c r="L77" s="25"/>
      <c r="M77" s="25"/>
      <c r="N77" s="25"/>
      <c r="O77" s="25">
        <v>280.1925</v>
      </c>
      <c r="P77" s="25"/>
      <c r="Q77" s="27"/>
      <c r="R77" s="27"/>
      <c r="S77" s="27"/>
      <c r="T77" s="27"/>
      <c r="U77" s="27"/>
      <c r="V77" s="27"/>
      <c r="W77" s="27"/>
      <c r="X77" s="27"/>
      <c r="Y77" s="30"/>
      <c r="Z77" s="30"/>
      <c r="AA77" s="30"/>
    </row>
    <row r="78" spans="1:39" x14ac:dyDescent="0.15">
      <c r="A78" s="31">
        <v>24</v>
      </c>
      <c r="B78" s="32"/>
      <c r="C78" s="33"/>
      <c r="D78" s="33"/>
      <c r="E78" s="32" t="s">
        <v>42</v>
      </c>
      <c r="F78" s="34" t="s">
        <v>171</v>
      </c>
      <c r="G78" s="32" t="s">
        <v>172</v>
      </c>
      <c r="H78" s="35"/>
      <c r="I78" s="35"/>
      <c r="J78" s="35"/>
      <c r="K78" s="35"/>
      <c r="L78" s="35"/>
      <c r="M78" s="35"/>
      <c r="N78" s="35"/>
      <c r="O78" s="35"/>
      <c r="P78" s="35">
        <f>ROUND(SUM(O78:O80),4)</f>
        <v>207.55</v>
      </c>
      <c r="Q78" s="36">
        <v>300000</v>
      </c>
      <c r="R78" s="36"/>
      <c r="S78" s="36"/>
      <c r="T78" s="36"/>
      <c r="U78" s="36">
        <f>P78*Q78</f>
        <v>62265000</v>
      </c>
      <c r="V78" s="36">
        <f>P78*R78</f>
        <v>0</v>
      </c>
      <c r="W78" s="36">
        <f>P78*S78</f>
        <v>0</v>
      </c>
      <c r="X78" s="36">
        <f>P78*T78</f>
        <v>0</v>
      </c>
      <c r="Y78" s="37"/>
      <c r="Z78" s="37"/>
      <c r="AA78" s="37"/>
    </row>
    <row r="79" spans="1:39" x14ac:dyDescent="0.15">
      <c r="A79" s="22"/>
      <c r="B79" s="28"/>
      <c r="C79" s="24"/>
      <c r="D79" s="24"/>
      <c r="E79" s="28"/>
      <c r="F79" s="38" t="s">
        <v>173</v>
      </c>
      <c r="G79" s="28"/>
      <c r="H79" s="25"/>
      <c r="I79" s="25"/>
      <c r="J79" s="25"/>
      <c r="K79" s="25"/>
      <c r="L79" s="25"/>
      <c r="M79" s="25"/>
      <c r="N79" s="25"/>
      <c r="O79" s="25">
        <v>207.55</v>
      </c>
      <c r="P79" s="25"/>
      <c r="Q79" s="27"/>
      <c r="R79" s="27"/>
      <c r="S79" s="27"/>
      <c r="T79" s="27"/>
      <c r="U79" s="27"/>
      <c r="V79" s="27"/>
      <c r="W79" s="27"/>
      <c r="X79" s="27"/>
      <c r="Y79" s="30"/>
      <c r="Z79" s="30"/>
      <c r="AA79" s="30"/>
    </row>
    <row r="80" spans="1:39" x14ac:dyDescent="0.15">
      <c r="A80" s="22"/>
      <c r="B80" s="28"/>
      <c r="C80" s="24"/>
      <c r="D80" s="24"/>
      <c r="E80" s="28"/>
      <c r="F80" s="41" t="s">
        <v>174</v>
      </c>
      <c r="G80" s="28"/>
      <c r="H80" s="25"/>
      <c r="I80" s="25"/>
      <c r="J80" s="25"/>
      <c r="K80" s="25"/>
      <c r="L80" s="25"/>
      <c r="M80" s="25"/>
      <c r="N80" s="25"/>
      <c r="O80" s="25"/>
      <c r="P80" s="25"/>
      <c r="Q80" s="27"/>
      <c r="R80" s="27"/>
      <c r="S80" s="27"/>
      <c r="T80" s="27"/>
      <c r="U80" s="27"/>
      <c r="V80" s="27"/>
      <c r="W80" s="27"/>
      <c r="X80" s="27"/>
      <c r="Y80" s="30"/>
      <c r="Z80" s="30"/>
      <c r="AA80" s="30"/>
    </row>
    <row r="81" spans="1:39" ht="60" x14ac:dyDescent="0.15">
      <c r="A81" s="22">
        <v>25</v>
      </c>
      <c r="B81" s="28"/>
      <c r="C81" s="24" t="s">
        <v>175</v>
      </c>
      <c r="D81" s="24"/>
      <c r="E81" s="28" t="s">
        <v>175</v>
      </c>
      <c r="F81" s="29" t="s">
        <v>176</v>
      </c>
      <c r="G81" s="28" t="s">
        <v>77</v>
      </c>
      <c r="H81" s="25"/>
      <c r="I81" s="25"/>
      <c r="J81" s="25"/>
      <c r="K81" s="25"/>
      <c r="L81" s="25"/>
      <c r="M81" s="25"/>
      <c r="N81" s="25"/>
      <c r="O81" s="25"/>
      <c r="P81" s="25">
        <f>ROUND(SUM(O81:O82),4)</f>
        <v>6.5350000000000001</v>
      </c>
      <c r="Q81" s="27">
        <v>2493523</v>
      </c>
      <c r="R81" s="27"/>
      <c r="S81" s="27">
        <v>5688160</v>
      </c>
      <c r="T81" s="27">
        <v>1102922</v>
      </c>
      <c r="U81" s="27">
        <f>P81*Q81</f>
        <v>16295172.805</v>
      </c>
      <c r="V81" s="27">
        <f>P81*R81</f>
        <v>0</v>
      </c>
      <c r="W81" s="27">
        <f>P81*S81</f>
        <v>37172125.600000001</v>
      </c>
      <c r="X81" s="27">
        <f>P81*T81</f>
        <v>7207595.2700000005</v>
      </c>
      <c r="Y81" s="30"/>
      <c r="Z81" s="30"/>
      <c r="AA81" s="30"/>
      <c r="AC81" s="39" t="s">
        <v>49</v>
      </c>
      <c r="AD81" s="39" t="s">
        <v>50</v>
      </c>
      <c r="AE81" s="40" t="s">
        <v>177</v>
      </c>
      <c r="AF81" s="40" t="s">
        <v>178</v>
      </c>
      <c r="AG81" s="40" t="s">
        <v>162</v>
      </c>
      <c r="AM81" s="39" t="s">
        <v>54</v>
      </c>
    </row>
    <row r="82" spans="1:39" x14ac:dyDescent="0.15">
      <c r="A82" s="22"/>
      <c r="B82" s="28"/>
      <c r="C82" s="24"/>
      <c r="D82" s="24"/>
      <c r="E82" s="28"/>
      <c r="F82" s="38" t="s">
        <v>179</v>
      </c>
      <c r="G82" s="28"/>
      <c r="H82" s="25"/>
      <c r="I82" s="25"/>
      <c r="J82" s="25"/>
      <c r="K82" s="25"/>
      <c r="L82" s="25"/>
      <c r="M82" s="25"/>
      <c r="N82" s="25"/>
      <c r="O82" s="25">
        <v>6.5350000000000001</v>
      </c>
      <c r="P82" s="25"/>
      <c r="Q82" s="27"/>
      <c r="R82" s="27"/>
      <c r="S82" s="27"/>
      <c r="T82" s="27"/>
      <c r="U82" s="27"/>
      <c r="V82" s="27"/>
      <c r="W82" s="27"/>
      <c r="X82" s="27"/>
      <c r="Y82" s="30"/>
      <c r="Z82" s="30"/>
      <c r="AA82" s="30"/>
    </row>
    <row r="83" spans="1:39" ht="75" x14ac:dyDescent="0.15">
      <c r="A83" s="22">
        <v>26</v>
      </c>
      <c r="B83" s="28"/>
      <c r="C83" s="24" t="s">
        <v>180</v>
      </c>
      <c r="D83" s="24"/>
      <c r="E83" s="28" t="s">
        <v>180</v>
      </c>
      <c r="F83" s="29" t="s">
        <v>181</v>
      </c>
      <c r="G83" s="28" t="s">
        <v>140</v>
      </c>
      <c r="H83" s="25"/>
      <c r="I83" s="25"/>
      <c r="J83" s="25"/>
      <c r="K83" s="25"/>
      <c r="L83" s="25"/>
      <c r="M83" s="25"/>
      <c r="N83" s="25"/>
      <c r="O83" s="25"/>
      <c r="P83" s="25">
        <f>ROUND(SUM(O83:O84),4)</f>
        <v>9.3035999999999994</v>
      </c>
      <c r="Q83" s="27">
        <v>19617400</v>
      </c>
      <c r="R83" s="27"/>
      <c r="S83" s="27">
        <v>3641800</v>
      </c>
      <c r="T83" s="27">
        <v>181776</v>
      </c>
      <c r="U83" s="27">
        <f>P83*Q83</f>
        <v>182512442.63999999</v>
      </c>
      <c r="V83" s="27">
        <f>P83*R83</f>
        <v>0</v>
      </c>
      <c r="W83" s="27">
        <f>P83*S83</f>
        <v>33881850.479999997</v>
      </c>
      <c r="X83" s="27">
        <f>P83*T83</f>
        <v>1691171.1935999999</v>
      </c>
      <c r="Y83" s="30"/>
      <c r="Z83" s="30"/>
      <c r="AA83" s="30"/>
      <c r="AC83" s="39" t="s">
        <v>49</v>
      </c>
      <c r="AD83" s="39" t="s">
        <v>50</v>
      </c>
      <c r="AE83" s="40" t="s">
        <v>154</v>
      </c>
      <c r="AF83" s="40" t="s">
        <v>182</v>
      </c>
      <c r="AG83" s="40" t="s">
        <v>183</v>
      </c>
      <c r="AM83" s="39" t="s">
        <v>54</v>
      </c>
    </row>
    <row r="84" spans="1:39" ht="30" x14ac:dyDescent="0.15">
      <c r="A84" s="22"/>
      <c r="B84" s="28"/>
      <c r="C84" s="24"/>
      <c r="D84" s="24"/>
      <c r="E84" s="28"/>
      <c r="F84" s="38" t="s">
        <v>184</v>
      </c>
      <c r="G84" s="28"/>
      <c r="H84" s="25"/>
      <c r="I84" s="25"/>
      <c r="J84" s="25"/>
      <c r="K84" s="25"/>
      <c r="L84" s="25"/>
      <c r="M84" s="25"/>
      <c r="N84" s="25"/>
      <c r="O84" s="25">
        <v>9.3035999999999994</v>
      </c>
      <c r="P84" s="25"/>
      <c r="Q84" s="27"/>
      <c r="R84" s="27"/>
      <c r="S84" s="27"/>
      <c r="T84" s="27"/>
      <c r="U84" s="27"/>
      <c r="V84" s="27"/>
      <c r="W84" s="27"/>
      <c r="X84" s="27"/>
      <c r="Y84" s="30"/>
      <c r="Z84" s="30"/>
      <c r="AA84" s="30"/>
    </row>
    <row r="85" spans="1:39" ht="75" x14ac:dyDescent="0.15">
      <c r="A85" s="22">
        <v>27</v>
      </c>
      <c r="B85" s="28"/>
      <c r="C85" s="24" t="s">
        <v>185</v>
      </c>
      <c r="D85" s="24" t="s">
        <v>186</v>
      </c>
      <c r="E85" s="52" t="s">
        <v>187</v>
      </c>
      <c r="F85" s="53" t="s">
        <v>188</v>
      </c>
      <c r="G85" s="52" t="s">
        <v>91</v>
      </c>
      <c r="H85" s="54"/>
      <c r="I85" s="54"/>
      <c r="J85" s="54"/>
      <c r="K85" s="54"/>
      <c r="L85" s="54"/>
      <c r="M85" s="54"/>
      <c r="N85" s="54"/>
      <c r="O85" s="54"/>
      <c r="P85" s="54">
        <f>ROUND(SUM(O85:O86),4)</f>
        <v>134.375</v>
      </c>
      <c r="Q85" s="55">
        <v>1041267</v>
      </c>
      <c r="R85" s="55"/>
      <c r="S85" s="55">
        <v>434920</v>
      </c>
      <c r="T85" s="55">
        <v>142876</v>
      </c>
      <c r="U85" s="27">
        <f>P85*Q85</f>
        <v>139920253.125</v>
      </c>
      <c r="V85" s="27">
        <f>P85*R85</f>
        <v>0</v>
      </c>
      <c r="W85" s="27">
        <f>P85*S85</f>
        <v>58442375</v>
      </c>
      <c r="X85" s="27">
        <f>P85*T85</f>
        <v>19198962.5</v>
      </c>
      <c r="Y85" s="30"/>
      <c r="Z85" s="30"/>
      <c r="AA85" s="30"/>
      <c r="AC85" s="39" t="s">
        <v>49</v>
      </c>
      <c r="AD85" s="39" t="s">
        <v>50</v>
      </c>
      <c r="AE85" s="40" t="s">
        <v>189</v>
      </c>
      <c r="AF85" s="40" t="s">
        <v>190</v>
      </c>
      <c r="AG85" s="40" t="s">
        <v>191</v>
      </c>
      <c r="AM85" s="39" t="s">
        <v>54</v>
      </c>
    </row>
    <row r="86" spans="1:39" x14ac:dyDescent="0.15">
      <c r="A86" s="22"/>
      <c r="B86" s="28"/>
      <c r="C86" s="24"/>
      <c r="D86" s="24"/>
      <c r="E86" s="28"/>
      <c r="F86" s="38" t="s">
        <v>192</v>
      </c>
      <c r="G86" s="28"/>
      <c r="H86" s="25"/>
      <c r="I86" s="25"/>
      <c r="J86" s="25"/>
      <c r="K86" s="25"/>
      <c r="L86" s="25"/>
      <c r="M86" s="25"/>
      <c r="N86" s="25"/>
      <c r="O86" s="25">
        <v>134.375</v>
      </c>
      <c r="P86" s="25"/>
      <c r="Q86" s="27"/>
      <c r="R86" s="27"/>
      <c r="S86" s="27"/>
      <c r="T86" s="27"/>
      <c r="U86" s="27"/>
      <c r="V86" s="27"/>
      <c r="W86" s="27"/>
      <c r="X86" s="27"/>
      <c r="Y86" s="30"/>
      <c r="Z86" s="30"/>
      <c r="AA86" s="30"/>
    </row>
    <row r="87" spans="1:39" ht="45" x14ac:dyDescent="0.15">
      <c r="A87" s="43">
        <v>28</v>
      </c>
      <c r="B87" s="44"/>
      <c r="C87" s="45" t="s">
        <v>193</v>
      </c>
      <c r="D87" s="45"/>
      <c r="E87" s="56" t="s">
        <v>193</v>
      </c>
      <c r="F87" s="46" t="s">
        <v>194</v>
      </c>
      <c r="G87" s="44" t="s">
        <v>98</v>
      </c>
      <c r="H87" s="47"/>
      <c r="I87" s="47"/>
      <c r="J87" s="47"/>
      <c r="K87" s="47"/>
      <c r="L87" s="47"/>
      <c r="M87" s="47"/>
      <c r="N87" s="47"/>
      <c r="O87" s="47"/>
      <c r="P87" s="47">
        <f>ROUND(SUM(O87:O89),4)</f>
        <v>8.1420999999999992</v>
      </c>
      <c r="Q87" s="48">
        <v>17080000</v>
      </c>
      <c r="R87" s="48"/>
      <c r="S87" s="48">
        <v>925047</v>
      </c>
      <c r="T87" s="48">
        <v>821885</v>
      </c>
      <c r="U87" s="48">
        <f>P87*Q87</f>
        <v>139067068</v>
      </c>
      <c r="V87" s="48">
        <f>P87*R87</f>
        <v>0</v>
      </c>
      <c r="W87" s="48">
        <f>P87*S87</f>
        <v>7531825.1786999991</v>
      </c>
      <c r="X87" s="48">
        <f>P87*T87</f>
        <v>6691869.8584999992</v>
      </c>
      <c r="Y87" s="49"/>
      <c r="Z87" s="49"/>
      <c r="AA87" s="49"/>
      <c r="AC87" s="39" t="s">
        <v>49</v>
      </c>
      <c r="AD87" s="39" t="s">
        <v>50</v>
      </c>
      <c r="AE87" s="40" t="s">
        <v>195</v>
      </c>
      <c r="AF87" s="40" t="s">
        <v>196</v>
      </c>
      <c r="AG87" s="40" t="s">
        <v>197</v>
      </c>
      <c r="AM87" s="39" t="s">
        <v>54</v>
      </c>
    </row>
    <row r="88" spans="1:39" x14ac:dyDescent="0.15">
      <c r="A88" s="43"/>
      <c r="B88" s="44"/>
      <c r="C88" s="45"/>
      <c r="D88" s="45"/>
      <c r="E88" s="56"/>
      <c r="F88" s="38" t="s">
        <v>198</v>
      </c>
      <c r="G88" s="44"/>
      <c r="H88" s="47"/>
      <c r="I88" s="47"/>
      <c r="J88" s="47"/>
      <c r="K88" s="47"/>
      <c r="L88" s="47"/>
      <c r="M88" s="47"/>
      <c r="N88" s="47"/>
      <c r="O88" s="47">
        <v>8.1420999999999992</v>
      </c>
      <c r="P88" s="50"/>
      <c r="Q88" s="48"/>
      <c r="R88" s="48"/>
      <c r="S88" s="48"/>
      <c r="T88" s="48"/>
      <c r="U88" s="48"/>
      <c r="V88" s="48"/>
      <c r="W88" s="48"/>
      <c r="X88" s="48"/>
      <c r="Y88" s="49"/>
      <c r="Z88" s="49"/>
      <c r="AA88" s="49"/>
    </row>
    <row r="89" spans="1:39" x14ac:dyDescent="0.15">
      <c r="A89" s="43"/>
      <c r="B89" s="44"/>
      <c r="C89" s="45"/>
      <c r="D89" s="45"/>
      <c r="E89" s="44"/>
      <c r="F89" s="41" t="s">
        <v>199</v>
      </c>
      <c r="G89" s="44"/>
      <c r="H89" s="47"/>
      <c r="I89" s="47"/>
      <c r="J89" s="47"/>
      <c r="K89" s="47"/>
      <c r="L89" s="47"/>
      <c r="M89" s="47"/>
      <c r="N89" s="47"/>
      <c r="O89" s="47"/>
      <c r="P89" s="47"/>
      <c r="Q89" s="48"/>
      <c r="R89" s="48"/>
      <c r="S89" s="48"/>
      <c r="T89" s="48"/>
      <c r="U89" s="48"/>
      <c r="V89" s="48"/>
      <c r="W89" s="48"/>
      <c r="X89" s="48"/>
      <c r="Y89" s="49"/>
      <c r="Z89" s="49"/>
      <c r="AA89" s="49"/>
    </row>
    <row r="90" spans="1:39" ht="45" x14ac:dyDescent="0.15">
      <c r="A90" s="22">
        <v>29</v>
      </c>
      <c r="B90" s="28"/>
      <c r="C90" s="24" t="s">
        <v>200</v>
      </c>
      <c r="D90" s="24"/>
      <c r="E90" s="28" t="s">
        <v>200</v>
      </c>
      <c r="F90" s="29" t="s">
        <v>201</v>
      </c>
      <c r="G90" s="28" t="s">
        <v>48</v>
      </c>
      <c r="H90" s="25"/>
      <c r="I90" s="25"/>
      <c r="J90" s="25"/>
      <c r="K90" s="25"/>
      <c r="L90" s="25"/>
      <c r="M90" s="25"/>
      <c r="N90" s="25"/>
      <c r="O90" s="25"/>
      <c r="P90" s="25">
        <f>ROUND(SUM(O90:O91),4)</f>
        <v>15.744999999999999</v>
      </c>
      <c r="Q90" s="27">
        <v>413484</v>
      </c>
      <c r="R90" s="27"/>
      <c r="S90" s="27">
        <v>539082</v>
      </c>
      <c r="T90" s="27"/>
      <c r="U90" s="27">
        <f>P90*Q90</f>
        <v>6510305.5800000001</v>
      </c>
      <c r="V90" s="27">
        <f>P90*R90</f>
        <v>0</v>
      </c>
      <c r="W90" s="27">
        <f>P90*S90</f>
        <v>8487846.0899999999</v>
      </c>
      <c r="X90" s="27">
        <f>P90*T90</f>
        <v>0</v>
      </c>
      <c r="Y90" s="30"/>
      <c r="Z90" s="30"/>
      <c r="AA90" s="30"/>
      <c r="AC90" s="39" t="s">
        <v>49</v>
      </c>
      <c r="AD90" s="39" t="s">
        <v>50</v>
      </c>
      <c r="AE90" s="40" t="s">
        <v>116</v>
      </c>
      <c r="AF90" s="40" t="s">
        <v>202</v>
      </c>
      <c r="AM90" s="39" t="s">
        <v>54</v>
      </c>
    </row>
    <row r="91" spans="1:39" x14ac:dyDescent="0.15">
      <c r="A91" s="22"/>
      <c r="B91" s="28"/>
      <c r="C91" s="24"/>
      <c r="D91" s="24"/>
      <c r="E91" s="28"/>
      <c r="F91" s="38" t="s">
        <v>203</v>
      </c>
      <c r="G91" s="28"/>
      <c r="H91" s="25"/>
      <c r="I91" s="25"/>
      <c r="J91" s="25"/>
      <c r="K91" s="25"/>
      <c r="L91" s="25"/>
      <c r="M91" s="25"/>
      <c r="N91" s="25"/>
      <c r="O91" s="25">
        <v>15.744999999999999</v>
      </c>
      <c r="P91" s="25"/>
      <c r="Q91" s="27"/>
      <c r="R91" s="27"/>
      <c r="S91" s="27"/>
      <c r="T91" s="27"/>
      <c r="U91" s="27"/>
      <c r="V91" s="27"/>
      <c r="W91" s="27"/>
      <c r="X91" s="27"/>
      <c r="Y91" s="30"/>
      <c r="Z91" s="30"/>
      <c r="AA91" s="30"/>
    </row>
    <row r="92" spans="1:39" ht="45" x14ac:dyDescent="0.15">
      <c r="A92" s="22">
        <v>30</v>
      </c>
      <c r="B92" s="28"/>
      <c r="C92" s="24" t="s">
        <v>119</v>
      </c>
      <c r="D92" s="24"/>
      <c r="E92" s="28" t="s">
        <v>119</v>
      </c>
      <c r="F92" s="29" t="s">
        <v>120</v>
      </c>
      <c r="G92" s="28" t="s">
        <v>91</v>
      </c>
      <c r="H92" s="25"/>
      <c r="I92" s="25"/>
      <c r="J92" s="25"/>
      <c r="K92" s="25"/>
      <c r="L92" s="25"/>
      <c r="M92" s="25"/>
      <c r="N92" s="25"/>
      <c r="O92" s="25"/>
      <c r="P92" s="25">
        <f>ROUND(SUM(O92:O93),4)</f>
        <v>2.5000000000000001E-2</v>
      </c>
      <c r="Q92" s="27">
        <v>174216</v>
      </c>
      <c r="R92" s="27"/>
      <c r="S92" s="27">
        <v>99586</v>
      </c>
      <c r="T92" s="27"/>
      <c r="U92" s="27">
        <f>P92*Q92</f>
        <v>4355.4000000000005</v>
      </c>
      <c r="V92" s="27">
        <f>P92*R92</f>
        <v>0</v>
      </c>
      <c r="W92" s="27">
        <f>P92*S92</f>
        <v>2489.65</v>
      </c>
      <c r="X92" s="27">
        <f>P92*T92</f>
        <v>0</v>
      </c>
      <c r="Y92" s="30"/>
      <c r="Z92" s="30"/>
      <c r="AA92" s="30"/>
      <c r="AC92" s="39" t="s">
        <v>49</v>
      </c>
      <c r="AD92" s="39" t="s">
        <v>50</v>
      </c>
      <c r="AE92" s="40" t="s">
        <v>121</v>
      </c>
      <c r="AF92" s="40" t="s">
        <v>122</v>
      </c>
      <c r="AM92" s="39" t="s">
        <v>54</v>
      </c>
    </row>
    <row r="93" spans="1:39" ht="30" x14ac:dyDescent="0.15">
      <c r="A93" s="22"/>
      <c r="B93" s="28"/>
      <c r="C93" s="24"/>
      <c r="D93" s="24"/>
      <c r="E93" s="28"/>
      <c r="F93" s="51" t="s">
        <v>204</v>
      </c>
      <c r="G93" s="28"/>
      <c r="H93" s="25"/>
      <c r="I93" s="25"/>
      <c r="J93" s="25"/>
      <c r="K93" s="25"/>
      <c r="L93" s="25"/>
      <c r="M93" s="25"/>
      <c r="N93" s="25"/>
      <c r="O93" s="25">
        <v>2.5000000000000001E-2</v>
      </c>
      <c r="P93" s="25"/>
      <c r="Q93" s="27"/>
      <c r="R93" s="27"/>
      <c r="S93" s="27"/>
      <c r="T93" s="27"/>
      <c r="U93" s="27"/>
      <c r="V93" s="27"/>
      <c r="W93" s="27"/>
      <c r="X93" s="27"/>
      <c r="Y93" s="30"/>
      <c r="Z93" s="30"/>
      <c r="AA93" s="30"/>
    </row>
    <row r="94" spans="1:39" ht="30" x14ac:dyDescent="0.15">
      <c r="A94" s="22">
        <v>31</v>
      </c>
      <c r="B94" s="28"/>
      <c r="C94" s="24" t="s">
        <v>124</v>
      </c>
      <c r="D94" s="24"/>
      <c r="E94" s="28" t="s">
        <v>124</v>
      </c>
      <c r="F94" s="29" t="s">
        <v>125</v>
      </c>
      <c r="G94" s="28" t="s">
        <v>77</v>
      </c>
      <c r="H94" s="25"/>
      <c r="I94" s="25"/>
      <c r="J94" s="25"/>
      <c r="K94" s="25"/>
      <c r="L94" s="25"/>
      <c r="M94" s="25"/>
      <c r="N94" s="25"/>
      <c r="O94" s="25"/>
      <c r="P94" s="25">
        <f>ROUND(SUM(O94:O95),4)</f>
        <v>1.9E-2</v>
      </c>
      <c r="Q94" s="27">
        <v>1779989</v>
      </c>
      <c r="R94" s="27"/>
      <c r="S94" s="27">
        <v>3483998</v>
      </c>
      <c r="T94" s="27">
        <v>344346</v>
      </c>
      <c r="U94" s="27">
        <f>P94*Q94</f>
        <v>33819.790999999997</v>
      </c>
      <c r="V94" s="27">
        <f>P94*R94</f>
        <v>0</v>
      </c>
      <c r="W94" s="27">
        <f>P94*S94</f>
        <v>66195.962</v>
      </c>
      <c r="X94" s="27">
        <f>P94*T94</f>
        <v>6542.5739999999996</v>
      </c>
      <c r="Y94" s="30"/>
      <c r="Z94" s="30"/>
      <c r="AA94" s="30"/>
      <c r="AC94" s="39" t="s">
        <v>49</v>
      </c>
      <c r="AD94" s="39" t="s">
        <v>50</v>
      </c>
      <c r="AE94" s="40" t="s">
        <v>126</v>
      </c>
      <c r="AF94" s="40" t="s">
        <v>127</v>
      </c>
      <c r="AG94" s="40" t="s">
        <v>128</v>
      </c>
      <c r="AM94" s="39" t="s">
        <v>54</v>
      </c>
    </row>
    <row r="95" spans="1:39" x14ac:dyDescent="0.15">
      <c r="A95" s="22"/>
      <c r="B95" s="28"/>
      <c r="C95" s="24"/>
      <c r="D95" s="24"/>
      <c r="E95" s="28"/>
      <c r="F95" s="38" t="s">
        <v>205</v>
      </c>
      <c r="G95" s="28"/>
      <c r="H95" s="25"/>
      <c r="I95" s="25"/>
      <c r="J95" s="25"/>
      <c r="K95" s="25"/>
      <c r="L95" s="25"/>
      <c r="M95" s="25"/>
      <c r="N95" s="25"/>
      <c r="O95" s="25">
        <v>1.9E-2</v>
      </c>
      <c r="P95" s="25"/>
      <c r="Q95" s="27"/>
      <c r="R95" s="27"/>
      <c r="S95" s="27"/>
      <c r="T95" s="27"/>
      <c r="U95" s="27"/>
      <c r="V95" s="27"/>
      <c r="W95" s="27"/>
      <c r="X95" s="27"/>
      <c r="Y95" s="30"/>
      <c r="Z95" s="30"/>
      <c r="AA95" s="30"/>
    </row>
    <row r="96" spans="1:39" ht="60" x14ac:dyDescent="0.15">
      <c r="A96" s="22">
        <v>32</v>
      </c>
      <c r="B96" s="28"/>
      <c r="C96" s="24" t="s">
        <v>130</v>
      </c>
      <c r="D96" s="24" t="s">
        <v>131</v>
      </c>
      <c r="E96" s="28" t="s">
        <v>132</v>
      </c>
      <c r="F96" s="29" t="s">
        <v>133</v>
      </c>
      <c r="G96" s="28" t="s">
        <v>91</v>
      </c>
      <c r="H96" s="25"/>
      <c r="I96" s="25"/>
      <c r="J96" s="25"/>
      <c r="K96" s="25"/>
      <c r="L96" s="25"/>
      <c r="M96" s="25"/>
      <c r="N96" s="25"/>
      <c r="O96" s="25"/>
      <c r="P96" s="25">
        <f>ROUND(SUM(O96:O97),4)</f>
        <v>2.52</v>
      </c>
      <c r="Q96" s="27">
        <v>857235</v>
      </c>
      <c r="R96" s="27"/>
      <c r="S96" s="27">
        <v>294698</v>
      </c>
      <c r="T96" s="27">
        <v>55110</v>
      </c>
      <c r="U96" s="27">
        <f>P96*Q96</f>
        <v>2160232.2000000002</v>
      </c>
      <c r="V96" s="27">
        <f>P96*R96</f>
        <v>0</v>
      </c>
      <c r="W96" s="27">
        <f>P96*S96</f>
        <v>742638.96</v>
      </c>
      <c r="X96" s="27">
        <f>P96*T96</f>
        <v>138877.20000000001</v>
      </c>
      <c r="Y96" s="30"/>
      <c r="Z96" s="30"/>
      <c r="AA96" s="30"/>
      <c r="AC96" s="39" t="s">
        <v>49</v>
      </c>
      <c r="AD96" s="39" t="s">
        <v>50</v>
      </c>
      <c r="AE96" s="40" t="s">
        <v>134</v>
      </c>
      <c r="AF96" s="40" t="s">
        <v>135</v>
      </c>
      <c r="AG96" s="40" t="s">
        <v>136</v>
      </c>
      <c r="AM96" s="39" t="s">
        <v>54</v>
      </c>
    </row>
    <row r="97" spans="1:39" x14ac:dyDescent="0.15">
      <c r="A97" s="22"/>
      <c r="B97" s="28"/>
      <c r="C97" s="24"/>
      <c r="D97" s="24"/>
      <c r="E97" s="28"/>
      <c r="F97" s="38" t="s">
        <v>206</v>
      </c>
      <c r="G97" s="28"/>
      <c r="H97" s="25"/>
      <c r="I97" s="25"/>
      <c r="J97" s="25"/>
      <c r="K97" s="25"/>
      <c r="L97" s="25"/>
      <c r="M97" s="25"/>
      <c r="N97" s="25"/>
      <c r="O97" s="25">
        <v>2.52</v>
      </c>
      <c r="P97" s="25"/>
      <c r="Q97" s="27"/>
      <c r="R97" s="27"/>
      <c r="S97" s="27"/>
      <c r="T97" s="27"/>
      <c r="U97" s="27"/>
      <c r="V97" s="27"/>
      <c r="W97" s="27"/>
      <c r="X97" s="27"/>
      <c r="Y97" s="30"/>
      <c r="Z97" s="30"/>
      <c r="AA97" s="30"/>
    </row>
    <row r="98" spans="1:39" ht="30" x14ac:dyDescent="0.15">
      <c r="A98" s="22">
        <v>33</v>
      </c>
      <c r="B98" s="28"/>
      <c r="C98" s="24" t="s">
        <v>124</v>
      </c>
      <c r="D98" s="24"/>
      <c r="E98" s="28" t="s">
        <v>124</v>
      </c>
      <c r="F98" s="29" t="s">
        <v>125</v>
      </c>
      <c r="G98" s="28" t="s">
        <v>77</v>
      </c>
      <c r="H98" s="25"/>
      <c r="I98" s="25"/>
      <c r="J98" s="25"/>
      <c r="K98" s="25"/>
      <c r="L98" s="25"/>
      <c r="M98" s="25"/>
      <c r="N98" s="25"/>
      <c r="O98" s="25"/>
      <c r="P98" s="25">
        <f>ROUND(SUM(O98:O99),4)</f>
        <v>7.4999999999999997E-2</v>
      </c>
      <c r="Q98" s="27">
        <v>1779989</v>
      </c>
      <c r="R98" s="27"/>
      <c r="S98" s="27">
        <v>3483998</v>
      </c>
      <c r="T98" s="27">
        <v>344346</v>
      </c>
      <c r="U98" s="27">
        <f>P98*Q98</f>
        <v>133499.17499999999</v>
      </c>
      <c r="V98" s="27">
        <f>P98*R98</f>
        <v>0</v>
      </c>
      <c r="W98" s="27">
        <f>P98*S98</f>
        <v>261299.84999999998</v>
      </c>
      <c r="X98" s="27">
        <f>P98*T98</f>
        <v>25825.95</v>
      </c>
      <c r="Y98" s="30"/>
      <c r="Z98" s="30"/>
      <c r="AA98" s="30"/>
      <c r="AC98" s="39" t="s">
        <v>49</v>
      </c>
      <c r="AD98" s="39" t="s">
        <v>50</v>
      </c>
      <c r="AE98" s="40" t="s">
        <v>126</v>
      </c>
      <c r="AF98" s="40" t="s">
        <v>127</v>
      </c>
      <c r="AG98" s="40" t="s">
        <v>128</v>
      </c>
      <c r="AM98" s="39" t="s">
        <v>54</v>
      </c>
    </row>
    <row r="99" spans="1:39" x14ac:dyDescent="0.15">
      <c r="A99" s="22"/>
      <c r="B99" s="28"/>
      <c r="C99" s="24"/>
      <c r="D99" s="24"/>
      <c r="E99" s="28"/>
      <c r="F99" s="38" t="s">
        <v>207</v>
      </c>
      <c r="G99" s="28"/>
      <c r="H99" s="25"/>
      <c r="I99" s="25"/>
      <c r="J99" s="25"/>
      <c r="K99" s="25"/>
      <c r="L99" s="25"/>
      <c r="M99" s="25"/>
      <c r="N99" s="25"/>
      <c r="O99" s="25">
        <v>7.4999999999999997E-2</v>
      </c>
      <c r="P99" s="25"/>
      <c r="Q99" s="27"/>
      <c r="R99" s="27"/>
      <c r="S99" s="27"/>
      <c r="T99" s="27"/>
      <c r="U99" s="27"/>
      <c r="V99" s="27"/>
      <c r="W99" s="27"/>
      <c r="X99" s="27"/>
      <c r="Y99" s="30"/>
      <c r="Z99" s="30"/>
      <c r="AA99" s="30"/>
    </row>
    <row r="100" spans="1:39" ht="60" x14ac:dyDescent="0.15">
      <c r="A100" s="22">
        <v>34</v>
      </c>
      <c r="B100" s="28"/>
      <c r="C100" s="24" t="s">
        <v>130</v>
      </c>
      <c r="D100" s="24" t="s">
        <v>146</v>
      </c>
      <c r="E100" s="28" t="s">
        <v>147</v>
      </c>
      <c r="F100" s="29" t="s">
        <v>148</v>
      </c>
      <c r="G100" s="28" t="s">
        <v>91</v>
      </c>
      <c r="H100" s="25"/>
      <c r="I100" s="25"/>
      <c r="J100" s="25"/>
      <c r="K100" s="25"/>
      <c r="L100" s="25"/>
      <c r="M100" s="25"/>
      <c r="N100" s="25"/>
      <c r="O100" s="25"/>
      <c r="P100" s="25">
        <f>ROUND(SUM(O100:O102),4)</f>
        <v>12.834</v>
      </c>
      <c r="Q100" s="27">
        <v>1027471</v>
      </c>
      <c r="R100" s="27"/>
      <c r="S100" s="27">
        <v>294698</v>
      </c>
      <c r="T100" s="27">
        <v>55110</v>
      </c>
      <c r="U100" s="27">
        <f>P100*Q100</f>
        <v>13186562.813999999</v>
      </c>
      <c r="V100" s="27">
        <f>P100*R100</f>
        <v>0</v>
      </c>
      <c r="W100" s="27">
        <f>P100*S100</f>
        <v>3782154.1319999998</v>
      </c>
      <c r="X100" s="27">
        <f>P100*T100</f>
        <v>707281.74</v>
      </c>
      <c r="Y100" s="30"/>
      <c r="Z100" s="30"/>
      <c r="AA100" s="30"/>
      <c r="AC100" s="39" t="s">
        <v>49</v>
      </c>
      <c r="AD100" s="39" t="s">
        <v>50</v>
      </c>
      <c r="AE100" s="40" t="s">
        <v>149</v>
      </c>
      <c r="AF100" s="40" t="s">
        <v>135</v>
      </c>
      <c r="AG100" s="40" t="s">
        <v>136</v>
      </c>
      <c r="AM100" s="39" t="s">
        <v>54</v>
      </c>
    </row>
    <row r="101" spans="1:39" x14ac:dyDescent="0.15">
      <c r="A101" s="22"/>
      <c r="B101" s="28"/>
      <c r="C101" s="24"/>
      <c r="D101" s="24"/>
      <c r="E101" s="28"/>
      <c r="F101" s="38" t="s">
        <v>208</v>
      </c>
      <c r="G101" s="28"/>
      <c r="H101" s="25"/>
      <c r="I101" s="25"/>
      <c r="J101" s="25"/>
      <c r="K101" s="25"/>
      <c r="L101" s="25"/>
      <c r="M101" s="25"/>
      <c r="N101" s="25"/>
      <c r="O101" s="25">
        <v>11.52</v>
      </c>
      <c r="P101" s="25"/>
      <c r="Q101" s="27"/>
      <c r="R101" s="27"/>
      <c r="S101" s="27"/>
      <c r="T101" s="27"/>
      <c r="U101" s="27"/>
      <c r="V101" s="27"/>
      <c r="W101" s="27"/>
      <c r="X101" s="27"/>
      <c r="Y101" s="30"/>
      <c r="Z101" s="30"/>
      <c r="AA101" s="30"/>
    </row>
    <row r="102" spans="1:39" x14ac:dyDescent="0.15">
      <c r="A102" s="22"/>
      <c r="B102" s="28"/>
      <c r="C102" s="24"/>
      <c r="D102" s="24"/>
      <c r="E102" s="28"/>
      <c r="F102" s="38" t="s">
        <v>209</v>
      </c>
      <c r="G102" s="28"/>
      <c r="H102" s="25"/>
      <c r="I102" s="25"/>
      <c r="J102" s="25"/>
      <c r="K102" s="25"/>
      <c r="L102" s="25"/>
      <c r="M102" s="25"/>
      <c r="N102" s="25"/>
      <c r="O102" s="25">
        <v>1.3140000000000001</v>
      </c>
      <c r="P102" s="25"/>
      <c r="Q102" s="27"/>
      <c r="R102" s="27"/>
      <c r="S102" s="27"/>
      <c r="T102" s="27"/>
      <c r="U102" s="27"/>
      <c r="V102" s="27"/>
      <c r="W102" s="27"/>
      <c r="X102" s="27"/>
      <c r="Y102" s="30"/>
      <c r="Z102" s="30"/>
      <c r="AA102" s="30"/>
    </row>
    <row r="103" spans="1:39" ht="60" x14ac:dyDescent="0.15">
      <c r="A103" s="22">
        <v>35</v>
      </c>
      <c r="B103" s="28"/>
      <c r="C103" s="24" t="s">
        <v>152</v>
      </c>
      <c r="D103" s="24"/>
      <c r="E103" s="28" t="s">
        <v>152</v>
      </c>
      <c r="F103" s="29" t="s">
        <v>153</v>
      </c>
      <c r="G103" s="28" t="s">
        <v>140</v>
      </c>
      <c r="H103" s="25"/>
      <c r="I103" s="25"/>
      <c r="J103" s="25"/>
      <c r="K103" s="25"/>
      <c r="L103" s="25"/>
      <c r="M103" s="25"/>
      <c r="N103" s="25"/>
      <c r="O103" s="25"/>
      <c r="P103" s="25">
        <f>ROUND(SUM(O103:O104),4)</f>
        <v>0.2324</v>
      </c>
      <c r="Q103" s="27">
        <v>19617400</v>
      </c>
      <c r="R103" s="27"/>
      <c r="S103" s="27">
        <v>3392900</v>
      </c>
      <c r="T103" s="27">
        <v>112514</v>
      </c>
      <c r="U103" s="27">
        <f>P103*Q103</f>
        <v>4559083.76</v>
      </c>
      <c r="V103" s="27">
        <f>P103*R103</f>
        <v>0</v>
      </c>
      <c r="W103" s="27">
        <f>P103*S103</f>
        <v>788509.96</v>
      </c>
      <c r="X103" s="27">
        <f>P103*T103</f>
        <v>26148.2536</v>
      </c>
      <c r="Y103" s="30"/>
      <c r="Z103" s="30"/>
      <c r="AA103" s="30"/>
      <c r="AC103" s="39" t="s">
        <v>49</v>
      </c>
      <c r="AD103" s="39" t="s">
        <v>50</v>
      </c>
      <c r="AE103" s="40" t="s">
        <v>154</v>
      </c>
      <c r="AF103" s="40" t="s">
        <v>155</v>
      </c>
      <c r="AG103" s="40" t="s">
        <v>156</v>
      </c>
      <c r="AM103" s="39" t="s">
        <v>54</v>
      </c>
    </row>
    <row r="104" spans="1:39" x14ac:dyDescent="0.15">
      <c r="A104" s="22"/>
      <c r="B104" s="28"/>
      <c r="C104" s="24"/>
      <c r="D104" s="24"/>
      <c r="E104" s="28"/>
      <c r="F104" s="38" t="s">
        <v>210</v>
      </c>
      <c r="G104" s="28"/>
      <c r="H104" s="25"/>
      <c r="I104" s="25"/>
      <c r="J104" s="25"/>
      <c r="K104" s="25"/>
      <c r="L104" s="25"/>
      <c r="M104" s="25"/>
      <c r="N104" s="25"/>
      <c r="O104" s="25">
        <v>0.2324</v>
      </c>
      <c r="P104" s="25"/>
      <c r="Q104" s="27"/>
      <c r="R104" s="27"/>
      <c r="S104" s="27"/>
      <c r="T104" s="27"/>
      <c r="U104" s="27"/>
      <c r="V104" s="27"/>
      <c r="W104" s="27"/>
      <c r="X104" s="27"/>
      <c r="Y104" s="30"/>
      <c r="Z104" s="30"/>
      <c r="AA104" s="30"/>
    </row>
    <row r="105" spans="1:39" ht="60" x14ac:dyDescent="0.15">
      <c r="A105" s="22">
        <v>36</v>
      </c>
      <c r="B105" s="28"/>
      <c r="C105" s="24" t="s">
        <v>158</v>
      </c>
      <c r="D105" s="24"/>
      <c r="E105" s="28" t="s">
        <v>158</v>
      </c>
      <c r="F105" s="29" t="s">
        <v>159</v>
      </c>
      <c r="G105" s="28" t="s">
        <v>77</v>
      </c>
      <c r="H105" s="25"/>
      <c r="I105" s="25"/>
      <c r="J105" s="25"/>
      <c r="K105" s="25"/>
      <c r="L105" s="25"/>
      <c r="M105" s="25"/>
      <c r="N105" s="25"/>
      <c r="O105" s="25"/>
      <c r="P105" s="25">
        <f>ROUND(SUM(O105:O106),4)</f>
        <v>0.21249999999999999</v>
      </c>
      <c r="Q105" s="27">
        <v>2686929</v>
      </c>
      <c r="R105" s="27"/>
      <c r="S105" s="27">
        <v>8105628</v>
      </c>
      <c r="T105" s="27">
        <v>1102922</v>
      </c>
      <c r="U105" s="27">
        <f>P105*Q105</f>
        <v>570972.41249999998</v>
      </c>
      <c r="V105" s="27">
        <f>P105*R105</f>
        <v>0</v>
      </c>
      <c r="W105" s="27">
        <f>P105*S105</f>
        <v>1722445.95</v>
      </c>
      <c r="X105" s="27">
        <f>P105*T105</f>
        <v>234370.92499999999</v>
      </c>
      <c r="Y105" s="30"/>
      <c r="Z105" s="30"/>
      <c r="AA105" s="30"/>
      <c r="AC105" s="39" t="s">
        <v>49</v>
      </c>
      <c r="AD105" s="39" t="s">
        <v>50</v>
      </c>
      <c r="AE105" s="40" t="s">
        <v>160</v>
      </c>
      <c r="AF105" s="40" t="s">
        <v>161</v>
      </c>
      <c r="AG105" s="40" t="s">
        <v>162</v>
      </c>
      <c r="AM105" s="39" t="s">
        <v>54</v>
      </c>
    </row>
    <row r="106" spans="1:39" x14ac:dyDescent="0.15">
      <c r="A106" s="22"/>
      <c r="B106" s="28"/>
      <c r="C106" s="24"/>
      <c r="D106" s="24"/>
      <c r="E106" s="28"/>
      <c r="F106" s="38" t="s">
        <v>211</v>
      </c>
      <c r="G106" s="28"/>
      <c r="H106" s="25"/>
      <c r="I106" s="25"/>
      <c r="J106" s="25"/>
      <c r="K106" s="25"/>
      <c r="L106" s="25"/>
      <c r="M106" s="25"/>
      <c r="N106" s="25"/>
      <c r="O106" s="25">
        <v>0.21249999999999999</v>
      </c>
      <c r="P106" s="25"/>
      <c r="Q106" s="27"/>
      <c r="R106" s="27"/>
      <c r="S106" s="27"/>
      <c r="T106" s="27"/>
      <c r="U106" s="27"/>
      <c r="V106" s="27"/>
      <c r="W106" s="27"/>
      <c r="X106" s="27"/>
      <c r="Y106" s="30"/>
      <c r="Z106" s="30"/>
      <c r="AA106" s="30"/>
    </row>
    <row r="107" spans="1:39" ht="75" x14ac:dyDescent="0.15">
      <c r="A107" s="22">
        <v>37</v>
      </c>
      <c r="B107" s="28"/>
      <c r="C107" s="24" t="s">
        <v>164</v>
      </c>
      <c r="D107" s="24" t="s">
        <v>146</v>
      </c>
      <c r="E107" s="28" t="s">
        <v>165</v>
      </c>
      <c r="F107" s="29" t="s">
        <v>166</v>
      </c>
      <c r="G107" s="28" t="s">
        <v>91</v>
      </c>
      <c r="H107" s="25"/>
      <c r="I107" s="25"/>
      <c r="J107" s="25"/>
      <c r="K107" s="25"/>
      <c r="L107" s="25"/>
      <c r="M107" s="25"/>
      <c r="N107" s="25"/>
      <c r="O107" s="25"/>
      <c r="P107" s="25">
        <f>ROUND(SUM(O107:O109),4)</f>
        <v>2.5937999999999999</v>
      </c>
      <c r="Q107" s="27">
        <v>1068163</v>
      </c>
      <c r="R107" s="27"/>
      <c r="S107" s="27">
        <v>652380</v>
      </c>
      <c r="T107" s="27">
        <v>80297</v>
      </c>
      <c r="U107" s="27">
        <f>P107*Q107</f>
        <v>2770601.1894</v>
      </c>
      <c r="V107" s="27">
        <f>P107*R107</f>
        <v>0</v>
      </c>
      <c r="W107" s="27">
        <f>P107*S107</f>
        <v>1692143.2439999999</v>
      </c>
      <c r="X107" s="27">
        <f>P107*T107</f>
        <v>208274.35859999998</v>
      </c>
      <c r="Y107" s="30"/>
      <c r="Z107" s="30"/>
      <c r="AA107" s="30"/>
      <c r="AC107" s="39" t="s">
        <v>49</v>
      </c>
      <c r="AD107" s="39" t="s">
        <v>50</v>
      </c>
      <c r="AE107" s="40" t="s">
        <v>167</v>
      </c>
      <c r="AF107" s="40" t="s">
        <v>168</v>
      </c>
      <c r="AG107" s="40" t="s">
        <v>169</v>
      </c>
      <c r="AM107" s="39" t="s">
        <v>54</v>
      </c>
    </row>
    <row r="108" spans="1:39" x14ac:dyDescent="0.15">
      <c r="A108" s="22"/>
      <c r="B108" s="28"/>
      <c r="C108" s="24"/>
      <c r="D108" s="24"/>
      <c r="E108" s="28"/>
      <c r="F108" s="38" t="s">
        <v>212</v>
      </c>
      <c r="G108" s="28"/>
      <c r="H108" s="25"/>
      <c r="I108" s="25"/>
      <c r="J108" s="25"/>
      <c r="K108" s="25"/>
      <c r="L108" s="25"/>
      <c r="M108" s="25"/>
      <c r="N108" s="25"/>
      <c r="O108" s="25">
        <v>2.5937999999999999</v>
      </c>
      <c r="P108" s="25"/>
      <c r="Q108" s="27"/>
      <c r="R108" s="27"/>
      <c r="S108" s="27"/>
      <c r="T108" s="27"/>
      <c r="U108" s="27"/>
      <c r="V108" s="27"/>
      <c r="W108" s="27"/>
      <c r="X108" s="27"/>
      <c r="Y108" s="30"/>
      <c r="Z108" s="30"/>
      <c r="AA108" s="30"/>
    </row>
    <row r="109" spans="1:39" ht="30" x14ac:dyDescent="0.15">
      <c r="A109" s="22"/>
      <c r="B109" s="28"/>
      <c r="C109" s="24"/>
      <c r="D109" s="24"/>
      <c r="E109" s="28"/>
      <c r="F109" s="41" t="s">
        <v>213</v>
      </c>
      <c r="G109" s="28"/>
      <c r="H109" s="25"/>
      <c r="I109" s="25"/>
      <c r="J109" s="25"/>
      <c r="K109" s="25"/>
      <c r="L109" s="25"/>
      <c r="M109" s="25"/>
      <c r="N109" s="25"/>
      <c r="O109" s="25"/>
      <c r="P109" s="25"/>
      <c r="Q109" s="27"/>
      <c r="R109" s="27"/>
      <c r="S109" s="27"/>
      <c r="T109" s="27"/>
      <c r="U109" s="27"/>
      <c r="V109" s="27"/>
      <c r="W109" s="27"/>
      <c r="X109" s="27"/>
      <c r="Y109" s="30"/>
      <c r="Z109" s="30"/>
      <c r="AA109" s="30"/>
    </row>
    <row r="110" spans="1:39" ht="45" x14ac:dyDescent="0.15">
      <c r="A110" s="43">
        <v>38</v>
      </c>
      <c r="B110" s="44"/>
      <c r="C110" s="45" t="s">
        <v>214</v>
      </c>
      <c r="D110" s="45"/>
      <c r="E110" s="56" t="s">
        <v>214</v>
      </c>
      <c r="F110" s="46" t="s">
        <v>215</v>
      </c>
      <c r="G110" s="44" t="s">
        <v>98</v>
      </c>
      <c r="H110" s="47"/>
      <c r="I110" s="47"/>
      <c r="J110" s="47"/>
      <c r="K110" s="47"/>
      <c r="L110" s="47"/>
      <c r="M110" s="47"/>
      <c r="N110" s="47"/>
      <c r="O110" s="47"/>
      <c r="P110" s="47">
        <f>ROUND(SUM(O110:O111),4)</f>
        <v>14.103199999999999</v>
      </c>
      <c r="Q110" s="48"/>
      <c r="R110" s="48"/>
      <c r="S110" s="48">
        <v>1369866</v>
      </c>
      <c r="T110" s="48">
        <v>1524704</v>
      </c>
      <c r="U110" s="48">
        <f>P110*Q110</f>
        <v>0</v>
      </c>
      <c r="V110" s="48">
        <f>P110*R110</f>
        <v>0</v>
      </c>
      <c r="W110" s="48">
        <f>P110*S110</f>
        <v>19319494.1712</v>
      </c>
      <c r="X110" s="48">
        <f>P110*T110</f>
        <v>21503205.452799998</v>
      </c>
      <c r="Y110" s="49"/>
      <c r="Z110" s="49"/>
      <c r="AA110" s="49"/>
      <c r="AC110" s="39" t="s">
        <v>49</v>
      </c>
      <c r="AD110" s="39" t="s">
        <v>50</v>
      </c>
      <c r="AF110" s="40" t="s">
        <v>216</v>
      </c>
      <c r="AG110" s="40" t="s">
        <v>217</v>
      </c>
      <c r="AM110" s="39" t="s">
        <v>54</v>
      </c>
    </row>
    <row r="111" spans="1:39" ht="45" x14ac:dyDescent="0.15">
      <c r="A111" s="43"/>
      <c r="B111" s="44"/>
      <c r="C111" s="45"/>
      <c r="D111" s="45"/>
      <c r="E111" s="56"/>
      <c r="F111" s="38" t="s">
        <v>218</v>
      </c>
      <c r="G111" s="44"/>
      <c r="H111" s="47"/>
      <c r="I111" s="47"/>
      <c r="J111" s="47"/>
      <c r="K111" s="47"/>
      <c r="L111" s="47"/>
      <c r="M111" s="47"/>
      <c r="N111" s="47"/>
      <c r="O111" s="47">
        <v>14.103199999999999</v>
      </c>
      <c r="P111" s="50"/>
      <c r="Q111" s="48"/>
      <c r="R111" s="48"/>
      <c r="S111" s="48"/>
      <c r="T111" s="48"/>
      <c r="U111" s="48"/>
      <c r="V111" s="48"/>
      <c r="W111" s="48"/>
      <c r="X111" s="48"/>
      <c r="Y111" s="49"/>
      <c r="Z111" s="49"/>
      <c r="AA111" s="49"/>
    </row>
    <row r="112" spans="1:39" x14ac:dyDescent="0.15">
      <c r="A112" s="31">
        <v>39</v>
      </c>
      <c r="B112" s="32"/>
      <c r="C112" s="33"/>
      <c r="D112" s="33"/>
      <c r="E112" s="32" t="s">
        <v>42</v>
      </c>
      <c r="F112" s="34" t="s">
        <v>219</v>
      </c>
      <c r="G112" s="32" t="s">
        <v>91</v>
      </c>
      <c r="H112" s="35"/>
      <c r="I112" s="35"/>
      <c r="J112" s="35"/>
      <c r="K112" s="35"/>
      <c r="L112" s="35"/>
      <c r="M112" s="35"/>
      <c r="N112" s="35"/>
      <c r="O112" s="35"/>
      <c r="P112" s="35">
        <f>ROUND(SUM(O112:O118),4)</f>
        <v>1551.3520000000001</v>
      </c>
      <c r="Q112" s="36">
        <v>220000</v>
      </c>
      <c r="R112" s="36"/>
      <c r="S112" s="36"/>
      <c r="T112" s="36"/>
      <c r="U112" s="36">
        <f>P112*Q112</f>
        <v>341297440</v>
      </c>
      <c r="V112" s="36">
        <f>P112*R112</f>
        <v>0</v>
      </c>
      <c r="W112" s="36">
        <f>P112*S112</f>
        <v>0</v>
      </c>
      <c r="X112" s="36">
        <f>P112*T112</f>
        <v>0</v>
      </c>
      <c r="Y112" s="37"/>
      <c r="Z112" s="37"/>
      <c r="AA112" s="37"/>
      <c r="AB112" s="57"/>
      <c r="AC112" s="58"/>
      <c r="AD112" s="58"/>
      <c r="AE112" s="59"/>
      <c r="AF112" s="59"/>
      <c r="AG112" s="59"/>
      <c r="AH112" s="59"/>
      <c r="AI112" s="59"/>
      <c r="AJ112" s="59"/>
      <c r="AK112" s="60"/>
      <c r="AL112" s="60"/>
      <c r="AM112" s="58"/>
    </row>
    <row r="113" spans="1:27" ht="30" x14ac:dyDescent="0.15">
      <c r="A113" s="22"/>
      <c r="B113" s="28"/>
      <c r="C113" s="24"/>
      <c r="D113" s="24"/>
      <c r="E113" s="28"/>
      <c r="F113" s="38" t="s">
        <v>220</v>
      </c>
      <c r="G113" s="28"/>
      <c r="H113" s="25"/>
      <c r="I113" s="25"/>
      <c r="J113" s="25"/>
      <c r="K113" s="25"/>
      <c r="L113" s="25"/>
      <c r="M113" s="25"/>
      <c r="N113" s="25"/>
      <c r="O113" s="25">
        <v>1551.3520000000001</v>
      </c>
      <c r="P113" s="25"/>
      <c r="Q113" s="27"/>
      <c r="R113" s="27"/>
      <c r="S113" s="27"/>
      <c r="T113" s="27"/>
      <c r="U113" s="27"/>
      <c r="V113" s="27"/>
      <c r="W113" s="27"/>
      <c r="X113" s="27"/>
      <c r="Y113" s="30"/>
      <c r="Z113" s="30"/>
      <c r="AA113" s="30"/>
    </row>
    <row r="114" spans="1:27" ht="14" x14ac:dyDescent="0.15">
      <c r="A114" s="22"/>
      <c r="B114" s="28"/>
      <c r="C114" s="24"/>
      <c r="D114" s="24"/>
      <c r="E114" s="28"/>
      <c r="F114" s="38"/>
      <c r="G114" s="28"/>
      <c r="H114" s="25"/>
      <c r="I114" s="25"/>
      <c r="J114" s="25"/>
      <c r="K114" s="25"/>
      <c r="L114" s="25"/>
      <c r="M114" s="25"/>
      <c r="N114" s="25"/>
      <c r="O114" s="25"/>
      <c r="P114" s="25"/>
      <c r="Q114" s="27"/>
      <c r="R114" s="27"/>
      <c r="S114" s="27"/>
      <c r="T114" s="27"/>
      <c r="U114" s="27"/>
      <c r="V114" s="27"/>
      <c r="W114" s="27"/>
      <c r="X114" s="27"/>
      <c r="Y114" s="30"/>
      <c r="Z114" s="30"/>
      <c r="AA114" s="30"/>
    </row>
    <row r="115" spans="1:27" ht="14" x14ac:dyDescent="0.15">
      <c r="A115" s="22"/>
      <c r="B115" s="28"/>
      <c r="C115" s="24"/>
      <c r="D115" s="24"/>
      <c r="E115" s="28"/>
      <c r="F115" s="38"/>
      <c r="G115" s="28"/>
      <c r="H115" s="25"/>
      <c r="I115" s="25"/>
      <c r="J115" s="25"/>
      <c r="K115" s="25"/>
      <c r="L115" s="25"/>
      <c r="M115" s="25"/>
      <c r="N115" s="25"/>
      <c r="O115" s="25"/>
      <c r="P115" s="25"/>
      <c r="Q115" s="27"/>
      <c r="R115" s="27"/>
      <c r="S115" s="27"/>
      <c r="T115" s="27"/>
      <c r="U115" s="27"/>
      <c r="V115" s="27"/>
      <c r="W115" s="27"/>
      <c r="X115" s="27"/>
      <c r="Y115" s="30"/>
      <c r="Z115" s="30"/>
      <c r="AA115" s="30"/>
    </row>
    <row r="116" spans="1:27" ht="14" x14ac:dyDescent="0.15">
      <c r="A116" s="22"/>
      <c r="B116" s="28"/>
      <c r="C116" s="24"/>
      <c r="D116" s="24"/>
      <c r="E116" s="28"/>
      <c r="F116" s="38"/>
      <c r="G116" s="28"/>
      <c r="H116" s="25"/>
      <c r="I116" s="25"/>
      <c r="J116" s="25"/>
      <c r="K116" s="25"/>
      <c r="L116" s="25"/>
      <c r="M116" s="25"/>
      <c r="N116" s="25"/>
      <c r="O116" s="25"/>
      <c r="P116" s="25"/>
      <c r="Q116" s="27"/>
      <c r="R116" s="27"/>
      <c r="S116" s="27"/>
      <c r="T116" s="27"/>
      <c r="U116" s="27"/>
      <c r="V116" s="27"/>
      <c r="W116" s="27"/>
      <c r="X116" s="27"/>
      <c r="Y116" s="30"/>
      <c r="Z116" s="30"/>
      <c r="AA116" s="30"/>
    </row>
    <row r="117" spans="1:27" ht="14" x14ac:dyDescent="0.15">
      <c r="A117" s="22"/>
      <c r="B117" s="28"/>
      <c r="C117" s="24"/>
      <c r="D117" s="24"/>
      <c r="E117" s="28"/>
      <c r="F117" s="38"/>
      <c r="G117" s="28"/>
      <c r="H117" s="25"/>
      <c r="I117" s="25"/>
      <c r="J117" s="25"/>
      <c r="K117" s="25"/>
      <c r="L117" s="25"/>
      <c r="M117" s="25"/>
      <c r="N117" s="25"/>
      <c r="O117" s="25"/>
      <c r="P117" s="25"/>
      <c r="Q117" s="27"/>
      <c r="R117" s="27"/>
      <c r="S117" s="27"/>
      <c r="T117" s="27"/>
      <c r="U117" s="27"/>
      <c r="V117" s="27"/>
      <c r="W117" s="27"/>
      <c r="X117" s="27"/>
      <c r="Y117" s="30"/>
      <c r="Z117" s="30"/>
      <c r="AA117" s="30"/>
    </row>
    <row r="118" spans="1:27" ht="14" x14ac:dyDescent="0.15">
      <c r="A118" s="22"/>
      <c r="B118" s="28"/>
      <c r="C118" s="24"/>
      <c r="D118" s="24"/>
      <c r="E118" s="28"/>
      <c r="F118" s="38"/>
      <c r="G118" s="28"/>
      <c r="H118" s="25"/>
      <c r="I118" s="25"/>
      <c r="J118" s="25"/>
      <c r="K118" s="25"/>
      <c r="L118" s="25"/>
      <c r="M118" s="25"/>
      <c r="N118" s="25"/>
      <c r="O118" s="25"/>
      <c r="P118" s="25"/>
      <c r="Q118" s="27"/>
      <c r="R118" s="27"/>
      <c r="S118" s="27"/>
      <c r="T118" s="27"/>
      <c r="U118" s="27"/>
      <c r="V118" s="27"/>
      <c r="W118" s="27"/>
      <c r="X118" s="27"/>
      <c r="Y118" s="30"/>
      <c r="Z118" s="30"/>
      <c r="AA118" s="30"/>
    </row>
    <row r="119" spans="1:27" ht="14" x14ac:dyDescent="0.15">
      <c r="A119" s="61"/>
      <c r="B119" s="62"/>
      <c r="C119" s="63"/>
      <c r="D119" s="63"/>
      <c r="E119" s="62" t="s">
        <v>221</v>
      </c>
      <c r="F119" s="62" t="s">
        <v>222</v>
      </c>
      <c r="G119" s="62"/>
      <c r="H119" s="64"/>
      <c r="I119" s="64"/>
      <c r="J119" s="64"/>
      <c r="K119" s="64"/>
      <c r="L119" s="64"/>
      <c r="M119" s="64"/>
      <c r="N119" s="64"/>
      <c r="O119" s="64"/>
      <c r="P119" s="65"/>
      <c r="Q119" s="65"/>
      <c r="R119" s="66"/>
      <c r="S119" s="65"/>
      <c r="T119" s="65"/>
      <c r="U119" s="65">
        <f>SUM(U7:U118)</f>
        <v>2476286230.3803997</v>
      </c>
      <c r="V119" s="66">
        <f>SUM(V7:V118)</f>
        <v>0</v>
      </c>
      <c r="W119" s="65">
        <f>SUM(W7:W118)</f>
        <v>1200528719.4837999</v>
      </c>
      <c r="X119" s="65">
        <f>SUM(X7:X118)</f>
        <v>1453716996.3621998</v>
      </c>
      <c r="Y119" s="65"/>
      <c r="Z119" s="65"/>
      <c r="AA119" s="65"/>
    </row>
    <row r="120" spans="1:27" ht="15" customHeight="1" x14ac:dyDescent="0.15">
      <c r="A120" s="67"/>
      <c r="B120" s="68"/>
      <c r="E120" s="68"/>
      <c r="F120" s="69"/>
      <c r="G120" s="68"/>
      <c r="H120" s="70"/>
      <c r="I120" s="70"/>
      <c r="J120" s="70"/>
      <c r="K120" s="70"/>
      <c r="L120" s="70"/>
      <c r="M120" s="70"/>
      <c r="N120" s="70"/>
      <c r="O120" s="70"/>
      <c r="P120" s="70"/>
      <c r="Q120" s="71"/>
      <c r="R120" s="71"/>
      <c r="S120" s="71"/>
      <c r="T120" s="71"/>
      <c r="U120" s="71"/>
      <c r="V120" s="71"/>
      <c r="W120" s="71"/>
      <c r="X120" s="71"/>
      <c r="Y120" s="72"/>
      <c r="Z120" s="72"/>
      <c r="AA120" s="72"/>
    </row>
    <row r="121" spans="1:27" ht="15" customHeight="1" x14ac:dyDescent="0.15">
      <c r="A121" s="67"/>
      <c r="B121" s="68"/>
      <c r="E121" s="68"/>
      <c r="F121" s="69"/>
      <c r="G121" s="68"/>
      <c r="H121" s="70"/>
      <c r="I121" s="70"/>
      <c r="J121" s="70"/>
      <c r="K121" s="70"/>
      <c r="L121" s="70"/>
      <c r="M121" s="70"/>
      <c r="N121" s="70"/>
      <c r="O121" s="70"/>
      <c r="P121" s="70"/>
      <c r="Q121" s="71"/>
      <c r="R121" s="71"/>
      <c r="S121" s="71"/>
      <c r="T121" s="71"/>
      <c r="U121" s="71"/>
      <c r="V121" s="71"/>
      <c r="W121" s="71"/>
      <c r="X121" s="71"/>
      <c r="Y121" s="72"/>
      <c r="Z121" s="72"/>
      <c r="AA121" s="72"/>
    </row>
    <row r="122" spans="1:27" ht="15" customHeight="1" x14ac:dyDescent="0.15">
      <c r="A122" s="67"/>
      <c r="B122" s="68"/>
      <c r="E122" s="68"/>
      <c r="F122" s="69"/>
      <c r="G122" s="68"/>
      <c r="H122" s="70"/>
      <c r="I122" s="70"/>
      <c r="J122" s="70"/>
      <c r="K122" s="70"/>
      <c r="L122" s="70"/>
      <c r="M122" s="70"/>
      <c r="N122" s="70"/>
      <c r="O122" s="70"/>
      <c r="P122" s="70"/>
      <c r="Q122" s="71"/>
      <c r="R122" s="71"/>
      <c r="S122" s="71"/>
      <c r="T122" s="71"/>
      <c r="U122" s="71"/>
      <c r="V122" s="71"/>
      <c r="W122" s="71"/>
      <c r="X122" s="71"/>
      <c r="Y122" s="72"/>
      <c r="Z122" s="72"/>
      <c r="AA122" s="72"/>
    </row>
    <row r="123" spans="1:27" ht="15" customHeight="1" x14ac:dyDescent="0.15">
      <c r="A123" s="67"/>
      <c r="B123" s="68"/>
      <c r="E123" s="68"/>
      <c r="F123" s="69"/>
      <c r="G123" s="68"/>
      <c r="H123" s="70"/>
      <c r="I123" s="70"/>
      <c r="J123" s="70"/>
      <c r="K123" s="70"/>
      <c r="L123" s="70"/>
      <c r="M123" s="70"/>
      <c r="N123" s="70"/>
      <c r="O123" s="70"/>
      <c r="P123" s="70"/>
      <c r="Q123" s="71"/>
      <c r="R123" s="71"/>
      <c r="S123" s="71"/>
      <c r="T123" s="71"/>
      <c r="U123" s="71"/>
      <c r="V123" s="71"/>
      <c r="W123" s="71"/>
      <c r="X123" s="71"/>
      <c r="Y123" s="72"/>
      <c r="Z123" s="72"/>
      <c r="AA123" s="72"/>
    </row>
    <row r="124" spans="1:27" ht="15" customHeight="1" x14ac:dyDescent="0.15">
      <c r="A124" s="67"/>
      <c r="B124" s="68"/>
      <c r="E124" s="68"/>
      <c r="F124" s="69"/>
      <c r="G124" s="68"/>
      <c r="H124" s="70"/>
      <c r="I124" s="70"/>
      <c r="J124" s="70"/>
      <c r="K124" s="70"/>
      <c r="L124" s="70"/>
      <c r="M124" s="70"/>
      <c r="N124" s="70"/>
      <c r="O124" s="70"/>
      <c r="P124" s="70"/>
      <c r="Q124" s="71"/>
      <c r="R124" s="71"/>
      <c r="S124" s="71"/>
      <c r="T124" s="71"/>
      <c r="U124" s="71"/>
      <c r="V124" s="71"/>
      <c r="W124" s="71"/>
      <c r="X124" s="71"/>
      <c r="Y124" s="72"/>
      <c r="Z124" s="72"/>
      <c r="AA124" s="72"/>
    </row>
    <row r="125" spans="1:27" ht="15" customHeight="1" x14ac:dyDescent="0.15">
      <c r="A125" s="67"/>
      <c r="B125" s="68"/>
      <c r="E125" s="68"/>
      <c r="F125" s="69"/>
      <c r="G125" s="68"/>
      <c r="H125" s="70"/>
      <c r="I125" s="70"/>
      <c r="J125" s="70"/>
      <c r="K125" s="70"/>
      <c r="L125" s="70"/>
      <c r="M125" s="70"/>
      <c r="N125" s="70"/>
      <c r="O125" s="70"/>
      <c r="P125" s="70"/>
      <c r="Q125" s="71"/>
      <c r="R125" s="71"/>
      <c r="S125" s="71"/>
      <c r="T125" s="71"/>
      <c r="U125" s="71"/>
      <c r="V125" s="71"/>
      <c r="W125" s="71"/>
      <c r="X125" s="71"/>
      <c r="Y125" s="72"/>
      <c r="Z125" s="72"/>
      <c r="AA125" s="72"/>
    </row>
    <row r="126" spans="1:27" ht="15" customHeight="1" x14ac:dyDescent="0.15">
      <c r="A126" s="67"/>
      <c r="B126" s="68"/>
      <c r="E126" s="68"/>
      <c r="F126" s="69"/>
      <c r="G126" s="68"/>
      <c r="H126" s="70"/>
      <c r="I126" s="70"/>
      <c r="J126" s="70"/>
      <c r="K126" s="70"/>
      <c r="L126" s="70"/>
      <c r="M126" s="70"/>
      <c r="N126" s="70"/>
      <c r="O126" s="70"/>
      <c r="P126" s="70"/>
      <c r="Q126" s="71"/>
      <c r="R126" s="71"/>
      <c r="S126" s="71"/>
      <c r="T126" s="71"/>
      <c r="U126" s="71"/>
      <c r="V126" s="71"/>
      <c r="W126" s="71"/>
      <c r="X126" s="71"/>
      <c r="Y126" s="72"/>
      <c r="Z126" s="72"/>
      <c r="AA126" s="72"/>
    </row>
    <row r="127" spans="1:27" ht="15" customHeight="1" x14ac:dyDescent="0.15">
      <c r="A127" s="67"/>
      <c r="B127" s="68"/>
      <c r="E127" s="68"/>
      <c r="F127" s="69"/>
      <c r="G127" s="68"/>
      <c r="H127" s="70"/>
      <c r="I127" s="70"/>
      <c r="J127" s="70"/>
      <c r="K127" s="70"/>
      <c r="L127" s="70"/>
      <c r="M127" s="70"/>
      <c r="N127" s="70"/>
      <c r="O127" s="70"/>
      <c r="P127" s="70"/>
      <c r="Q127" s="71"/>
      <c r="R127" s="71"/>
      <c r="S127" s="71"/>
      <c r="T127" s="71"/>
      <c r="U127" s="71"/>
      <c r="V127" s="71"/>
      <c r="W127" s="71"/>
      <c r="X127" s="71"/>
      <c r="Y127" s="72"/>
      <c r="Z127" s="72"/>
      <c r="AA127" s="72"/>
    </row>
    <row r="128" spans="1:27" ht="15" customHeight="1" x14ac:dyDescent="0.15">
      <c r="A128" s="67"/>
      <c r="B128" s="68"/>
      <c r="E128" s="68"/>
      <c r="F128" s="69"/>
      <c r="G128" s="68"/>
      <c r="H128" s="70"/>
      <c r="I128" s="70"/>
      <c r="J128" s="70"/>
      <c r="K128" s="70"/>
      <c r="L128" s="70"/>
      <c r="M128" s="70"/>
      <c r="N128" s="70"/>
      <c r="O128" s="70"/>
      <c r="P128" s="70"/>
      <c r="Q128" s="71"/>
      <c r="R128" s="71"/>
      <c r="S128" s="71"/>
      <c r="T128" s="71"/>
      <c r="U128" s="71"/>
      <c r="V128" s="71"/>
      <c r="W128" s="71"/>
      <c r="X128" s="71"/>
      <c r="Y128" s="72"/>
      <c r="Z128" s="72"/>
      <c r="AA128" s="72"/>
    </row>
    <row r="129" spans="1:27" ht="15" customHeight="1" x14ac:dyDescent="0.15">
      <c r="A129" s="67"/>
      <c r="B129" s="68"/>
      <c r="E129" s="68"/>
      <c r="F129" s="69"/>
      <c r="G129" s="68"/>
      <c r="H129" s="70"/>
      <c r="I129" s="70"/>
      <c r="J129" s="70"/>
      <c r="K129" s="70"/>
      <c r="L129" s="70"/>
      <c r="M129" s="70"/>
      <c r="N129" s="70"/>
      <c r="O129" s="70"/>
      <c r="P129" s="70"/>
      <c r="Q129" s="71"/>
      <c r="R129" s="71"/>
      <c r="S129" s="71"/>
      <c r="T129" s="71"/>
      <c r="U129" s="71"/>
      <c r="V129" s="71"/>
      <c r="W129" s="71"/>
      <c r="X129" s="71"/>
      <c r="Y129" s="72"/>
      <c r="Z129" s="72"/>
      <c r="AA129" s="72"/>
    </row>
    <row r="130" spans="1:27" ht="15" customHeight="1" x14ac:dyDescent="0.15">
      <c r="A130" s="67"/>
      <c r="B130" s="68"/>
      <c r="E130" s="68"/>
      <c r="F130" s="69"/>
      <c r="G130" s="68"/>
      <c r="H130" s="70"/>
      <c r="I130" s="70"/>
      <c r="J130" s="70"/>
      <c r="K130" s="70"/>
      <c r="L130" s="70"/>
      <c r="M130" s="70"/>
      <c r="N130" s="70"/>
      <c r="O130" s="70"/>
      <c r="P130" s="70"/>
      <c r="Q130" s="71"/>
      <c r="R130" s="71"/>
      <c r="S130" s="71"/>
      <c r="T130" s="71"/>
      <c r="U130" s="71"/>
      <c r="V130" s="71"/>
      <c r="W130" s="71"/>
      <c r="X130" s="71"/>
      <c r="Y130" s="72"/>
      <c r="Z130" s="72"/>
      <c r="AA130" s="72"/>
    </row>
    <row r="131" spans="1:27" ht="15" customHeight="1" x14ac:dyDescent="0.15">
      <c r="A131" s="67"/>
      <c r="B131" s="68"/>
      <c r="E131" s="68"/>
      <c r="F131" s="69"/>
      <c r="G131" s="68"/>
      <c r="H131" s="70"/>
      <c r="I131" s="70"/>
      <c r="J131" s="70"/>
      <c r="K131" s="70"/>
      <c r="L131" s="70"/>
      <c r="M131" s="70"/>
      <c r="N131" s="70"/>
      <c r="O131" s="70"/>
      <c r="P131" s="70"/>
      <c r="Q131" s="71"/>
      <c r="R131" s="71"/>
      <c r="S131" s="71"/>
      <c r="T131" s="71"/>
      <c r="U131" s="71"/>
      <c r="V131" s="71"/>
      <c r="W131" s="71"/>
      <c r="X131" s="71"/>
      <c r="Y131" s="72"/>
      <c r="Z131" s="72"/>
      <c r="AA131" s="72"/>
    </row>
    <row r="132" spans="1:27" ht="15" customHeight="1" x14ac:dyDescent="0.15">
      <c r="A132" s="67"/>
      <c r="B132" s="68"/>
      <c r="E132" s="68"/>
      <c r="F132" s="69"/>
      <c r="G132" s="68"/>
      <c r="H132" s="70"/>
      <c r="I132" s="70"/>
      <c r="J132" s="70"/>
      <c r="K132" s="70"/>
      <c r="L132" s="70"/>
      <c r="M132" s="70"/>
      <c r="N132" s="70"/>
      <c r="O132" s="70"/>
      <c r="P132" s="70"/>
      <c r="Q132" s="71"/>
      <c r="R132" s="71"/>
      <c r="S132" s="71"/>
      <c r="T132" s="71"/>
      <c r="U132" s="71"/>
      <c r="V132" s="71"/>
      <c r="W132" s="71"/>
      <c r="X132" s="71"/>
      <c r="Y132" s="72"/>
      <c r="Z132" s="72"/>
      <c r="AA132" s="72"/>
    </row>
    <row r="133" spans="1:27" ht="15" customHeight="1" x14ac:dyDescent="0.15">
      <c r="A133" s="67"/>
      <c r="B133" s="68"/>
      <c r="E133" s="68"/>
      <c r="F133" s="69"/>
      <c r="G133" s="68"/>
      <c r="H133" s="70"/>
      <c r="I133" s="70"/>
      <c r="J133" s="70"/>
      <c r="K133" s="70"/>
      <c r="L133" s="70"/>
      <c r="M133" s="70"/>
      <c r="N133" s="70"/>
      <c r="O133" s="70"/>
      <c r="P133" s="70"/>
      <c r="Q133" s="71"/>
      <c r="R133" s="71"/>
      <c r="S133" s="71"/>
      <c r="T133" s="71"/>
      <c r="U133" s="71"/>
      <c r="V133" s="71"/>
      <c r="W133" s="71"/>
      <c r="X133" s="71"/>
      <c r="Y133" s="72"/>
      <c r="Z133" s="72"/>
      <c r="AA133" s="72"/>
    </row>
    <row r="134" spans="1:27" ht="15" customHeight="1" x14ac:dyDescent="0.15">
      <c r="A134" s="67"/>
      <c r="B134" s="68"/>
      <c r="E134" s="68"/>
      <c r="F134" s="69"/>
      <c r="G134" s="68"/>
      <c r="H134" s="70"/>
      <c r="I134" s="70"/>
      <c r="J134" s="70"/>
      <c r="K134" s="70"/>
      <c r="L134" s="70"/>
      <c r="M134" s="70"/>
      <c r="N134" s="70"/>
      <c r="O134" s="70"/>
      <c r="P134" s="70"/>
      <c r="Q134" s="71"/>
      <c r="R134" s="71"/>
      <c r="S134" s="71"/>
      <c r="T134" s="71"/>
      <c r="U134" s="71"/>
      <c r="V134" s="71"/>
      <c r="W134" s="71"/>
      <c r="X134" s="71"/>
      <c r="Y134" s="72"/>
      <c r="Z134" s="72"/>
      <c r="AA134" s="72"/>
    </row>
    <row r="135" spans="1:27" ht="15" customHeight="1" x14ac:dyDescent="0.15">
      <c r="A135" s="67"/>
      <c r="B135" s="68"/>
      <c r="E135" s="68"/>
      <c r="F135" s="69"/>
      <c r="G135" s="68"/>
      <c r="H135" s="70"/>
      <c r="I135" s="70"/>
      <c r="J135" s="70"/>
      <c r="K135" s="70"/>
      <c r="L135" s="70"/>
      <c r="M135" s="70"/>
      <c r="N135" s="70"/>
      <c r="O135" s="70"/>
      <c r="P135" s="70"/>
      <c r="Q135" s="71"/>
      <c r="R135" s="71"/>
      <c r="S135" s="71"/>
      <c r="T135" s="71"/>
      <c r="U135" s="71"/>
      <c r="V135" s="71"/>
      <c r="W135" s="71"/>
      <c r="X135" s="71"/>
      <c r="Y135" s="72"/>
      <c r="Z135" s="72"/>
      <c r="AA135" s="72"/>
    </row>
    <row r="136" spans="1:27" ht="15" customHeight="1" x14ac:dyDescent="0.15">
      <c r="A136" s="67"/>
      <c r="B136" s="68"/>
      <c r="E136" s="68"/>
      <c r="F136" s="69"/>
      <c r="G136" s="68"/>
      <c r="H136" s="70"/>
      <c r="I136" s="70"/>
      <c r="J136" s="70"/>
      <c r="K136" s="70"/>
      <c r="L136" s="70"/>
      <c r="M136" s="70"/>
      <c r="N136" s="70"/>
      <c r="O136" s="70"/>
      <c r="P136" s="70"/>
      <c r="Q136" s="71"/>
      <c r="R136" s="71"/>
      <c r="S136" s="71"/>
      <c r="T136" s="71"/>
      <c r="U136" s="71"/>
      <c r="V136" s="71"/>
      <c r="W136" s="71"/>
      <c r="X136" s="71"/>
      <c r="Y136" s="72"/>
      <c r="Z136" s="72"/>
      <c r="AA136" s="72"/>
    </row>
    <row r="137" spans="1:27" ht="15" customHeight="1" x14ac:dyDescent="0.15">
      <c r="A137" s="67"/>
      <c r="B137" s="68"/>
      <c r="E137" s="68"/>
      <c r="F137" s="69"/>
      <c r="G137" s="68"/>
      <c r="H137" s="70"/>
      <c r="I137" s="70"/>
      <c r="J137" s="70"/>
      <c r="K137" s="70"/>
      <c r="L137" s="70"/>
      <c r="M137" s="70"/>
      <c r="N137" s="70"/>
      <c r="O137" s="70"/>
      <c r="P137" s="70"/>
      <c r="Q137" s="71"/>
      <c r="R137" s="71"/>
      <c r="S137" s="71"/>
      <c r="T137" s="71"/>
      <c r="U137" s="71"/>
      <c r="V137" s="71"/>
      <c r="W137" s="71"/>
      <c r="X137" s="71"/>
      <c r="Y137" s="72"/>
      <c r="Z137" s="72"/>
      <c r="AA137" s="72"/>
    </row>
    <row r="138" spans="1:27" ht="15" customHeight="1" x14ac:dyDescent="0.15">
      <c r="A138" s="67"/>
      <c r="B138" s="68"/>
      <c r="E138" s="68"/>
      <c r="F138" s="69"/>
      <c r="G138" s="68"/>
      <c r="H138" s="70"/>
      <c r="I138" s="70"/>
      <c r="J138" s="70"/>
      <c r="K138" s="70"/>
      <c r="L138" s="70"/>
      <c r="M138" s="70"/>
      <c r="N138" s="70"/>
      <c r="O138" s="70"/>
      <c r="P138" s="70"/>
      <c r="Q138" s="71"/>
      <c r="R138" s="71"/>
      <c r="S138" s="71"/>
      <c r="T138" s="71"/>
      <c r="U138" s="71"/>
      <c r="V138" s="71"/>
      <c r="W138" s="71"/>
      <c r="X138" s="71"/>
      <c r="Y138" s="72"/>
      <c r="Z138" s="72"/>
      <c r="AA138" s="72"/>
    </row>
    <row r="139" spans="1:27" ht="15" customHeight="1" x14ac:dyDescent="0.15">
      <c r="A139" s="67"/>
      <c r="B139" s="68"/>
      <c r="E139" s="68"/>
      <c r="F139" s="69"/>
      <c r="G139" s="68"/>
      <c r="H139" s="70"/>
      <c r="I139" s="70"/>
      <c r="J139" s="70"/>
      <c r="K139" s="70"/>
      <c r="L139" s="70"/>
      <c r="M139" s="70"/>
      <c r="N139" s="70"/>
      <c r="O139" s="70"/>
      <c r="P139" s="70"/>
      <c r="Q139" s="71"/>
      <c r="R139" s="71"/>
      <c r="S139" s="71"/>
      <c r="T139" s="71"/>
      <c r="U139" s="71"/>
      <c r="V139" s="71"/>
      <c r="W139" s="71"/>
      <c r="X139" s="71"/>
      <c r="Y139" s="72"/>
      <c r="Z139" s="72"/>
      <c r="AA139" s="72"/>
    </row>
    <row r="140" spans="1:27" ht="15" customHeight="1" x14ac:dyDescent="0.15">
      <c r="A140" s="67"/>
      <c r="B140" s="68"/>
      <c r="E140" s="68"/>
      <c r="F140" s="69"/>
      <c r="G140" s="68"/>
      <c r="H140" s="70"/>
      <c r="I140" s="70"/>
      <c r="J140" s="70"/>
      <c r="K140" s="70"/>
      <c r="L140" s="70"/>
      <c r="M140" s="70"/>
      <c r="N140" s="70"/>
      <c r="O140" s="70"/>
      <c r="P140" s="70"/>
      <c r="Q140" s="71"/>
      <c r="R140" s="71"/>
      <c r="S140" s="71"/>
      <c r="T140" s="71"/>
      <c r="U140" s="71"/>
      <c r="V140" s="71"/>
      <c r="W140" s="71"/>
      <c r="X140" s="71"/>
      <c r="Y140" s="72"/>
      <c r="Z140" s="72"/>
      <c r="AA140" s="72"/>
    </row>
    <row r="141" spans="1:27" ht="15" customHeight="1" x14ac:dyDescent="0.15">
      <c r="A141" s="67"/>
      <c r="B141" s="68"/>
      <c r="E141" s="68"/>
      <c r="F141" s="69"/>
      <c r="G141" s="68"/>
      <c r="H141" s="70"/>
      <c r="I141" s="70"/>
      <c r="J141" s="70"/>
      <c r="K141" s="70"/>
      <c r="L141" s="70"/>
      <c r="M141" s="70"/>
      <c r="N141" s="70"/>
      <c r="O141" s="70"/>
      <c r="P141" s="70"/>
      <c r="Q141" s="71"/>
      <c r="R141" s="71"/>
      <c r="S141" s="71"/>
      <c r="T141" s="71"/>
      <c r="U141" s="71"/>
      <c r="V141" s="71"/>
      <c r="W141" s="71"/>
      <c r="X141" s="71"/>
      <c r="Y141" s="72"/>
      <c r="Z141" s="72"/>
      <c r="AA141" s="72"/>
    </row>
    <row r="142" spans="1:27" ht="15" customHeight="1" x14ac:dyDescent="0.15">
      <c r="A142" s="67"/>
      <c r="B142" s="68"/>
      <c r="E142" s="68"/>
      <c r="F142" s="69"/>
      <c r="G142" s="68"/>
      <c r="H142" s="70"/>
      <c r="I142" s="70"/>
      <c r="J142" s="70"/>
      <c r="K142" s="70"/>
      <c r="L142" s="70"/>
      <c r="M142" s="70"/>
      <c r="N142" s="70"/>
      <c r="O142" s="70"/>
      <c r="P142" s="70"/>
      <c r="Q142" s="71"/>
      <c r="R142" s="71"/>
      <c r="S142" s="71"/>
      <c r="T142" s="71"/>
      <c r="U142" s="71"/>
      <c r="V142" s="71"/>
      <c r="W142" s="71"/>
      <c r="X142" s="71"/>
      <c r="Y142" s="72"/>
      <c r="Z142" s="72"/>
      <c r="AA142" s="72"/>
    </row>
    <row r="143" spans="1:27" ht="15" customHeight="1" x14ac:dyDescent="0.15">
      <c r="A143" s="67"/>
      <c r="B143" s="68"/>
      <c r="E143" s="68"/>
      <c r="F143" s="69"/>
      <c r="G143" s="68"/>
      <c r="H143" s="70"/>
      <c r="I143" s="70"/>
      <c r="J143" s="70"/>
      <c r="K143" s="70"/>
      <c r="L143" s="70"/>
      <c r="M143" s="70"/>
      <c r="N143" s="70"/>
      <c r="O143" s="70"/>
      <c r="P143" s="70"/>
      <c r="Q143" s="71"/>
      <c r="R143" s="71"/>
      <c r="S143" s="71"/>
      <c r="T143" s="71"/>
      <c r="U143" s="71"/>
      <c r="V143" s="71"/>
      <c r="W143" s="71"/>
      <c r="X143" s="71"/>
      <c r="Y143" s="72"/>
      <c r="Z143" s="72"/>
      <c r="AA143" s="72"/>
    </row>
    <row r="144" spans="1:27" ht="15" customHeight="1" x14ac:dyDescent="0.15">
      <c r="A144" s="67"/>
      <c r="B144" s="68"/>
      <c r="E144" s="68"/>
      <c r="F144" s="69"/>
      <c r="G144" s="68"/>
      <c r="H144" s="70"/>
      <c r="I144" s="70"/>
      <c r="J144" s="70"/>
      <c r="K144" s="70"/>
      <c r="L144" s="70"/>
      <c r="M144" s="70"/>
      <c r="N144" s="70"/>
      <c r="O144" s="70"/>
      <c r="P144" s="70"/>
      <c r="Q144" s="71"/>
      <c r="R144" s="71"/>
      <c r="S144" s="71"/>
      <c r="T144" s="71"/>
      <c r="U144" s="71"/>
      <c r="V144" s="71"/>
      <c r="W144" s="71"/>
      <c r="X144" s="71"/>
      <c r="Y144" s="72"/>
      <c r="Z144" s="72"/>
      <c r="AA144" s="72"/>
    </row>
    <row r="145" spans="1:27" ht="15" customHeight="1" x14ac:dyDescent="0.15">
      <c r="A145" s="67"/>
      <c r="B145" s="68"/>
      <c r="E145" s="68"/>
      <c r="F145" s="69"/>
      <c r="G145" s="68"/>
      <c r="H145" s="70"/>
      <c r="I145" s="70"/>
      <c r="J145" s="70"/>
      <c r="K145" s="70"/>
      <c r="L145" s="70"/>
      <c r="M145" s="70"/>
      <c r="N145" s="70"/>
      <c r="O145" s="70"/>
      <c r="P145" s="70"/>
      <c r="Q145" s="71"/>
      <c r="R145" s="71"/>
      <c r="S145" s="71"/>
      <c r="T145" s="71"/>
      <c r="U145" s="71"/>
      <c r="V145" s="71"/>
      <c r="W145" s="71"/>
      <c r="X145" s="71"/>
      <c r="Y145" s="72"/>
      <c r="Z145" s="72"/>
      <c r="AA145" s="72"/>
    </row>
    <row r="146" spans="1:27" ht="15" customHeight="1" x14ac:dyDescent="0.15">
      <c r="A146" s="67"/>
      <c r="B146" s="68"/>
      <c r="E146" s="68"/>
      <c r="F146" s="69"/>
      <c r="G146" s="68"/>
      <c r="H146" s="70"/>
      <c r="I146" s="70"/>
      <c r="J146" s="70"/>
      <c r="K146" s="70"/>
      <c r="L146" s="70"/>
      <c r="M146" s="70"/>
      <c r="N146" s="70"/>
      <c r="O146" s="70"/>
      <c r="P146" s="70"/>
      <c r="Q146" s="71"/>
      <c r="R146" s="71"/>
      <c r="S146" s="71"/>
      <c r="T146" s="71"/>
      <c r="U146" s="71"/>
      <c r="V146" s="71"/>
      <c r="W146" s="71"/>
      <c r="X146" s="71"/>
      <c r="Y146" s="72"/>
      <c r="Z146" s="72"/>
      <c r="AA146" s="72"/>
    </row>
    <row r="147" spans="1:27" ht="15" customHeight="1" x14ac:dyDescent="0.15">
      <c r="A147" s="67"/>
      <c r="B147" s="68"/>
      <c r="E147" s="68"/>
      <c r="F147" s="69"/>
      <c r="G147" s="68"/>
      <c r="H147" s="70"/>
      <c r="I147" s="70"/>
      <c r="J147" s="70"/>
      <c r="K147" s="70"/>
      <c r="L147" s="70"/>
      <c r="M147" s="70"/>
      <c r="N147" s="70"/>
      <c r="O147" s="70"/>
      <c r="P147" s="70"/>
      <c r="Q147" s="71"/>
      <c r="R147" s="71"/>
      <c r="S147" s="71"/>
      <c r="T147" s="71"/>
      <c r="U147" s="71"/>
      <c r="V147" s="71"/>
      <c r="W147" s="71"/>
      <c r="X147" s="71"/>
      <c r="Y147" s="72"/>
      <c r="Z147" s="72"/>
      <c r="AA147" s="72"/>
    </row>
    <row r="148" spans="1:27" ht="15" customHeight="1" x14ac:dyDescent="0.15">
      <c r="A148" s="67"/>
      <c r="B148" s="68"/>
      <c r="E148" s="68"/>
      <c r="F148" s="69"/>
      <c r="G148" s="68"/>
      <c r="H148" s="70"/>
      <c r="I148" s="70"/>
      <c r="J148" s="70"/>
      <c r="K148" s="70"/>
      <c r="L148" s="70"/>
      <c r="M148" s="70"/>
      <c r="N148" s="70"/>
      <c r="O148" s="70"/>
      <c r="P148" s="70"/>
      <c r="Q148" s="71"/>
      <c r="R148" s="71"/>
      <c r="S148" s="71"/>
      <c r="T148" s="71"/>
      <c r="U148" s="71"/>
      <c r="V148" s="71"/>
      <c r="W148" s="71"/>
      <c r="X148" s="71"/>
      <c r="Y148" s="72"/>
      <c r="Z148" s="72"/>
      <c r="AA148" s="72"/>
    </row>
    <row r="149" spans="1:27" ht="15" customHeight="1" x14ac:dyDescent="0.15">
      <c r="A149" s="67"/>
      <c r="B149" s="68"/>
      <c r="E149" s="68"/>
      <c r="F149" s="69"/>
      <c r="G149" s="68"/>
      <c r="H149" s="70"/>
      <c r="I149" s="70"/>
      <c r="J149" s="70"/>
      <c r="K149" s="70"/>
      <c r="L149" s="70"/>
      <c r="M149" s="70"/>
      <c r="N149" s="70"/>
      <c r="O149" s="70"/>
      <c r="P149" s="70"/>
      <c r="Q149" s="71"/>
      <c r="R149" s="71"/>
      <c r="S149" s="71"/>
      <c r="T149" s="71"/>
      <c r="U149" s="71"/>
      <c r="V149" s="71"/>
      <c r="W149" s="71"/>
      <c r="X149" s="71"/>
      <c r="Y149" s="72"/>
      <c r="Z149" s="72"/>
      <c r="AA149" s="72"/>
    </row>
    <row r="150" spans="1:27" ht="15" customHeight="1" x14ac:dyDescent="0.15">
      <c r="A150" s="67"/>
      <c r="B150" s="68"/>
      <c r="E150" s="68"/>
      <c r="F150" s="69"/>
      <c r="G150" s="68"/>
      <c r="H150" s="70"/>
      <c r="I150" s="70"/>
      <c r="J150" s="70"/>
      <c r="K150" s="70"/>
      <c r="L150" s="70"/>
      <c r="M150" s="70"/>
      <c r="N150" s="70"/>
      <c r="O150" s="70"/>
      <c r="P150" s="70"/>
      <c r="Q150" s="71"/>
      <c r="R150" s="71"/>
      <c r="S150" s="71"/>
      <c r="T150" s="71"/>
      <c r="U150" s="71"/>
      <c r="V150" s="71"/>
      <c r="W150" s="71"/>
      <c r="X150" s="71"/>
      <c r="Y150" s="72"/>
      <c r="Z150" s="72"/>
      <c r="AA150" s="72"/>
    </row>
    <row r="151" spans="1:27" ht="15" customHeight="1" x14ac:dyDescent="0.15">
      <c r="A151" s="67"/>
      <c r="B151" s="68"/>
      <c r="E151" s="68"/>
      <c r="F151" s="69"/>
      <c r="G151" s="68"/>
      <c r="H151" s="70"/>
      <c r="I151" s="70"/>
      <c r="J151" s="70"/>
      <c r="K151" s="70"/>
      <c r="L151" s="70"/>
      <c r="M151" s="70"/>
      <c r="N151" s="70"/>
      <c r="O151" s="70"/>
      <c r="P151" s="70"/>
      <c r="Q151" s="71"/>
      <c r="R151" s="71"/>
      <c r="S151" s="71"/>
      <c r="T151" s="71"/>
      <c r="U151" s="71"/>
      <c r="V151" s="71"/>
      <c r="W151" s="71"/>
      <c r="X151" s="71"/>
      <c r="Y151" s="72"/>
      <c r="Z151" s="72"/>
      <c r="AA151" s="72"/>
    </row>
    <row r="152" spans="1:27" ht="15" customHeight="1" x14ac:dyDescent="0.15">
      <c r="A152" s="67"/>
      <c r="B152" s="68"/>
      <c r="E152" s="68"/>
      <c r="F152" s="69"/>
      <c r="G152" s="68"/>
      <c r="H152" s="70"/>
      <c r="I152" s="70"/>
      <c r="J152" s="70"/>
      <c r="K152" s="70"/>
      <c r="L152" s="70"/>
      <c r="M152" s="70"/>
      <c r="N152" s="70"/>
      <c r="O152" s="70"/>
      <c r="P152" s="70"/>
      <c r="Q152" s="71"/>
      <c r="R152" s="71"/>
      <c r="S152" s="71"/>
      <c r="T152" s="71"/>
      <c r="U152" s="71"/>
      <c r="V152" s="71"/>
      <c r="W152" s="71"/>
      <c r="X152" s="71"/>
      <c r="Y152" s="72"/>
      <c r="Z152" s="72"/>
      <c r="AA152" s="72"/>
    </row>
    <row r="153" spans="1:27" ht="15" customHeight="1" x14ac:dyDescent="0.15">
      <c r="A153" s="67"/>
      <c r="B153" s="68"/>
      <c r="E153" s="68"/>
      <c r="F153" s="69"/>
      <c r="G153" s="68"/>
      <c r="H153" s="70"/>
      <c r="I153" s="70"/>
      <c r="J153" s="70"/>
      <c r="K153" s="70"/>
      <c r="L153" s="70"/>
      <c r="M153" s="70"/>
      <c r="N153" s="70"/>
      <c r="O153" s="70"/>
      <c r="P153" s="70"/>
      <c r="Q153" s="71"/>
      <c r="R153" s="71"/>
      <c r="S153" s="71"/>
      <c r="T153" s="71"/>
      <c r="U153" s="71"/>
      <c r="V153" s="71"/>
      <c r="W153" s="71"/>
      <c r="X153" s="71"/>
      <c r="Y153" s="72"/>
      <c r="Z153" s="72"/>
      <c r="AA153" s="72"/>
    </row>
    <row r="154" spans="1:27" ht="15" customHeight="1" x14ac:dyDescent="0.15">
      <c r="A154" s="67"/>
      <c r="B154" s="68"/>
      <c r="E154" s="68"/>
      <c r="F154" s="69"/>
      <c r="G154" s="68"/>
      <c r="H154" s="70"/>
      <c r="I154" s="70"/>
      <c r="J154" s="70"/>
      <c r="K154" s="70"/>
      <c r="L154" s="70"/>
      <c r="M154" s="70"/>
      <c r="N154" s="70"/>
      <c r="O154" s="70"/>
      <c r="P154" s="70"/>
      <c r="Q154" s="71"/>
      <c r="R154" s="71"/>
      <c r="S154" s="71"/>
      <c r="T154" s="71"/>
      <c r="U154" s="71"/>
      <c r="V154" s="71"/>
      <c r="W154" s="71"/>
      <c r="X154" s="71"/>
      <c r="Y154" s="72"/>
      <c r="Z154" s="72"/>
      <c r="AA154" s="72"/>
    </row>
    <row r="155" spans="1:27" ht="15" customHeight="1" x14ac:dyDescent="0.15">
      <c r="A155" s="67"/>
      <c r="B155" s="68"/>
      <c r="E155" s="68"/>
      <c r="F155" s="69"/>
      <c r="G155" s="68"/>
      <c r="H155" s="70"/>
      <c r="I155" s="70"/>
      <c r="J155" s="70"/>
      <c r="K155" s="70"/>
      <c r="L155" s="70"/>
      <c r="M155" s="70"/>
      <c r="N155" s="70"/>
      <c r="O155" s="70"/>
      <c r="P155" s="70"/>
      <c r="Q155" s="71"/>
      <c r="R155" s="71"/>
      <c r="S155" s="71"/>
      <c r="T155" s="71"/>
      <c r="U155" s="71"/>
      <c r="V155" s="71"/>
      <c r="W155" s="71"/>
      <c r="X155" s="71"/>
      <c r="Y155" s="72"/>
      <c r="Z155" s="72"/>
      <c r="AA155" s="72"/>
    </row>
    <row r="156" spans="1:27" ht="15" customHeight="1" x14ac:dyDescent="0.15">
      <c r="A156" s="67"/>
      <c r="B156" s="68"/>
      <c r="E156" s="68"/>
      <c r="F156" s="69"/>
      <c r="G156" s="68"/>
      <c r="H156" s="70"/>
      <c r="I156" s="70"/>
      <c r="J156" s="70"/>
      <c r="K156" s="70"/>
      <c r="L156" s="70"/>
      <c r="M156" s="70"/>
      <c r="N156" s="70"/>
      <c r="O156" s="70"/>
      <c r="P156" s="70"/>
      <c r="Q156" s="71"/>
      <c r="R156" s="71"/>
      <c r="S156" s="71"/>
      <c r="T156" s="71"/>
      <c r="U156" s="71"/>
      <c r="V156" s="71"/>
      <c r="W156" s="71"/>
      <c r="X156" s="71"/>
      <c r="Y156" s="72"/>
      <c r="Z156" s="72"/>
      <c r="AA156" s="72"/>
    </row>
    <row r="157" spans="1:27" ht="15" customHeight="1" x14ac:dyDescent="0.15">
      <c r="A157" s="67"/>
      <c r="B157" s="68"/>
      <c r="E157" s="68"/>
      <c r="F157" s="69"/>
      <c r="G157" s="68"/>
      <c r="H157" s="70"/>
      <c r="I157" s="70"/>
      <c r="J157" s="70"/>
      <c r="K157" s="70"/>
      <c r="L157" s="70"/>
      <c r="M157" s="70"/>
      <c r="N157" s="70"/>
      <c r="O157" s="70"/>
      <c r="P157" s="70"/>
      <c r="Q157" s="71"/>
      <c r="R157" s="71"/>
      <c r="S157" s="71"/>
      <c r="T157" s="71"/>
      <c r="U157" s="71"/>
      <c r="V157" s="71"/>
      <c r="W157" s="71"/>
      <c r="X157" s="71"/>
      <c r="Y157" s="72"/>
      <c r="Z157" s="72"/>
      <c r="AA157" s="72"/>
    </row>
    <row r="158" spans="1:27" ht="15" customHeight="1" x14ac:dyDescent="0.15">
      <c r="A158" s="67"/>
      <c r="B158" s="68"/>
      <c r="E158" s="68"/>
      <c r="F158" s="69"/>
      <c r="G158" s="68"/>
      <c r="H158" s="70"/>
      <c r="I158" s="70"/>
      <c r="J158" s="70"/>
      <c r="K158" s="70"/>
      <c r="L158" s="70"/>
      <c r="M158" s="70"/>
      <c r="N158" s="70"/>
      <c r="O158" s="70"/>
      <c r="P158" s="70"/>
      <c r="Q158" s="71"/>
      <c r="R158" s="71"/>
      <c r="S158" s="71"/>
      <c r="T158" s="71"/>
      <c r="U158" s="71"/>
      <c r="V158" s="71"/>
      <c r="W158" s="71"/>
      <c r="X158" s="71"/>
      <c r="Y158" s="72"/>
      <c r="Z158" s="72"/>
      <c r="AA158" s="72"/>
    </row>
    <row r="159" spans="1:27" ht="15" customHeight="1" x14ac:dyDescent="0.15">
      <c r="A159" s="67"/>
      <c r="B159" s="68"/>
      <c r="E159" s="68"/>
      <c r="F159" s="69"/>
      <c r="G159" s="68"/>
      <c r="H159" s="70"/>
      <c r="I159" s="70"/>
      <c r="J159" s="70"/>
      <c r="K159" s="70"/>
      <c r="L159" s="70"/>
      <c r="M159" s="70"/>
      <c r="N159" s="70"/>
      <c r="O159" s="70"/>
      <c r="P159" s="70"/>
      <c r="Q159" s="71"/>
      <c r="R159" s="71"/>
      <c r="S159" s="71"/>
      <c r="T159" s="71"/>
      <c r="U159" s="71"/>
      <c r="V159" s="71"/>
      <c r="W159" s="71"/>
      <c r="X159" s="71"/>
      <c r="Y159" s="72"/>
      <c r="Z159" s="72"/>
      <c r="AA159" s="72"/>
    </row>
    <row r="160" spans="1:27" ht="15" customHeight="1" x14ac:dyDescent="0.15">
      <c r="A160" s="67"/>
      <c r="B160" s="68"/>
      <c r="E160" s="68"/>
      <c r="F160" s="69"/>
      <c r="G160" s="68"/>
      <c r="H160" s="70"/>
      <c r="I160" s="70"/>
      <c r="J160" s="70"/>
      <c r="K160" s="70"/>
      <c r="L160" s="70"/>
      <c r="M160" s="70"/>
      <c r="N160" s="70"/>
      <c r="O160" s="70"/>
      <c r="P160" s="70"/>
      <c r="Q160" s="71"/>
      <c r="R160" s="71"/>
      <c r="S160" s="71"/>
      <c r="T160" s="71"/>
      <c r="U160" s="71"/>
      <c r="V160" s="71"/>
      <c r="W160" s="71"/>
      <c r="X160" s="71"/>
      <c r="Y160" s="72"/>
      <c r="Z160" s="72"/>
      <c r="AA160" s="72"/>
    </row>
    <row r="161" spans="1:27" ht="15" customHeight="1" x14ac:dyDescent="0.15">
      <c r="A161" s="67"/>
      <c r="B161" s="68"/>
      <c r="E161" s="68"/>
      <c r="F161" s="69"/>
      <c r="G161" s="68"/>
      <c r="H161" s="70"/>
      <c r="I161" s="70"/>
      <c r="J161" s="70"/>
      <c r="K161" s="70"/>
      <c r="L161" s="70"/>
      <c r="M161" s="70"/>
      <c r="N161" s="70"/>
      <c r="O161" s="70"/>
      <c r="P161" s="70"/>
      <c r="Q161" s="71"/>
      <c r="R161" s="71"/>
      <c r="S161" s="71"/>
      <c r="T161" s="71"/>
      <c r="U161" s="71"/>
      <c r="V161" s="71"/>
      <c r="W161" s="71"/>
      <c r="X161" s="71"/>
      <c r="Y161" s="72"/>
      <c r="Z161" s="72"/>
      <c r="AA161" s="72"/>
    </row>
    <row r="162" spans="1:27" ht="15" customHeight="1" x14ac:dyDescent="0.15">
      <c r="A162" s="67"/>
      <c r="B162" s="68"/>
      <c r="E162" s="68"/>
      <c r="F162" s="69"/>
      <c r="G162" s="68"/>
      <c r="H162" s="70"/>
      <c r="I162" s="70"/>
      <c r="J162" s="70"/>
      <c r="K162" s="70"/>
      <c r="L162" s="70"/>
      <c r="M162" s="70"/>
      <c r="N162" s="70"/>
      <c r="O162" s="70"/>
      <c r="P162" s="70"/>
      <c r="Q162" s="71"/>
      <c r="R162" s="71"/>
      <c r="S162" s="71"/>
      <c r="T162" s="71"/>
      <c r="U162" s="71"/>
      <c r="V162" s="71"/>
      <c r="W162" s="71"/>
      <c r="X162" s="71"/>
      <c r="Y162" s="72"/>
      <c r="Z162" s="72"/>
      <c r="AA162" s="72"/>
    </row>
    <row r="163" spans="1:27" ht="15" customHeight="1" x14ac:dyDescent="0.15">
      <c r="A163" s="67"/>
      <c r="B163" s="68"/>
      <c r="E163" s="68"/>
      <c r="F163" s="69"/>
      <c r="G163" s="68"/>
      <c r="H163" s="70"/>
      <c r="I163" s="70"/>
      <c r="J163" s="70"/>
      <c r="K163" s="70"/>
      <c r="L163" s="70"/>
      <c r="M163" s="70"/>
      <c r="N163" s="70"/>
      <c r="O163" s="70"/>
      <c r="P163" s="70"/>
      <c r="Q163" s="71"/>
      <c r="R163" s="71"/>
      <c r="S163" s="71"/>
      <c r="T163" s="71"/>
      <c r="U163" s="71"/>
      <c r="V163" s="71"/>
      <c r="W163" s="71"/>
      <c r="X163" s="71"/>
      <c r="Y163" s="72"/>
      <c r="Z163" s="72"/>
      <c r="AA163" s="72"/>
    </row>
    <row r="164" spans="1:27" ht="15" customHeight="1" x14ac:dyDescent="0.15">
      <c r="A164" s="67"/>
      <c r="B164" s="68"/>
      <c r="E164" s="68"/>
      <c r="F164" s="69"/>
      <c r="G164" s="68"/>
      <c r="H164" s="70"/>
      <c r="I164" s="70"/>
      <c r="J164" s="70"/>
      <c r="K164" s="70"/>
      <c r="L164" s="70"/>
      <c r="M164" s="70"/>
      <c r="N164" s="70"/>
      <c r="O164" s="70"/>
      <c r="P164" s="70"/>
      <c r="Q164" s="71"/>
      <c r="R164" s="71"/>
      <c r="S164" s="71"/>
      <c r="T164" s="71"/>
      <c r="U164" s="71"/>
      <c r="V164" s="71"/>
      <c r="W164" s="71"/>
      <c r="X164" s="71"/>
      <c r="Y164" s="72"/>
      <c r="Z164" s="72"/>
      <c r="AA164" s="72"/>
    </row>
    <row r="165" spans="1:27" ht="15" customHeight="1" x14ac:dyDescent="0.15">
      <c r="A165" s="67"/>
      <c r="B165" s="68"/>
      <c r="E165" s="68"/>
      <c r="F165" s="69"/>
      <c r="G165" s="68"/>
      <c r="H165" s="70"/>
      <c r="I165" s="70"/>
      <c r="J165" s="70"/>
      <c r="K165" s="70"/>
      <c r="L165" s="70"/>
      <c r="M165" s="70"/>
      <c r="N165" s="70"/>
      <c r="O165" s="70"/>
      <c r="P165" s="70"/>
      <c r="Q165" s="71"/>
      <c r="R165" s="71"/>
      <c r="S165" s="71"/>
      <c r="T165" s="71"/>
      <c r="U165" s="71"/>
      <c r="V165" s="71"/>
      <c r="W165" s="71"/>
      <c r="X165" s="71"/>
      <c r="Y165" s="72"/>
      <c r="Z165" s="72"/>
      <c r="AA165" s="72"/>
    </row>
    <row r="166" spans="1:27" ht="15" customHeight="1" x14ac:dyDescent="0.15">
      <c r="A166" s="67"/>
      <c r="B166" s="68"/>
      <c r="E166" s="68"/>
      <c r="F166" s="69"/>
      <c r="G166" s="68"/>
      <c r="H166" s="70"/>
      <c r="I166" s="70"/>
      <c r="J166" s="70"/>
      <c r="K166" s="70"/>
      <c r="L166" s="70"/>
      <c r="M166" s="70"/>
      <c r="N166" s="70"/>
      <c r="O166" s="70"/>
      <c r="P166" s="70"/>
      <c r="Q166" s="71"/>
      <c r="R166" s="71"/>
      <c r="S166" s="71"/>
      <c r="T166" s="71"/>
      <c r="U166" s="71"/>
      <c r="V166" s="71"/>
      <c r="W166" s="71"/>
      <c r="X166" s="71"/>
      <c r="Y166" s="72"/>
      <c r="Z166" s="72"/>
      <c r="AA166" s="72"/>
    </row>
    <row r="167" spans="1:27" ht="15" customHeight="1" x14ac:dyDescent="0.15">
      <c r="A167" s="67"/>
      <c r="B167" s="68"/>
      <c r="E167" s="68"/>
      <c r="F167" s="69"/>
      <c r="G167" s="68"/>
      <c r="H167" s="70"/>
      <c r="I167" s="70"/>
      <c r="J167" s="70"/>
      <c r="K167" s="70"/>
      <c r="L167" s="70"/>
      <c r="M167" s="70"/>
      <c r="N167" s="70"/>
      <c r="O167" s="70"/>
      <c r="P167" s="70"/>
      <c r="Q167" s="71"/>
      <c r="R167" s="71"/>
      <c r="S167" s="71"/>
      <c r="T167" s="71"/>
      <c r="U167" s="71"/>
      <c r="V167" s="71"/>
      <c r="W167" s="71"/>
      <c r="X167" s="71"/>
      <c r="Y167" s="72"/>
      <c r="Z167" s="72"/>
      <c r="AA167" s="72"/>
    </row>
    <row r="168" spans="1:27" ht="15" customHeight="1" x14ac:dyDescent="0.15">
      <c r="A168" s="67"/>
      <c r="B168" s="68"/>
      <c r="E168" s="68"/>
      <c r="F168" s="69"/>
      <c r="G168" s="68"/>
      <c r="H168" s="70"/>
      <c r="I168" s="70"/>
      <c r="J168" s="70"/>
      <c r="K168" s="70"/>
      <c r="L168" s="70"/>
      <c r="M168" s="70"/>
      <c r="N168" s="70"/>
      <c r="O168" s="70"/>
      <c r="P168" s="70"/>
      <c r="Q168" s="71"/>
      <c r="R168" s="71"/>
      <c r="S168" s="71"/>
      <c r="T168" s="71"/>
      <c r="U168" s="71"/>
      <c r="V168" s="71"/>
      <c r="W168" s="71"/>
      <c r="X168" s="71"/>
      <c r="Y168" s="72"/>
      <c r="Z168" s="72"/>
      <c r="AA168" s="72"/>
    </row>
    <row r="169" spans="1:27" ht="15" customHeight="1" x14ac:dyDescent="0.15">
      <c r="A169" s="67"/>
      <c r="B169" s="68"/>
      <c r="E169" s="68"/>
      <c r="F169" s="69"/>
      <c r="G169" s="68"/>
      <c r="H169" s="70"/>
      <c r="I169" s="70"/>
      <c r="J169" s="70"/>
      <c r="K169" s="70"/>
      <c r="L169" s="70"/>
      <c r="M169" s="70"/>
      <c r="N169" s="70"/>
      <c r="O169" s="70"/>
      <c r="P169" s="70"/>
      <c r="Q169" s="71"/>
      <c r="R169" s="71"/>
      <c r="S169" s="71"/>
      <c r="T169" s="71"/>
      <c r="U169" s="71"/>
      <c r="V169" s="71"/>
      <c r="W169" s="71"/>
      <c r="X169" s="71"/>
      <c r="Y169" s="72"/>
      <c r="Z169" s="72"/>
      <c r="AA169" s="72"/>
    </row>
  </sheetData>
  <mergeCells count="26">
    <mergeCell ref="Y4:AA4"/>
    <mergeCell ref="AB4:AB5"/>
    <mergeCell ref="G4:G5"/>
    <mergeCell ref="H4:H5"/>
    <mergeCell ref="I4:K4"/>
    <mergeCell ref="L4:L5"/>
    <mergeCell ref="M4:M5"/>
    <mergeCell ref="N4:N5"/>
    <mergeCell ref="A1:X1"/>
    <mergeCell ref="A3:X3"/>
    <mergeCell ref="A2:X2"/>
    <mergeCell ref="O4:O5"/>
    <mergeCell ref="P4:P5"/>
    <mergeCell ref="Q4:T4"/>
    <mergeCell ref="U4:X4"/>
    <mergeCell ref="A4:A5"/>
    <mergeCell ref="B4:B5"/>
    <mergeCell ref="C4:C5"/>
    <mergeCell ref="D4:D5"/>
    <mergeCell ref="E4:E5"/>
    <mergeCell ref="F4:F5"/>
    <mergeCell ref="AC4:AD4"/>
    <mergeCell ref="AE4:AG4"/>
    <mergeCell ref="AH4:AJ4"/>
    <mergeCell ref="AK4:AL4"/>
    <mergeCell ref="AM4:AM5"/>
  </mergeCells>
  <pageMargins left="1.1875" right="0" top="0.80208333333333337" bottom="0.80208333333333337" header="0.40625" footer="0.40625"/>
  <pageSetup paperSize="9" orientation="landscape" blackAndWhite="1" verticalDpi="0"/>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6E6EC-3816-114B-A609-6EBF8A3FB0EE}">
  <dimension ref="A1:K52"/>
  <sheetViews>
    <sheetView showZeros="0" workbookViewId="0">
      <pane ySplit="4" topLeftCell="A36" activePane="bottomLeft" state="frozenSplit"/>
      <selection activeCell="J4" sqref="J4"/>
      <selection pane="bottomLeft" activeCell="J4" sqref="J4"/>
    </sheetView>
  </sheetViews>
  <sheetFormatPr baseColWidth="10" defaultColWidth="10" defaultRowHeight="15" customHeight="1" x14ac:dyDescent="0.15"/>
  <cols>
    <col min="1" max="1" width="10" style="78" customWidth="1"/>
    <col min="2" max="2" width="12.5" style="78" customWidth="1"/>
    <col min="3" max="3" width="48.25" style="78" customWidth="1"/>
    <col min="4" max="4" width="11.75" style="78" customWidth="1"/>
    <col min="5" max="6" width="15" style="78" customWidth="1"/>
    <col min="7" max="7" width="9.25" style="78" customWidth="1"/>
    <col min="8" max="8" width="14.75" style="78" customWidth="1"/>
    <col min="9" max="9" width="15.75" style="78" customWidth="1"/>
    <col min="10" max="11" width="33.25" style="78" customWidth="1"/>
    <col min="12" max="16384" width="10" style="78"/>
  </cols>
  <sheetData>
    <row r="1" spans="1:11" ht="26.25" customHeight="1" x14ac:dyDescent="0.15">
      <c r="A1" s="313" t="s">
        <v>223</v>
      </c>
      <c r="B1" s="314"/>
      <c r="C1" s="314"/>
      <c r="D1" s="314"/>
      <c r="E1" s="314"/>
      <c r="F1" s="314"/>
      <c r="G1" s="314"/>
      <c r="H1" s="314"/>
      <c r="I1" s="314"/>
      <c r="J1" s="314"/>
      <c r="K1" s="314"/>
    </row>
    <row r="2" spans="1:11" ht="30" customHeight="1" x14ac:dyDescent="0.15">
      <c r="A2" s="315" t="str">
        <f>'Công trình'!A2</f>
        <v>CÔNG TRÌNH : XÂY DỰNG HỆ THỐNG CỐNG HỘP KÊNH BẾN KEM ĐOẠN TỪ NHÀ ÔNG CHÍN ĐẾN KÊNH ĐẠI TRÀ 2, XÃ KIẾN MINH</v>
      </c>
      <c r="B2" s="314"/>
      <c r="C2" s="314"/>
      <c r="D2" s="314"/>
      <c r="E2" s="314"/>
      <c r="F2" s="314"/>
      <c r="G2" s="314"/>
      <c r="H2" s="314"/>
      <c r="I2" s="314"/>
      <c r="J2" s="314"/>
      <c r="K2" s="314"/>
    </row>
    <row r="4" spans="1:11" ht="41.25" customHeight="1" x14ac:dyDescent="0.15">
      <c r="A4" s="79" t="s">
        <v>4</v>
      </c>
      <c r="B4" s="19" t="s">
        <v>224</v>
      </c>
      <c r="C4" s="19" t="s">
        <v>225</v>
      </c>
      <c r="D4" s="19" t="s">
        <v>226</v>
      </c>
      <c r="E4" s="19" t="str">
        <f>"Giá gốc_x000D_
"&amp;'Công trình'!AM1</f>
        <v>Giá gốc_x000D_
(đ)</v>
      </c>
      <c r="F4" s="19" t="str">
        <f>"Giá tháng_x000D_
"&amp;'Công trình'!AM1</f>
        <v>Giá tháng_x000D_
(đ)</v>
      </c>
      <c r="G4" s="19" t="s">
        <v>227</v>
      </c>
      <c r="H4" s="19" t="s">
        <v>228</v>
      </c>
      <c r="I4" s="19" t="str">
        <f>"Giá sau VAT_x000D_
"&amp;'Công trình'!AM1</f>
        <v>Giá sau VAT_x000D_
(đ)</v>
      </c>
      <c r="J4" s="19" t="s">
        <v>229</v>
      </c>
      <c r="K4" s="19" t="s">
        <v>19</v>
      </c>
    </row>
    <row r="5" spans="1:11" ht="12" x14ac:dyDescent="0.15">
      <c r="A5" s="80" t="s">
        <v>230</v>
      </c>
      <c r="B5" s="81"/>
      <c r="C5" s="81" t="s">
        <v>231</v>
      </c>
      <c r="D5" s="81"/>
      <c r="E5" s="82"/>
      <c r="F5" s="83"/>
      <c r="G5" s="82"/>
      <c r="H5" s="81"/>
      <c r="I5" s="82"/>
      <c r="J5" s="81"/>
      <c r="K5" s="81"/>
    </row>
    <row r="6" spans="1:11" ht="90" x14ac:dyDescent="0.15">
      <c r="A6" s="84">
        <v>1</v>
      </c>
      <c r="B6" s="85" t="s">
        <v>232</v>
      </c>
      <c r="C6" s="86" t="s">
        <v>233</v>
      </c>
      <c r="D6" s="85" t="s">
        <v>91</v>
      </c>
      <c r="E6" s="87">
        <v>140000</v>
      </c>
      <c r="F6" s="88">
        <v>280000</v>
      </c>
      <c r="G6" s="87">
        <v>1</v>
      </c>
      <c r="H6" s="89" t="b">
        <v>1</v>
      </c>
      <c r="I6" s="87">
        <v>308000</v>
      </c>
      <c r="J6" s="86" t="s">
        <v>234</v>
      </c>
      <c r="K6" s="86" t="s">
        <v>235</v>
      </c>
    </row>
    <row r="7" spans="1:11" ht="90" x14ac:dyDescent="0.15">
      <c r="A7" s="84">
        <v>2</v>
      </c>
      <c r="B7" s="85" t="s">
        <v>236</v>
      </c>
      <c r="C7" s="86" t="s">
        <v>237</v>
      </c>
      <c r="D7" s="85" t="s">
        <v>91</v>
      </c>
      <c r="E7" s="87">
        <v>450000</v>
      </c>
      <c r="F7" s="88">
        <v>750000</v>
      </c>
      <c r="G7" s="87">
        <v>1</v>
      </c>
      <c r="H7" s="89" t="b">
        <v>1</v>
      </c>
      <c r="I7" s="87">
        <v>825000</v>
      </c>
      <c r="J7" s="86" t="s">
        <v>238</v>
      </c>
      <c r="K7" s="86" t="s">
        <v>239</v>
      </c>
    </row>
    <row r="8" spans="1:11" ht="30" x14ac:dyDescent="0.15">
      <c r="A8" s="84">
        <v>3</v>
      </c>
      <c r="B8" s="85" t="s">
        <v>240</v>
      </c>
      <c r="C8" s="86" t="s">
        <v>241</v>
      </c>
      <c r="D8" s="85" t="s">
        <v>84</v>
      </c>
      <c r="E8" s="87">
        <v>19000</v>
      </c>
      <c r="F8" s="88">
        <v>22000</v>
      </c>
      <c r="G8" s="87">
        <v>1</v>
      </c>
      <c r="H8" s="89" t="b">
        <v>1</v>
      </c>
      <c r="I8" s="87">
        <v>23760</v>
      </c>
      <c r="J8" s="86" t="s">
        <v>242</v>
      </c>
      <c r="K8" s="86" t="str">
        <f>""</f>
        <v/>
      </c>
    </row>
    <row r="9" spans="1:11" ht="30" x14ac:dyDescent="0.15">
      <c r="A9" s="84">
        <v>4</v>
      </c>
      <c r="B9" s="85" t="s">
        <v>243</v>
      </c>
      <c r="C9" s="86" t="s">
        <v>244</v>
      </c>
      <c r="D9" s="85" t="s">
        <v>65</v>
      </c>
      <c r="E9" s="87">
        <v>3200</v>
      </c>
      <c r="F9" s="88">
        <v>4800</v>
      </c>
      <c r="G9" s="87">
        <v>1</v>
      </c>
      <c r="H9" s="89" t="b">
        <v>1</v>
      </c>
      <c r="I9" s="87">
        <v>5184</v>
      </c>
      <c r="J9" s="86" t="s">
        <v>245</v>
      </c>
      <c r="K9" s="86" t="str">
        <f>""</f>
        <v/>
      </c>
    </row>
    <row r="10" spans="1:11" ht="30" x14ac:dyDescent="0.15">
      <c r="A10" s="84">
        <v>5</v>
      </c>
      <c r="B10" s="85" t="s">
        <v>246</v>
      </c>
      <c r="C10" s="86" t="s">
        <v>247</v>
      </c>
      <c r="D10" s="85" t="s">
        <v>65</v>
      </c>
      <c r="E10" s="87">
        <v>0</v>
      </c>
      <c r="F10" s="90">
        <v>0</v>
      </c>
      <c r="G10" s="87">
        <v>1</v>
      </c>
      <c r="H10" s="89" t="b">
        <v>1</v>
      </c>
      <c r="I10" s="87">
        <v>0</v>
      </c>
      <c r="J10" s="86" t="s">
        <v>248</v>
      </c>
      <c r="K10" s="86" t="str">
        <f>""</f>
        <v/>
      </c>
    </row>
    <row r="11" spans="1:11" ht="30" x14ac:dyDescent="0.15">
      <c r="A11" s="84">
        <v>6</v>
      </c>
      <c r="B11" s="85" t="s">
        <v>249</v>
      </c>
      <c r="C11" s="86" t="s">
        <v>250</v>
      </c>
      <c r="D11" s="85" t="s">
        <v>251</v>
      </c>
      <c r="E11" s="87">
        <v>12627</v>
      </c>
      <c r="F11" s="90">
        <v>12627</v>
      </c>
      <c r="G11" s="87">
        <v>1</v>
      </c>
      <c r="H11" s="89" t="b">
        <v>1</v>
      </c>
      <c r="I11" s="87">
        <v>13889.7</v>
      </c>
      <c r="J11" s="86" t="s">
        <v>252</v>
      </c>
      <c r="K11" s="86" t="str">
        <f>""</f>
        <v/>
      </c>
    </row>
    <row r="12" spans="1:11" ht="30" x14ac:dyDescent="0.15">
      <c r="A12" s="84">
        <v>7</v>
      </c>
      <c r="B12" s="85" t="s">
        <v>253</v>
      </c>
      <c r="C12" s="86" t="s">
        <v>254</v>
      </c>
      <c r="D12" s="85" t="s">
        <v>251</v>
      </c>
      <c r="E12" s="87">
        <v>20000</v>
      </c>
      <c r="F12" s="90">
        <v>20000</v>
      </c>
      <c r="G12" s="87">
        <v>1</v>
      </c>
      <c r="H12" s="89" t="b">
        <v>1</v>
      </c>
      <c r="I12" s="87">
        <v>22000</v>
      </c>
      <c r="J12" s="86" t="s">
        <v>255</v>
      </c>
      <c r="K12" s="86" t="str">
        <f>""</f>
        <v/>
      </c>
    </row>
    <row r="13" spans="1:11" ht="75" x14ac:dyDescent="0.15">
      <c r="A13" s="84">
        <v>8</v>
      </c>
      <c r="B13" s="85" t="s">
        <v>256</v>
      </c>
      <c r="C13" s="86" t="s">
        <v>257</v>
      </c>
      <c r="D13" s="85" t="s">
        <v>91</v>
      </c>
      <c r="E13" s="87">
        <v>320000</v>
      </c>
      <c r="F13" s="88">
        <v>470000</v>
      </c>
      <c r="G13" s="87">
        <v>1</v>
      </c>
      <c r="H13" s="89" t="b">
        <v>1</v>
      </c>
      <c r="I13" s="87">
        <v>517000</v>
      </c>
      <c r="J13" s="86" t="s">
        <v>258</v>
      </c>
      <c r="K13" s="86" t="s">
        <v>259</v>
      </c>
    </row>
    <row r="14" spans="1:11" ht="90" x14ac:dyDescent="0.15">
      <c r="A14" s="84">
        <v>9</v>
      </c>
      <c r="B14" s="85" t="s">
        <v>260</v>
      </c>
      <c r="C14" s="86" t="s">
        <v>261</v>
      </c>
      <c r="D14" s="85" t="s">
        <v>91</v>
      </c>
      <c r="E14" s="87">
        <v>3409091</v>
      </c>
      <c r="F14" s="91">
        <v>3300000</v>
      </c>
      <c r="G14" s="87">
        <v>1</v>
      </c>
      <c r="H14" s="89" t="b">
        <v>1</v>
      </c>
      <c r="I14" s="87">
        <v>3630000</v>
      </c>
      <c r="J14" s="86" t="s">
        <v>262</v>
      </c>
      <c r="K14" s="86" t="s">
        <v>263</v>
      </c>
    </row>
    <row r="15" spans="1:11" ht="30" x14ac:dyDescent="0.15">
      <c r="A15" s="84">
        <v>10</v>
      </c>
      <c r="B15" s="85" t="s">
        <v>264</v>
      </c>
      <c r="C15" s="86" t="s">
        <v>265</v>
      </c>
      <c r="D15" s="85" t="s">
        <v>266</v>
      </c>
      <c r="E15" s="87">
        <v>12</v>
      </c>
      <c r="F15" s="90">
        <v>12</v>
      </c>
      <c r="G15" s="87">
        <v>1</v>
      </c>
      <c r="H15" s="89" t="b">
        <v>1</v>
      </c>
      <c r="I15" s="87">
        <v>13</v>
      </c>
      <c r="J15" s="86" t="s">
        <v>267</v>
      </c>
      <c r="K15" s="86" t="str">
        <f>""</f>
        <v/>
      </c>
    </row>
    <row r="16" spans="1:11" ht="30" x14ac:dyDescent="0.15">
      <c r="A16" s="84">
        <v>11</v>
      </c>
      <c r="B16" s="85" t="s">
        <v>268</v>
      </c>
      <c r="C16" s="86" t="s">
        <v>269</v>
      </c>
      <c r="D16" s="85" t="s">
        <v>65</v>
      </c>
      <c r="E16" s="87">
        <v>160000</v>
      </c>
      <c r="F16" s="88">
        <v>350000</v>
      </c>
      <c r="G16" s="87">
        <v>1</v>
      </c>
      <c r="H16" s="89" t="b">
        <v>1</v>
      </c>
      <c r="I16" s="87">
        <v>378000</v>
      </c>
      <c r="J16" s="86" t="s">
        <v>270</v>
      </c>
      <c r="K16" s="86" t="str">
        <f>""</f>
        <v/>
      </c>
    </row>
    <row r="17" spans="1:11" ht="30" x14ac:dyDescent="0.15">
      <c r="A17" s="84">
        <v>12</v>
      </c>
      <c r="B17" s="85" t="s">
        <v>271</v>
      </c>
      <c r="C17" s="86" t="s">
        <v>272</v>
      </c>
      <c r="D17" s="85" t="s">
        <v>65</v>
      </c>
      <c r="E17" s="87">
        <v>270000</v>
      </c>
      <c r="F17" s="88">
        <v>550000</v>
      </c>
      <c r="G17" s="87">
        <v>1</v>
      </c>
      <c r="H17" s="89" t="b">
        <v>1</v>
      </c>
      <c r="I17" s="87">
        <v>594000</v>
      </c>
      <c r="J17" s="86" t="s">
        <v>270</v>
      </c>
      <c r="K17" s="86" t="str">
        <f>""</f>
        <v/>
      </c>
    </row>
    <row r="18" spans="1:11" ht="30" x14ac:dyDescent="0.15">
      <c r="A18" s="84">
        <v>13</v>
      </c>
      <c r="B18" s="85" t="s">
        <v>273</v>
      </c>
      <c r="C18" s="86" t="s">
        <v>274</v>
      </c>
      <c r="D18" s="85" t="s">
        <v>65</v>
      </c>
      <c r="E18" s="87">
        <v>55000</v>
      </c>
      <c r="F18" s="90">
        <v>55000</v>
      </c>
      <c r="G18" s="87">
        <v>1</v>
      </c>
      <c r="H18" s="89" t="b">
        <v>1</v>
      </c>
      <c r="I18" s="87">
        <v>60500</v>
      </c>
      <c r="J18" s="86" t="s">
        <v>270</v>
      </c>
      <c r="K18" s="86" t="str">
        <f>""</f>
        <v/>
      </c>
    </row>
    <row r="19" spans="1:11" ht="30" x14ac:dyDescent="0.15">
      <c r="A19" s="84">
        <v>14</v>
      </c>
      <c r="B19" s="85" t="s">
        <v>275</v>
      </c>
      <c r="C19" s="86" t="s">
        <v>276</v>
      </c>
      <c r="D19" s="85" t="s">
        <v>251</v>
      </c>
      <c r="E19" s="87">
        <v>25000</v>
      </c>
      <c r="F19" s="90">
        <v>25000</v>
      </c>
      <c r="G19" s="87">
        <v>1</v>
      </c>
      <c r="H19" s="89" t="b">
        <v>1</v>
      </c>
      <c r="I19" s="87">
        <v>27500</v>
      </c>
      <c r="J19" s="86" t="s">
        <v>277</v>
      </c>
      <c r="K19" s="86" t="str">
        <f>""</f>
        <v/>
      </c>
    </row>
    <row r="20" spans="1:11" ht="30" x14ac:dyDescent="0.15">
      <c r="A20" s="84">
        <v>15</v>
      </c>
      <c r="B20" s="85" t="s">
        <v>278</v>
      </c>
      <c r="C20" s="86" t="s">
        <v>279</v>
      </c>
      <c r="D20" s="85" t="s">
        <v>251</v>
      </c>
      <c r="E20" s="87">
        <v>19250</v>
      </c>
      <c r="F20" s="91">
        <v>18800</v>
      </c>
      <c r="G20" s="87">
        <v>1</v>
      </c>
      <c r="H20" s="89" t="b">
        <v>1</v>
      </c>
      <c r="I20" s="87">
        <v>20304</v>
      </c>
      <c r="J20" s="86" t="s">
        <v>280</v>
      </c>
      <c r="K20" s="86" t="str">
        <f>""</f>
        <v/>
      </c>
    </row>
    <row r="21" spans="1:11" ht="30" x14ac:dyDescent="0.15">
      <c r="A21" s="84">
        <v>16</v>
      </c>
      <c r="B21" s="85" t="s">
        <v>281</v>
      </c>
      <c r="C21" s="86" t="s">
        <v>282</v>
      </c>
      <c r="D21" s="85" t="s">
        <v>251</v>
      </c>
      <c r="E21" s="87">
        <v>19250</v>
      </c>
      <c r="F21" s="91">
        <v>18800</v>
      </c>
      <c r="G21" s="87">
        <v>1</v>
      </c>
      <c r="H21" s="89" t="b">
        <v>1</v>
      </c>
      <c r="I21" s="87">
        <v>20304</v>
      </c>
      <c r="J21" s="86" t="s">
        <v>283</v>
      </c>
      <c r="K21" s="86" t="str">
        <f>""</f>
        <v/>
      </c>
    </row>
    <row r="22" spans="1:11" ht="30" x14ac:dyDescent="0.15">
      <c r="A22" s="84">
        <v>17</v>
      </c>
      <c r="B22" s="85" t="s">
        <v>284</v>
      </c>
      <c r="C22" s="86" t="s">
        <v>285</v>
      </c>
      <c r="D22" s="85" t="s">
        <v>251</v>
      </c>
      <c r="E22" s="87">
        <v>19200</v>
      </c>
      <c r="F22" s="91">
        <v>14700</v>
      </c>
      <c r="G22" s="87">
        <v>1</v>
      </c>
      <c r="H22" s="89" t="b">
        <v>1</v>
      </c>
      <c r="I22" s="87">
        <v>15876</v>
      </c>
      <c r="J22" s="86" t="s">
        <v>286</v>
      </c>
      <c r="K22" s="86" t="str">
        <f>""</f>
        <v/>
      </c>
    </row>
    <row r="23" spans="1:11" ht="30" x14ac:dyDescent="0.15">
      <c r="A23" s="84">
        <v>18</v>
      </c>
      <c r="B23" s="85" t="s">
        <v>287</v>
      </c>
      <c r="C23" s="86" t="s">
        <v>288</v>
      </c>
      <c r="D23" s="85" t="s">
        <v>251</v>
      </c>
      <c r="E23" s="87">
        <v>19200</v>
      </c>
      <c r="F23" s="91">
        <v>14700</v>
      </c>
      <c r="G23" s="87">
        <v>1</v>
      </c>
      <c r="H23" s="89" t="b">
        <v>1</v>
      </c>
      <c r="I23" s="87">
        <v>15876</v>
      </c>
      <c r="J23" s="86" t="s">
        <v>289</v>
      </c>
      <c r="K23" s="86" t="str">
        <f>""</f>
        <v/>
      </c>
    </row>
    <row r="24" spans="1:11" ht="90" x14ac:dyDescent="0.15">
      <c r="A24" s="84">
        <v>19</v>
      </c>
      <c r="B24" s="85" t="s">
        <v>290</v>
      </c>
      <c r="C24" s="86" t="s">
        <v>291</v>
      </c>
      <c r="D24" s="85" t="s">
        <v>172</v>
      </c>
      <c r="E24" s="87">
        <v>11100</v>
      </c>
      <c r="F24" s="91">
        <v>10400</v>
      </c>
      <c r="G24" s="87">
        <v>1</v>
      </c>
      <c r="H24" s="89" t="b">
        <v>1</v>
      </c>
      <c r="I24" s="87">
        <v>11440</v>
      </c>
      <c r="J24" s="86" t="s">
        <v>292</v>
      </c>
      <c r="K24" s="86" t="s">
        <v>293</v>
      </c>
    </row>
    <row r="25" spans="1:11" ht="105" x14ac:dyDescent="0.15">
      <c r="A25" s="92">
        <v>20</v>
      </c>
      <c r="B25" s="93" t="s">
        <v>294</v>
      </c>
      <c r="C25" s="94" t="s">
        <v>295</v>
      </c>
      <c r="D25" s="93" t="s">
        <v>251</v>
      </c>
      <c r="E25" s="95">
        <v>1380</v>
      </c>
      <c r="F25" s="96">
        <v>1597</v>
      </c>
      <c r="G25" s="95">
        <v>1</v>
      </c>
      <c r="H25" s="97" t="b">
        <v>1</v>
      </c>
      <c r="I25" s="95">
        <v>1724.8</v>
      </c>
      <c r="J25" s="94" t="s">
        <v>296</v>
      </c>
      <c r="K25" s="94" t="s">
        <v>297</v>
      </c>
    </row>
    <row r="26" spans="1:11" ht="12" x14ac:dyDescent="0.15">
      <c r="A26" s="80" t="s">
        <v>298</v>
      </c>
      <c r="B26" s="81"/>
      <c r="C26" s="81" t="s">
        <v>299</v>
      </c>
      <c r="D26" s="81"/>
      <c r="E26" s="82"/>
      <c r="F26" s="83"/>
      <c r="G26" s="82"/>
      <c r="H26" s="81"/>
      <c r="I26" s="82"/>
      <c r="J26" s="81"/>
      <c r="K26" s="81"/>
    </row>
    <row r="27" spans="1:11" ht="30" x14ac:dyDescent="0.15">
      <c r="A27" s="84">
        <v>1</v>
      </c>
      <c r="B27" s="85" t="s">
        <v>300</v>
      </c>
      <c r="C27" s="86" t="s">
        <v>301</v>
      </c>
      <c r="D27" s="85" t="s">
        <v>302</v>
      </c>
      <c r="E27" s="87">
        <v>221303</v>
      </c>
      <c r="F27" s="88">
        <f>'Nhân công'!T8</f>
        <v>243700</v>
      </c>
      <c r="G27" s="87">
        <v>1</v>
      </c>
      <c r="H27" s="89" t="b">
        <v>1</v>
      </c>
      <c r="I27" s="87"/>
      <c r="J27" s="86" t="s">
        <v>300</v>
      </c>
      <c r="K27" s="86" t="s">
        <v>303</v>
      </c>
    </row>
    <row r="28" spans="1:11" ht="30" x14ac:dyDescent="0.15">
      <c r="A28" s="84">
        <v>2</v>
      </c>
      <c r="B28" s="85" t="s">
        <v>304</v>
      </c>
      <c r="C28" s="86" t="s">
        <v>305</v>
      </c>
      <c r="D28" s="85" t="s">
        <v>302</v>
      </c>
      <c r="E28" s="87">
        <v>239592</v>
      </c>
      <c r="F28" s="88">
        <f>'Nhân công'!T9</f>
        <v>263800</v>
      </c>
      <c r="G28" s="87">
        <v>1</v>
      </c>
      <c r="H28" s="89" t="b">
        <v>1</v>
      </c>
      <c r="I28" s="87"/>
      <c r="J28" s="86" t="s">
        <v>304</v>
      </c>
      <c r="K28" s="86" t="s">
        <v>303</v>
      </c>
    </row>
    <row r="29" spans="1:11" ht="30" x14ac:dyDescent="0.15">
      <c r="A29" s="84">
        <v>3</v>
      </c>
      <c r="B29" s="85" t="s">
        <v>306</v>
      </c>
      <c r="C29" s="86" t="s">
        <v>307</v>
      </c>
      <c r="D29" s="85" t="s">
        <v>302</v>
      </c>
      <c r="E29" s="87">
        <v>262000</v>
      </c>
      <c r="F29" s="88">
        <f>'Nhân công'!T10</f>
        <v>288500</v>
      </c>
      <c r="G29" s="87">
        <v>1</v>
      </c>
      <c r="H29" s="89" t="b">
        <v>1</v>
      </c>
      <c r="I29" s="87"/>
      <c r="J29" s="86" t="s">
        <v>306</v>
      </c>
      <c r="K29" s="86" t="s">
        <v>303</v>
      </c>
    </row>
    <row r="30" spans="1:11" ht="30" x14ac:dyDescent="0.15">
      <c r="A30" s="92">
        <v>4</v>
      </c>
      <c r="B30" s="93" t="s">
        <v>308</v>
      </c>
      <c r="C30" s="94" t="s">
        <v>309</v>
      </c>
      <c r="D30" s="93" t="s">
        <v>302</v>
      </c>
      <c r="E30" s="95">
        <v>284408</v>
      </c>
      <c r="F30" s="96">
        <f>'Nhân công'!T11</f>
        <v>313200</v>
      </c>
      <c r="G30" s="95">
        <v>1</v>
      </c>
      <c r="H30" s="97" t="b">
        <v>1</v>
      </c>
      <c r="I30" s="95"/>
      <c r="J30" s="94" t="s">
        <v>308</v>
      </c>
      <c r="K30" s="94" t="s">
        <v>303</v>
      </c>
    </row>
    <row r="31" spans="1:11" ht="12" x14ac:dyDescent="0.15">
      <c r="A31" s="80" t="s">
        <v>310</v>
      </c>
      <c r="B31" s="81"/>
      <c r="C31" s="81" t="s">
        <v>311</v>
      </c>
      <c r="D31" s="81"/>
      <c r="E31" s="82"/>
      <c r="F31" s="83"/>
      <c r="G31" s="82"/>
      <c r="H31" s="81"/>
      <c r="I31" s="82"/>
      <c r="J31" s="81"/>
      <c r="K31" s="81"/>
    </row>
    <row r="32" spans="1:11" ht="30" x14ac:dyDescent="0.15">
      <c r="A32" s="84">
        <v>1</v>
      </c>
      <c r="B32" s="85" t="s">
        <v>312</v>
      </c>
      <c r="C32" s="86" t="s">
        <v>313</v>
      </c>
      <c r="D32" s="85" t="s">
        <v>44</v>
      </c>
      <c r="E32" s="87">
        <v>2067189</v>
      </c>
      <c r="F32" s="91">
        <f>Máy!K6</f>
        <v>1995246</v>
      </c>
      <c r="G32" s="87">
        <v>1</v>
      </c>
      <c r="H32" s="89" t="b">
        <v>1</v>
      </c>
      <c r="I32" s="87"/>
      <c r="J32" s="86" t="s">
        <v>314</v>
      </c>
      <c r="K32" s="86" t="s">
        <v>315</v>
      </c>
    </row>
    <row r="33" spans="1:11" ht="30" x14ac:dyDescent="0.15">
      <c r="A33" s="84">
        <v>2</v>
      </c>
      <c r="B33" s="85" t="s">
        <v>316</v>
      </c>
      <c r="C33" s="86" t="s">
        <v>317</v>
      </c>
      <c r="D33" s="85" t="s">
        <v>44</v>
      </c>
      <c r="E33" s="87">
        <v>2256343</v>
      </c>
      <c r="F33" s="91">
        <f>Máy!K20</f>
        <v>2090057</v>
      </c>
      <c r="G33" s="87">
        <v>1</v>
      </c>
      <c r="H33" s="89" t="b">
        <v>1</v>
      </c>
      <c r="I33" s="87"/>
      <c r="J33" s="86" t="s">
        <v>318</v>
      </c>
      <c r="K33" s="86" t="s">
        <v>315</v>
      </c>
    </row>
    <row r="34" spans="1:11" ht="30" x14ac:dyDescent="0.15">
      <c r="A34" s="84">
        <v>3</v>
      </c>
      <c r="B34" s="85" t="s">
        <v>319</v>
      </c>
      <c r="C34" s="86" t="s">
        <v>320</v>
      </c>
      <c r="D34" s="85" t="s">
        <v>44</v>
      </c>
      <c r="E34" s="87">
        <v>7147541</v>
      </c>
      <c r="F34" s="91">
        <f>Máy!K32</f>
        <v>6848149</v>
      </c>
      <c r="G34" s="87">
        <v>1</v>
      </c>
      <c r="H34" s="89" t="b">
        <v>1</v>
      </c>
      <c r="I34" s="87"/>
      <c r="J34" s="86" t="s">
        <v>321</v>
      </c>
      <c r="K34" s="86" t="s">
        <v>315</v>
      </c>
    </row>
    <row r="35" spans="1:11" ht="30" x14ac:dyDescent="0.15">
      <c r="A35" s="84">
        <v>4</v>
      </c>
      <c r="B35" s="85" t="s">
        <v>322</v>
      </c>
      <c r="C35" s="86" t="s">
        <v>323</v>
      </c>
      <c r="D35" s="85" t="s">
        <v>44</v>
      </c>
      <c r="E35" s="87">
        <v>3038093</v>
      </c>
      <c r="F35" s="88">
        <f>Máy!K50</f>
        <v>3119874</v>
      </c>
      <c r="G35" s="87">
        <v>1</v>
      </c>
      <c r="H35" s="89" t="b">
        <v>1</v>
      </c>
      <c r="I35" s="87"/>
      <c r="J35" s="86" t="s">
        <v>324</v>
      </c>
      <c r="K35" s="86" t="s">
        <v>315</v>
      </c>
    </row>
    <row r="36" spans="1:11" ht="30" x14ac:dyDescent="0.15">
      <c r="A36" s="84">
        <v>5</v>
      </c>
      <c r="B36" s="85" t="s">
        <v>325</v>
      </c>
      <c r="C36" s="86" t="s">
        <v>326</v>
      </c>
      <c r="D36" s="85" t="s">
        <v>44</v>
      </c>
      <c r="E36" s="87">
        <v>90924</v>
      </c>
      <c r="F36" s="88">
        <f>Máy!K62</f>
        <v>95300</v>
      </c>
      <c r="G36" s="87">
        <v>1</v>
      </c>
      <c r="H36" s="89" t="b">
        <v>1</v>
      </c>
      <c r="I36" s="87"/>
      <c r="J36" s="86" t="s">
        <v>327</v>
      </c>
      <c r="K36" s="86" t="s">
        <v>315</v>
      </c>
    </row>
    <row r="37" spans="1:11" ht="30" x14ac:dyDescent="0.15">
      <c r="A37" s="84">
        <v>6</v>
      </c>
      <c r="B37" s="85" t="s">
        <v>328</v>
      </c>
      <c r="C37" s="86" t="s">
        <v>329</v>
      </c>
      <c r="D37" s="85" t="s">
        <v>44</v>
      </c>
      <c r="E37" s="87">
        <v>734664</v>
      </c>
      <c r="F37" s="88">
        <f>Máy!K69</f>
        <v>782820</v>
      </c>
      <c r="G37" s="87">
        <v>1</v>
      </c>
      <c r="H37" s="89" t="b">
        <v>1</v>
      </c>
      <c r="I37" s="87"/>
      <c r="J37" s="86" t="s">
        <v>330</v>
      </c>
      <c r="K37" s="86" t="s">
        <v>315</v>
      </c>
    </row>
    <row r="38" spans="1:11" ht="30" x14ac:dyDescent="0.15">
      <c r="A38" s="84">
        <v>7</v>
      </c>
      <c r="B38" s="85" t="s">
        <v>331</v>
      </c>
      <c r="C38" s="86" t="s">
        <v>332</v>
      </c>
      <c r="D38" s="85" t="s">
        <v>44</v>
      </c>
      <c r="E38" s="87">
        <v>281286</v>
      </c>
      <c r="F38" s="88">
        <f>Máy!K79</f>
        <v>307436</v>
      </c>
      <c r="G38" s="87">
        <v>1</v>
      </c>
      <c r="H38" s="89" t="b">
        <v>1</v>
      </c>
      <c r="I38" s="87"/>
      <c r="J38" s="86" t="s">
        <v>333</v>
      </c>
      <c r="K38" s="86" t="s">
        <v>315</v>
      </c>
    </row>
    <row r="39" spans="1:11" ht="30" x14ac:dyDescent="0.15">
      <c r="A39" s="84">
        <v>8</v>
      </c>
      <c r="B39" s="85" t="s">
        <v>334</v>
      </c>
      <c r="C39" s="86" t="s">
        <v>335</v>
      </c>
      <c r="D39" s="85" t="s">
        <v>44</v>
      </c>
      <c r="E39" s="87">
        <v>24662</v>
      </c>
      <c r="F39" s="88">
        <f>Máy!K89</f>
        <v>25048</v>
      </c>
      <c r="G39" s="87">
        <v>1</v>
      </c>
      <c r="H39" s="89" t="b">
        <v>1</v>
      </c>
      <c r="I39" s="87"/>
      <c r="J39" s="86" t="s">
        <v>336</v>
      </c>
      <c r="K39" s="86" t="s">
        <v>315</v>
      </c>
    </row>
    <row r="40" spans="1:11" ht="30" x14ac:dyDescent="0.15">
      <c r="A40" s="84">
        <v>9</v>
      </c>
      <c r="B40" s="85" t="s">
        <v>337</v>
      </c>
      <c r="C40" s="86" t="s">
        <v>338</v>
      </c>
      <c r="D40" s="85" t="s">
        <v>44</v>
      </c>
      <c r="E40" s="87">
        <v>2938899</v>
      </c>
      <c r="F40" s="91">
        <f>Máy!K96</f>
        <v>2551986</v>
      </c>
      <c r="G40" s="87">
        <v>1</v>
      </c>
      <c r="H40" s="89" t="b">
        <v>1</v>
      </c>
      <c r="I40" s="87"/>
      <c r="J40" s="86" t="s">
        <v>339</v>
      </c>
      <c r="K40" s="86" t="s">
        <v>315</v>
      </c>
    </row>
    <row r="41" spans="1:11" ht="30" x14ac:dyDescent="0.15">
      <c r="A41" s="84">
        <v>10</v>
      </c>
      <c r="B41" s="85" t="s">
        <v>340</v>
      </c>
      <c r="C41" s="86" t="s">
        <v>341</v>
      </c>
      <c r="D41" s="85" t="s">
        <v>44</v>
      </c>
      <c r="E41" s="87">
        <v>4000423</v>
      </c>
      <c r="F41" s="91">
        <f>Máy!K106</f>
        <v>3498165</v>
      </c>
      <c r="G41" s="87">
        <v>1</v>
      </c>
      <c r="H41" s="89" t="b">
        <v>1</v>
      </c>
      <c r="I41" s="87"/>
      <c r="J41" s="86" t="s">
        <v>342</v>
      </c>
      <c r="K41" s="86" t="s">
        <v>315</v>
      </c>
    </row>
    <row r="42" spans="1:11" ht="30" x14ac:dyDescent="0.15">
      <c r="A42" s="84">
        <v>11</v>
      </c>
      <c r="B42" s="85" t="s">
        <v>343</v>
      </c>
      <c r="C42" s="86" t="s">
        <v>344</v>
      </c>
      <c r="D42" s="85" t="s">
        <v>44</v>
      </c>
      <c r="E42" s="87">
        <v>276782</v>
      </c>
      <c r="F42" s="88">
        <f>Máy!K116</f>
        <v>302675</v>
      </c>
      <c r="G42" s="87">
        <v>1</v>
      </c>
      <c r="H42" s="89" t="b">
        <v>1</v>
      </c>
      <c r="I42" s="87"/>
      <c r="J42" s="86" t="s">
        <v>345</v>
      </c>
      <c r="K42" s="86" t="s">
        <v>315</v>
      </c>
    </row>
    <row r="43" spans="1:11" ht="30" x14ac:dyDescent="0.15">
      <c r="A43" s="84">
        <v>12</v>
      </c>
      <c r="B43" s="85" t="s">
        <v>346</v>
      </c>
      <c r="C43" s="86" t="s">
        <v>347</v>
      </c>
      <c r="D43" s="85" t="s">
        <v>44</v>
      </c>
      <c r="E43" s="87">
        <v>396542</v>
      </c>
      <c r="F43" s="91">
        <f>Máy!K126</f>
        <v>390153</v>
      </c>
      <c r="G43" s="87">
        <v>1</v>
      </c>
      <c r="H43" s="89" t="b">
        <v>1</v>
      </c>
      <c r="I43" s="87"/>
      <c r="J43" s="86" t="s">
        <v>348</v>
      </c>
      <c r="K43" s="86" t="s">
        <v>315</v>
      </c>
    </row>
    <row r="44" spans="1:11" ht="30" x14ac:dyDescent="0.15">
      <c r="A44" s="84">
        <v>13</v>
      </c>
      <c r="B44" s="85" t="s">
        <v>349</v>
      </c>
      <c r="C44" s="86" t="s">
        <v>350</v>
      </c>
      <c r="D44" s="85" t="s">
        <v>44</v>
      </c>
      <c r="E44" s="87">
        <v>1789199</v>
      </c>
      <c r="F44" s="91">
        <f>Máy!K136</f>
        <v>1633554</v>
      </c>
      <c r="G44" s="87">
        <v>1</v>
      </c>
      <c r="H44" s="89" t="b">
        <v>1</v>
      </c>
      <c r="I44" s="87"/>
      <c r="J44" s="86" t="s">
        <v>351</v>
      </c>
      <c r="K44" s="86" t="s">
        <v>315</v>
      </c>
    </row>
    <row r="45" spans="1:11" ht="30" x14ac:dyDescent="0.15">
      <c r="A45" s="84">
        <v>14</v>
      </c>
      <c r="B45" s="85" t="s">
        <v>352</v>
      </c>
      <c r="C45" s="86" t="s">
        <v>353</v>
      </c>
      <c r="D45" s="85" t="s">
        <v>44</v>
      </c>
      <c r="E45" s="87">
        <v>411700</v>
      </c>
      <c r="F45" s="88">
        <f>Máy!K147</f>
        <v>447485</v>
      </c>
      <c r="G45" s="87">
        <v>1</v>
      </c>
      <c r="H45" s="89" t="b">
        <v>1</v>
      </c>
      <c r="I45" s="87"/>
      <c r="J45" s="86" t="s">
        <v>354</v>
      </c>
      <c r="K45" s="86" t="s">
        <v>315</v>
      </c>
    </row>
    <row r="46" spans="1:11" ht="30" x14ac:dyDescent="0.15">
      <c r="A46" s="84">
        <v>15</v>
      </c>
      <c r="B46" s="85" t="s">
        <v>355</v>
      </c>
      <c r="C46" s="86" t="s">
        <v>356</v>
      </c>
      <c r="D46" s="85" t="s">
        <v>44</v>
      </c>
      <c r="E46" s="87">
        <v>3027990</v>
      </c>
      <c r="F46" s="91">
        <f>Máy!K157</f>
        <v>2576996</v>
      </c>
      <c r="G46" s="87">
        <v>1</v>
      </c>
      <c r="H46" s="89" t="b">
        <v>1</v>
      </c>
      <c r="I46" s="87"/>
      <c r="J46" s="86" t="s">
        <v>357</v>
      </c>
      <c r="K46" s="86" t="s">
        <v>315</v>
      </c>
    </row>
    <row r="47" spans="1:11" ht="30" x14ac:dyDescent="0.15">
      <c r="A47" s="84">
        <v>16</v>
      </c>
      <c r="B47" s="85" t="s">
        <v>358</v>
      </c>
      <c r="C47" s="86" t="s">
        <v>359</v>
      </c>
      <c r="D47" s="85" t="s">
        <v>44</v>
      </c>
      <c r="E47" s="87">
        <v>320806</v>
      </c>
      <c r="F47" s="88">
        <f>Máy!K167</f>
        <v>347214</v>
      </c>
      <c r="G47" s="87">
        <v>1</v>
      </c>
      <c r="H47" s="89" t="b">
        <v>1</v>
      </c>
      <c r="I47" s="87"/>
      <c r="J47" s="86" t="s">
        <v>360</v>
      </c>
      <c r="K47" s="86" t="s">
        <v>315</v>
      </c>
    </row>
    <row r="48" spans="1:11" ht="30" x14ac:dyDescent="0.15">
      <c r="A48" s="84">
        <v>17</v>
      </c>
      <c r="B48" s="85" t="s">
        <v>361</v>
      </c>
      <c r="C48" s="86" t="s">
        <v>362</v>
      </c>
      <c r="D48" s="85" t="s">
        <v>44</v>
      </c>
      <c r="E48" s="87">
        <v>2096893</v>
      </c>
      <c r="F48" s="91">
        <f>Máy!K177</f>
        <v>1831732</v>
      </c>
      <c r="G48" s="87">
        <v>1</v>
      </c>
      <c r="H48" s="89" t="b">
        <v>1</v>
      </c>
      <c r="I48" s="87"/>
      <c r="J48" s="86" t="s">
        <v>363</v>
      </c>
      <c r="K48" s="86" t="s">
        <v>315</v>
      </c>
    </row>
    <row r="49" spans="1:11" ht="30" x14ac:dyDescent="0.15">
      <c r="A49" s="84">
        <v>18</v>
      </c>
      <c r="B49" s="85" t="s">
        <v>364</v>
      </c>
      <c r="C49" s="86" t="s">
        <v>365</v>
      </c>
      <c r="D49" s="85" t="s">
        <v>44</v>
      </c>
      <c r="E49" s="87">
        <v>826454</v>
      </c>
      <c r="F49" s="88">
        <f>Máy!K187</f>
        <v>857495</v>
      </c>
      <c r="G49" s="87">
        <v>1</v>
      </c>
      <c r="H49" s="89" t="b">
        <v>1</v>
      </c>
      <c r="I49" s="87"/>
      <c r="J49" s="86" t="s">
        <v>366</v>
      </c>
      <c r="K49" s="86" t="s">
        <v>315</v>
      </c>
    </row>
    <row r="50" spans="1:11" ht="30" x14ac:dyDescent="0.15">
      <c r="A50" s="84">
        <v>19</v>
      </c>
      <c r="B50" s="85" t="s">
        <v>367</v>
      </c>
      <c r="C50" s="86" t="s">
        <v>368</v>
      </c>
      <c r="D50" s="85" t="s">
        <v>44</v>
      </c>
      <c r="E50" s="87">
        <v>1727890</v>
      </c>
      <c r="F50" s="91">
        <f>Máy!K197</f>
        <v>1492461</v>
      </c>
      <c r="G50" s="87">
        <v>1</v>
      </c>
      <c r="H50" s="89" t="b">
        <v>1</v>
      </c>
      <c r="I50" s="87"/>
      <c r="J50" s="86" t="s">
        <v>369</v>
      </c>
      <c r="K50" s="86" t="s">
        <v>315</v>
      </c>
    </row>
    <row r="51" spans="1:11" ht="30" x14ac:dyDescent="0.15">
      <c r="A51" s="84">
        <v>20</v>
      </c>
      <c r="B51" s="85" t="s">
        <v>367</v>
      </c>
      <c r="C51" s="86" t="s">
        <v>368</v>
      </c>
      <c r="D51" s="85" t="s">
        <v>44</v>
      </c>
      <c r="E51" s="87">
        <v>1727890</v>
      </c>
      <c r="F51" s="91">
        <f>Máy!K197</f>
        <v>1492461</v>
      </c>
      <c r="G51" s="87">
        <v>4</v>
      </c>
      <c r="H51" s="89" t="b">
        <v>1</v>
      </c>
      <c r="I51" s="87"/>
      <c r="J51" s="86" t="s">
        <v>369</v>
      </c>
      <c r="K51" s="86" t="s">
        <v>315</v>
      </c>
    </row>
    <row r="52" spans="1:11" ht="30" x14ac:dyDescent="0.15">
      <c r="A52" s="92">
        <v>21</v>
      </c>
      <c r="B52" s="93" t="s">
        <v>370</v>
      </c>
      <c r="C52" s="94" t="s">
        <v>371</v>
      </c>
      <c r="D52" s="93" t="s">
        <v>44</v>
      </c>
      <c r="E52" s="95">
        <v>891221</v>
      </c>
      <c r="F52" s="98">
        <f>Máy!K207</f>
        <v>891221</v>
      </c>
      <c r="G52" s="95">
        <v>1</v>
      </c>
      <c r="H52" s="97" t="b">
        <v>1</v>
      </c>
      <c r="I52" s="95"/>
      <c r="J52" s="94" t="s">
        <v>372</v>
      </c>
      <c r="K52" s="94" t="s">
        <v>315</v>
      </c>
    </row>
  </sheetData>
  <mergeCells count="2">
    <mergeCell ref="A1:K1"/>
    <mergeCell ref="A2:K2"/>
  </mergeCells>
  <pageMargins left="1.1875" right="0" top="0.80208333333333337" bottom="0.80208333333333337" header="0.40625" footer="0.40625"/>
  <pageSetup paperSize="9" orientation="landscape" blackAndWhite="1" verticalDpi="0"/>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576DC-28B5-054A-B758-B36380C7A668}">
  <dimension ref="A1:E47"/>
  <sheetViews>
    <sheetView showZeros="0" workbookViewId="0">
      <selection activeCell="D6" sqref="D6"/>
    </sheetView>
  </sheetViews>
  <sheetFormatPr baseColWidth="10" defaultColWidth="10" defaultRowHeight="15" customHeight="1" x14ac:dyDescent="0.15"/>
  <cols>
    <col min="1" max="1" width="10" style="73" customWidth="1"/>
    <col min="2" max="2" width="48.25" style="73" customWidth="1"/>
    <col min="3" max="3" width="11.75" style="73" customWidth="1"/>
    <col min="4" max="4" width="15" style="73" customWidth="1"/>
    <col min="5" max="5" width="38.25" style="73" customWidth="1"/>
    <col min="6" max="16384" width="10" style="73"/>
  </cols>
  <sheetData>
    <row r="1" spans="1:5" ht="26.25" customHeight="1" x14ac:dyDescent="0.15">
      <c r="A1" s="313" t="s">
        <v>373</v>
      </c>
      <c r="B1" s="343"/>
      <c r="C1" s="343"/>
      <c r="D1" s="343"/>
    </row>
    <row r="2" spans="1:5" ht="45.75" customHeight="1" x14ac:dyDescent="0.15">
      <c r="A2" s="315" t="str">
        <f>'Công trình'!A2</f>
        <v>CÔNG TRÌNH : XÂY DỰNG HỆ THỐNG CỐNG HỘP KÊNH BẾN KEM ĐOẠN TỪ NHÀ ÔNG CHÍN ĐẾN KÊNH ĐẠI TRÀ 2, XÃ KIẾN MINH</v>
      </c>
      <c r="B2" s="343"/>
      <c r="C2" s="343"/>
      <c r="D2" s="343"/>
    </row>
    <row r="3" spans="1:5" s="99" customFormat="1" ht="37.5" customHeight="1" x14ac:dyDescent="0.2">
      <c r="A3" s="341" t="s">
        <v>374</v>
      </c>
      <c r="B3" s="342"/>
      <c r="C3" s="342"/>
      <c r="D3" s="342"/>
    </row>
    <row r="4" spans="1:5" ht="26.25" customHeight="1" x14ac:dyDescent="0.15">
      <c r="A4" s="79" t="s">
        <v>4</v>
      </c>
      <c r="B4" s="333" t="s">
        <v>375</v>
      </c>
      <c r="C4" s="334"/>
      <c r="D4" s="19" t="s">
        <v>376</v>
      </c>
    </row>
    <row r="5" spans="1:5" ht="15" hidden="1" customHeight="1" x14ac:dyDescent="0.15">
      <c r="A5" s="100"/>
      <c r="B5" s="337" t="s">
        <v>377</v>
      </c>
      <c r="C5" s="338"/>
      <c r="D5" s="101">
        <v>0</v>
      </c>
    </row>
    <row r="6" spans="1:5" ht="15" customHeight="1" x14ac:dyDescent="0.15">
      <c r="A6" s="100">
        <v>1</v>
      </c>
      <c r="B6" s="337" t="s">
        <v>378</v>
      </c>
      <c r="C6" s="338"/>
      <c r="D6" s="101">
        <v>0</v>
      </c>
      <c r="E6" s="343"/>
    </row>
    <row r="7" spans="1:5" ht="15" customHeight="1" x14ac:dyDescent="0.15">
      <c r="A7" s="100">
        <v>2</v>
      </c>
      <c r="B7" s="337" t="s">
        <v>379</v>
      </c>
      <c r="C7" s="338"/>
      <c r="D7" s="101">
        <v>26</v>
      </c>
      <c r="E7" s="343"/>
    </row>
    <row r="8" spans="1:5" ht="15" customHeight="1" x14ac:dyDescent="0.15">
      <c r="A8" s="102">
        <v>3</v>
      </c>
      <c r="B8" s="339" t="s">
        <v>380</v>
      </c>
      <c r="C8" s="340"/>
      <c r="D8" s="103">
        <v>1</v>
      </c>
    </row>
    <row r="9" spans="1:5" s="99" customFormat="1" ht="37.5" customHeight="1" x14ac:dyDescent="0.2">
      <c r="A9" s="341" t="s">
        <v>381</v>
      </c>
      <c r="B9" s="342"/>
      <c r="C9" s="342"/>
      <c r="D9" s="342"/>
    </row>
    <row r="10" spans="1:5" ht="26.25" customHeight="1" x14ac:dyDescent="0.15">
      <c r="A10" s="79" t="s">
        <v>4</v>
      </c>
      <c r="B10" s="333" t="s">
        <v>382</v>
      </c>
      <c r="C10" s="334"/>
      <c r="D10" s="19" t="s">
        <v>383</v>
      </c>
    </row>
    <row r="11" spans="1:5" ht="15" customHeight="1" x14ac:dyDescent="0.15">
      <c r="A11" s="100">
        <v>1</v>
      </c>
      <c r="B11" s="337" t="s">
        <v>384</v>
      </c>
      <c r="C11" s="338"/>
      <c r="D11" s="104">
        <v>0</v>
      </c>
    </row>
    <row r="12" spans="1:5" ht="15" customHeight="1" x14ac:dyDescent="0.15">
      <c r="A12" s="100">
        <v>2</v>
      </c>
      <c r="B12" s="337" t="s">
        <v>385</v>
      </c>
      <c r="C12" s="338"/>
      <c r="D12" s="104">
        <v>0</v>
      </c>
    </row>
    <row r="13" spans="1:5" ht="15" customHeight="1" x14ac:dyDescent="0.15">
      <c r="A13" s="100">
        <v>3</v>
      </c>
      <c r="B13" s="337" t="s">
        <v>386</v>
      </c>
      <c r="C13" s="338"/>
      <c r="D13" s="104">
        <v>0</v>
      </c>
    </row>
    <row r="14" spans="1:5" ht="15" customHeight="1" x14ac:dyDescent="0.15">
      <c r="A14" s="100">
        <v>4</v>
      </c>
      <c r="B14" s="337" t="s">
        <v>387</v>
      </c>
      <c r="C14" s="338"/>
      <c r="D14" s="104">
        <v>0</v>
      </c>
    </row>
    <row r="15" spans="1:5" ht="15" customHeight="1" x14ac:dyDescent="0.15">
      <c r="A15" s="100">
        <v>5</v>
      </c>
      <c r="B15" s="337" t="s">
        <v>388</v>
      </c>
      <c r="C15" s="338"/>
      <c r="D15" s="104">
        <v>0</v>
      </c>
    </row>
    <row r="16" spans="1:5" ht="15" customHeight="1" x14ac:dyDescent="0.15">
      <c r="A16" s="100">
        <v>6</v>
      </c>
      <c r="B16" s="337" t="s">
        <v>389</v>
      </c>
      <c r="C16" s="338"/>
      <c r="D16" s="104">
        <v>0</v>
      </c>
    </row>
    <row r="17" spans="1:5" ht="15" customHeight="1" x14ac:dyDescent="0.15">
      <c r="A17" s="100">
        <v>7</v>
      </c>
      <c r="B17" s="337" t="s">
        <v>390</v>
      </c>
      <c r="C17" s="338"/>
      <c r="D17" s="104">
        <v>0</v>
      </c>
    </row>
    <row r="18" spans="1:5" ht="15" customHeight="1" x14ac:dyDescent="0.15">
      <c r="A18" s="100">
        <v>8</v>
      </c>
      <c r="B18" s="337" t="s">
        <v>391</v>
      </c>
      <c r="C18" s="338"/>
      <c r="D18" s="104">
        <v>0</v>
      </c>
    </row>
    <row r="19" spans="1:5" ht="15" customHeight="1" x14ac:dyDescent="0.15">
      <c r="A19" s="100">
        <v>9</v>
      </c>
      <c r="B19" s="337" t="s">
        <v>392</v>
      </c>
      <c r="C19" s="338"/>
      <c r="D19" s="104">
        <v>0</v>
      </c>
    </row>
    <row r="20" spans="1:5" ht="15" customHeight="1" x14ac:dyDescent="0.15">
      <c r="A20" s="102">
        <v>10</v>
      </c>
      <c r="B20" s="339" t="s">
        <v>393</v>
      </c>
      <c r="C20" s="340"/>
      <c r="D20" s="105">
        <v>0</v>
      </c>
    </row>
    <row r="21" spans="1:5" s="99" customFormat="1" ht="37.5" customHeight="1" x14ac:dyDescent="0.2">
      <c r="A21" s="341" t="s">
        <v>394</v>
      </c>
      <c r="B21" s="342"/>
      <c r="C21" s="342"/>
      <c r="D21" s="342"/>
    </row>
    <row r="22" spans="1:5" ht="26.25" customHeight="1" x14ac:dyDescent="0.15">
      <c r="A22" s="79" t="s">
        <v>4</v>
      </c>
      <c r="B22" s="19" t="s">
        <v>395</v>
      </c>
      <c r="C22" s="19" t="s">
        <v>226</v>
      </c>
      <c r="D22" s="19" t="str">
        <f>"Đơn giá "&amp;'Công trình'!AM1</f>
        <v>Đơn giá (đ)</v>
      </c>
    </row>
    <row r="23" spans="1:5" ht="15" customHeight="1" x14ac:dyDescent="0.15">
      <c r="A23" s="100">
        <v>1</v>
      </c>
      <c r="B23" s="106" t="s">
        <v>396</v>
      </c>
      <c r="C23" s="85" t="s">
        <v>397</v>
      </c>
      <c r="D23" s="107">
        <v>16824.07</v>
      </c>
      <c r="E23" s="344"/>
    </row>
    <row r="24" spans="1:5" ht="15" customHeight="1" x14ac:dyDescent="0.15">
      <c r="A24" s="100">
        <v>2</v>
      </c>
      <c r="B24" s="106" t="s">
        <v>398</v>
      </c>
      <c r="C24" s="85" t="s">
        <v>397</v>
      </c>
      <c r="D24" s="107">
        <v>11785.28</v>
      </c>
      <c r="E24" s="343"/>
    </row>
    <row r="25" spans="1:5" ht="30" customHeight="1" x14ac:dyDescent="0.15">
      <c r="A25" s="100">
        <v>3</v>
      </c>
      <c r="B25" s="106" t="s">
        <v>399</v>
      </c>
      <c r="C25" s="85" t="s">
        <v>400</v>
      </c>
      <c r="D25" s="107">
        <v>1987</v>
      </c>
      <c r="E25" s="73" t="s">
        <v>401</v>
      </c>
    </row>
    <row r="26" spans="1:5" ht="30" customHeight="1" x14ac:dyDescent="0.15">
      <c r="A26" s="102">
        <v>4</v>
      </c>
      <c r="B26" s="108" t="s">
        <v>402</v>
      </c>
      <c r="C26" s="93" t="s">
        <v>397</v>
      </c>
      <c r="D26" s="109">
        <v>16972.22</v>
      </c>
      <c r="E26" s="73" t="s">
        <v>403</v>
      </c>
    </row>
    <row r="27" spans="1:5" s="99" customFormat="1" ht="37.5" customHeight="1" x14ac:dyDescent="0.2">
      <c r="A27" s="341" t="s">
        <v>404</v>
      </c>
      <c r="B27" s="342"/>
      <c r="C27" s="342"/>
      <c r="D27" s="342"/>
    </row>
    <row r="28" spans="1:5" ht="26.25" customHeight="1" x14ac:dyDescent="0.15">
      <c r="A28" s="79" t="s">
        <v>4</v>
      </c>
      <c r="B28" s="333" t="s">
        <v>405</v>
      </c>
      <c r="C28" s="334"/>
      <c r="D28" s="19" t="s">
        <v>227</v>
      </c>
    </row>
    <row r="29" spans="1:5" ht="15" customHeight="1" x14ac:dyDescent="0.15">
      <c r="A29" s="100">
        <v>1</v>
      </c>
      <c r="B29" s="337" t="s">
        <v>406</v>
      </c>
      <c r="C29" s="338"/>
      <c r="D29" s="110">
        <v>1.03</v>
      </c>
    </row>
    <row r="30" spans="1:5" ht="15" customHeight="1" x14ac:dyDescent="0.15">
      <c r="A30" s="100">
        <v>2</v>
      </c>
      <c r="B30" s="337" t="s">
        <v>407</v>
      </c>
      <c r="C30" s="338"/>
      <c r="D30" s="110">
        <v>1</v>
      </c>
    </row>
    <row r="31" spans="1:5" ht="15" customHeight="1" x14ac:dyDescent="0.15">
      <c r="A31" s="100">
        <v>3</v>
      </c>
      <c r="B31" s="337" t="s">
        <v>408</v>
      </c>
      <c r="C31" s="338"/>
      <c r="D31" s="110">
        <v>1.05</v>
      </c>
    </row>
    <row r="32" spans="1:5" ht="15" customHeight="1" x14ac:dyDescent="0.15">
      <c r="A32" s="102">
        <v>4</v>
      </c>
      <c r="B32" s="339" t="s">
        <v>409</v>
      </c>
      <c r="C32" s="340"/>
      <c r="D32" s="103">
        <v>1.02</v>
      </c>
    </row>
    <row r="33" spans="1:5" s="99" customFormat="1" ht="37.5" customHeight="1" x14ac:dyDescent="0.2">
      <c r="A33" s="341" t="s">
        <v>410</v>
      </c>
      <c r="B33" s="342"/>
      <c r="C33" s="342"/>
      <c r="D33" s="342"/>
    </row>
    <row r="34" spans="1:5" ht="26.25" customHeight="1" x14ac:dyDescent="0.15">
      <c r="A34" s="79" t="s">
        <v>4</v>
      </c>
      <c r="B34" s="333" t="s">
        <v>395</v>
      </c>
      <c r="C34" s="334"/>
      <c r="D34" s="19" t="s">
        <v>376</v>
      </c>
    </row>
    <row r="35" spans="1:5" ht="15" customHeight="1" x14ac:dyDescent="0.15">
      <c r="A35" s="100">
        <v>1</v>
      </c>
      <c r="B35" s="337" t="s">
        <v>411</v>
      </c>
      <c r="C35" s="338"/>
      <c r="D35" s="101">
        <v>30</v>
      </c>
    </row>
    <row r="36" spans="1:5" ht="15" customHeight="1" x14ac:dyDescent="0.15">
      <c r="A36" s="102">
        <v>2</v>
      </c>
      <c r="B36" s="339" t="s">
        <v>412</v>
      </c>
      <c r="C36" s="340"/>
      <c r="D36" s="105">
        <v>0.1</v>
      </c>
    </row>
    <row r="37" spans="1:5" s="99" customFormat="1" ht="37.5" customHeight="1" x14ac:dyDescent="0.2">
      <c r="A37" s="341" t="s">
        <v>413</v>
      </c>
      <c r="B37" s="342"/>
      <c r="C37" s="342"/>
      <c r="D37" s="342"/>
    </row>
    <row r="38" spans="1:5" ht="26.25" customHeight="1" x14ac:dyDescent="0.15">
      <c r="A38" s="79" t="s">
        <v>4</v>
      </c>
      <c r="B38" s="333" t="s">
        <v>414</v>
      </c>
      <c r="C38" s="334"/>
      <c r="D38" s="19" t="s">
        <v>415</v>
      </c>
    </row>
    <row r="39" spans="1:5" ht="15" customHeight="1" x14ac:dyDescent="0.15">
      <c r="A39" s="100">
        <v>1</v>
      </c>
      <c r="B39" s="337" t="s">
        <v>416</v>
      </c>
      <c r="C39" s="338"/>
      <c r="D39" s="101">
        <v>1</v>
      </c>
      <c r="E39" s="73">
        <f>D39</f>
        <v>1</v>
      </c>
    </row>
    <row r="40" spans="1:5" ht="15" customHeight="1" x14ac:dyDescent="0.15">
      <c r="A40" s="100">
        <v>2</v>
      </c>
      <c r="B40" s="337" t="s">
        <v>417</v>
      </c>
      <c r="C40" s="338"/>
      <c r="D40" s="101">
        <v>-2</v>
      </c>
      <c r="E40" s="73">
        <f>D40</f>
        <v>-2</v>
      </c>
    </row>
    <row r="41" spans="1:5" ht="15" customHeight="1" x14ac:dyDescent="0.15">
      <c r="A41" s="100">
        <v>3</v>
      </c>
      <c r="B41" s="337" t="s">
        <v>418</v>
      </c>
      <c r="C41" s="338"/>
      <c r="D41" s="101">
        <v>0</v>
      </c>
    </row>
    <row r="42" spans="1:5" ht="15" customHeight="1" x14ac:dyDescent="0.15">
      <c r="A42" s="102">
        <v>4</v>
      </c>
      <c r="B42" s="339" t="s">
        <v>419</v>
      </c>
      <c r="C42" s="340"/>
      <c r="D42" s="111">
        <v>3</v>
      </c>
    </row>
    <row r="43" spans="1:5" s="99" customFormat="1" ht="37.5" customHeight="1" x14ac:dyDescent="0.2">
      <c r="A43" s="341" t="s">
        <v>420</v>
      </c>
      <c r="B43" s="342"/>
      <c r="C43" s="342"/>
      <c r="D43" s="342"/>
    </row>
    <row r="44" spans="1:5" ht="26.25" customHeight="1" x14ac:dyDescent="0.15">
      <c r="A44" s="79" t="s">
        <v>4</v>
      </c>
      <c r="B44" s="333" t="s">
        <v>421</v>
      </c>
      <c r="C44" s="334"/>
      <c r="D44" s="19" t="s">
        <v>422</v>
      </c>
    </row>
    <row r="45" spans="1:5" ht="15" customHeight="1" x14ac:dyDescent="0.15">
      <c r="A45" s="100">
        <v>1</v>
      </c>
      <c r="B45" s="337" t="s">
        <v>423</v>
      </c>
      <c r="C45" s="338"/>
      <c r="D45" s="85" t="s">
        <v>424</v>
      </c>
    </row>
    <row r="46" spans="1:5" ht="15" customHeight="1" x14ac:dyDescent="0.15">
      <c r="A46" s="100">
        <v>2</v>
      </c>
      <c r="B46" s="337" t="s">
        <v>425</v>
      </c>
      <c r="C46" s="338"/>
      <c r="D46" s="85" t="s">
        <v>426</v>
      </c>
    </row>
    <row r="47" spans="1:5" ht="15" customHeight="1" x14ac:dyDescent="0.15">
      <c r="A47" s="102">
        <v>3</v>
      </c>
      <c r="B47" s="339" t="s">
        <v>427</v>
      </c>
      <c r="C47" s="340"/>
      <c r="D47" s="93" t="s">
        <v>428</v>
      </c>
    </row>
  </sheetData>
  <mergeCells count="44">
    <mergeCell ref="A1:D1"/>
    <mergeCell ref="A2:D2"/>
    <mergeCell ref="B4:C4"/>
    <mergeCell ref="B5:C5"/>
    <mergeCell ref="B6:C6"/>
    <mergeCell ref="B18:C18"/>
    <mergeCell ref="B19:C19"/>
    <mergeCell ref="B8:C8"/>
    <mergeCell ref="A3:D3"/>
    <mergeCell ref="B10:C10"/>
    <mergeCell ref="B11:C11"/>
    <mergeCell ref="B12:C12"/>
    <mergeCell ref="B13:C13"/>
    <mergeCell ref="B7:C7"/>
    <mergeCell ref="B41:C41"/>
    <mergeCell ref="B42:C42"/>
    <mergeCell ref="A37:D37"/>
    <mergeCell ref="B31:C31"/>
    <mergeCell ref="B32:C32"/>
    <mergeCell ref="B34:C34"/>
    <mergeCell ref="B35:C35"/>
    <mergeCell ref="B36:C36"/>
    <mergeCell ref="A33:D33"/>
    <mergeCell ref="E6:E7"/>
    <mergeCell ref="E23:E24"/>
    <mergeCell ref="B38:C38"/>
    <mergeCell ref="B39:C39"/>
    <mergeCell ref="B40:C40"/>
    <mergeCell ref="A27:D27"/>
    <mergeCell ref="B20:C20"/>
    <mergeCell ref="A9:D9"/>
    <mergeCell ref="A21:D21"/>
    <mergeCell ref="B28:C28"/>
    <mergeCell ref="B29:C29"/>
    <mergeCell ref="B30:C30"/>
    <mergeCell ref="B14:C14"/>
    <mergeCell ref="B15:C15"/>
    <mergeCell ref="B16:C16"/>
    <mergeCell ref="B17:C17"/>
    <mergeCell ref="B44:C44"/>
    <mergeCell ref="B45:C45"/>
    <mergeCell ref="B46:C46"/>
    <mergeCell ref="B47:C47"/>
    <mergeCell ref="A43:D43"/>
  </mergeCells>
  <pageMargins left="1.1875" right="0" top="0.80208333333333337" bottom="0.80208333333333337" header="0.40625" footer="0.40625"/>
  <pageSetup paperSize="9" orientation="landscape" blackAndWhite="1" verticalDpi="0"/>
  <headerFooter alignWithMargins="0">
    <oddFooter>&amp;C&amp;P</oddFooter>
  </headerFooter>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B7798-C54E-A04C-ACBA-D0F135ECC377}">
  <dimension ref="A1:U11"/>
  <sheetViews>
    <sheetView showZeros="0" workbookViewId="0">
      <selection activeCell="A8" sqref="A8"/>
    </sheetView>
  </sheetViews>
  <sheetFormatPr baseColWidth="10" defaultColWidth="10" defaultRowHeight="15" customHeight="1" x14ac:dyDescent="0.15"/>
  <cols>
    <col min="1" max="1" width="10" style="73" customWidth="1"/>
    <col min="2" max="2" width="12.5" style="73" customWidth="1"/>
    <col min="3" max="3" width="33.25" style="73" customWidth="1"/>
    <col min="4" max="4" width="11.75" style="73" customWidth="1"/>
    <col min="5" max="5" width="9.25" style="73" customWidth="1"/>
    <col min="6" max="7" width="15" style="73" customWidth="1"/>
    <col min="8" max="19" width="15" style="73" hidden="1" customWidth="1"/>
    <col min="20" max="20" width="15" style="73" customWidth="1"/>
    <col min="21" max="21" width="16.75" style="68" hidden="1" customWidth="1"/>
    <col min="22" max="16384" width="10" style="73"/>
  </cols>
  <sheetData>
    <row r="1" spans="1:21" ht="26.25" customHeight="1" x14ac:dyDescent="0.15">
      <c r="A1" s="313" t="s">
        <v>429</v>
      </c>
      <c r="B1" s="343"/>
      <c r="C1" s="343"/>
      <c r="D1" s="343"/>
      <c r="E1" s="343"/>
      <c r="F1" s="343"/>
      <c r="G1" s="343"/>
      <c r="H1" s="343"/>
      <c r="I1" s="343"/>
      <c r="J1" s="343"/>
      <c r="K1" s="343"/>
      <c r="L1" s="343"/>
      <c r="M1" s="343"/>
      <c r="N1" s="343"/>
      <c r="O1" s="343"/>
      <c r="P1" s="343"/>
      <c r="Q1" s="343"/>
      <c r="R1" s="343"/>
      <c r="S1" s="343"/>
      <c r="T1" s="343"/>
    </row>
    <row r="2" spans="1:21" ht="15" customHeight="1" x14ac:dyDescent="0.15">
      <c r="A2" s="346" t="s">
        <v>430</v>
      </c>
      <c r="B2" s="343"/>
      <c r="C2" s="343"/>
      <c r="D2" s="343"/>
      <c r="E2" s="343"/>
      <c r="F2" s="343"/>
      <c r="G2" s="343"/>
      <c r="H2" s="343"/>
      <c r="I2" s="343"/>
      <c r="J2" s="343"/>
      <c r="K2" s="343"/>
      <c r="L2" s="343"/>
      <c r="M2" s="343"/>
      <c r="N2" s="343"/>
      <c r="O2" s="343"/>
      <c r="P2" s="343"/>
      <c r="Q2" s="343"/>
      <c r="R2" s="343"/>
      <c r="S2" s="343"/>
      <c r="T2" s="343"/>
    </row>
    <row r="3" spans="1:21" ht="32.25" customHeight="1" x14ac:dyDescent="0.15">
      <c r="A3" s="315" t="str">
        <f>'Công trình'!A2</f>
        <v>CÔNG TRÌNH : XÂY DỰNG HỆ THỐNG CỐNG HỘP KÊNH BẾN KEM ĐOẠN TỪ NHÀ ÔNG CHÍN ĐẾN KÊNH ĐẠI TRÀ 2, XÃ KIẾN MINH</v>
      </c>
      <c r="B3" s="343"/>
      <c r="C3" s="343"/>
      <c r="D3" s="343"/>
      <c r="E3" s="343"/>
      <c r="F3" s="343"/>
      <c r="G3" s="343"/>
      <c r="H3" s="343"/>
      <c r="I3" s="343"/>
      <c r="J3" s="343"/>
      <c r="K3" s="343"/>
      <c r="L3" s="343"/>
      <c r="M3" s="343"/>
      <c r="N3" s="343"/>
      <c r="O3" s="343"/>
      <c r="P3" s="343"/>
      <c r="Q3" s="343"/>
      <c r="R3" s="343"/>
      <c r="S3" s="343"/>
      <c r="T3" s="343"/>
    </row>
    <row r="4" spans="1:21" ht="22.5" customHeight="1" x14ac:dyDescent="0.15">
      <c r="A4" s="347" t="str">
        <f>"Đơn vị tính:  "&amp;'Công trình'!AM1</f>
        <v>Đơn vị tính:  (đ)</v>
      </c>
      <c r="B4" s="343"/>
      <c r="C4" s="343"/>
      <c r="D4" s="343"/>
      <c r="E4" s="343"/>
      <c r="F4" s="343"/>
      <c r="G4" s="343"/>
      <c r="H4" s="343"/>
      <c r="I4" s="343"/>
      <c r="J4" s="343"/>
      <c r="K4" s="343"/>
      <c r="L4" s="343"/>
      <c r="M4" s="343"/>
      <c r="N4" s="343"/>
      <c r="O4" s="343"/>
      <c r="P4" s="343"/>
      <c r="Q4" s="343"/>
      <c r="R4" s="343"/>
      <c r="S4" s="343"/>
      <c r="T4" s="343"/>
    </row>
    <row r="5" spans="1:21" ht="27.75" customHeight="1" x14ac:dyDescent="0.15">
      <c r="A5" s="335" t="s">
        <v>4</v>
      </c>
      <c r="B5" s="331" t="s">
        <v>224</v>
      </c>
      <c r="C5" s="331" t="s">
        <v>431</v>
      </c>
      <c r="D5" s="331" t="s">
        <v>226</v>
      </c>
      <c r="E5" s="331" t="s">
        <v>432</v>
      </c>
      <c r="F5" s="331" t="s">
        <v>433</v>
      </c>
      <c r="G5" s="331" t="s">
        <v>434</v>
      </c>
      <c r="H5" s="331" t="s">
        <v>435</v>
      </c>
      <c r="I5" s="333" t="str">
        <f>"Phụ cấp "&amp;'Công trình'!AM1</f>
        <v>Phụ cấp (đ)</v>
      </c>
      <c r="J5" s="333"/>
      <c r="K5" s="333"/>
      <c r="L5" s="333"/>
      <c r="M5" s="333"/>
      <c r="N5" s="333"/>
      <c r="O5" s="333"/>
      <c r="P5" s="333"/>
      <c r="Q5" s="333"/>
      <c r="R5" s="334"/>
      <c r="S5" s="331" t="s">
        <v>436</v>
      </c>
      <c r="T5" s="331" t="s">
        <v>437</v>
      </c>
      <c r="U5" s="345" t="s">
        <v>438</v>
      </c>
    </row>
    <row r="6" spans="1:21" ht="45" customHeight="1" x14ac:dyDescent="0.15">
      <c r="A6" s="348"/>
      <c r="B6" s="349"/>
      <c r="C6" s="349"/>
      <c r="D6" s="349"/>
      <c r="E6" s="349"/>
      <c r="F6" s="349"/>
      <c r="G6" s="349"/>
      <c r="H6" s="349"/>
      <c r="I6" s="19" t="str">
        <f>"Lưu động _x000D_
("&amp;'Đầu vào'!D11*100&amp;"% LTC)"</f>
        <v>Lưu động _x000D_
(0% LTC)</v>
      </c>
      <c r="J6" s="19" t="str">
        <f>"Không ổn định S.X _x000D_
("&amp;'Đầu vào'!D12*100&amp;"% LCB)"</f>
        <v>Không ổn định S.X _x000D_
(0% LCB)</v>
      </c>
      <c r="K6" s="19" t="str">
        <f>"Lương phụ nghỉ lễ, tết _x000D_
("&amp;'Đầu vào'!D13*100&amp;"% LCB)"</f>
        <v>Lương phụ nghỉ lễ, tết _x000D_
(0% LCB)</v>
      </c>
      <c r="L6" s="19" t="str">
        <f>"Khoán trực tiếp _x000D_
("&amp;'Đầu vào'!D14*100&amp;"% LCB)"</f>
        <v>Khoán trực tiếp _x000D_
(0% LCB)</v>
      </c>
      <c r="M6" s="19" t="str">
        <f>"Khu vực _x000D_
("&amp;'Đầu vào'!D15*100&amp;"% LTC)"</f>
        <v>Khu vực _x000D_
(0% LTC)</v>
      </c>
      <c r="N6" s="19" t="str">
        <f>"Độc hại _x000D_
("&amp;'Đầu vào'!D16*100&amp;"% LTC)"</f>
        <v>Độc hại _x000D_
(0% LTC)</v>
      </c>
      <c r="O6" s="19" t="str">
        <f>"Thu hút _x000D_
("&amp;'Đầu vào'!D17*100&amp;"% LCB)"</f>
        <v>Thu hút _x000D_
(0% LCB)</v>
      </c>
      <c r="P6" s="19" t="str">
        <f>"Trách nhiệm _x000D_
("&amp;'Đầu vào'!D18*100&amp;"% LTC)"</f>
        <v>Trách nhiệm _x000D_
(0% LTC)</v>
      </c>
      <c r="Q6" s="19" t="str">
        <f>"Bảo hiểm _x000D_
("&amp;'Đầu vào'!D19*100&amp;"% LCB)"</f>
        <v>Bảo hiểm _x000D_
(0% LCB)</v>
      </c>
      <c r="R6" s="19" t="str">
        <f>"Vùng sâu, vùng xa _x000D_
("&amp;'Đầu vào'!D20*100&amp;"% LCB)"</f>
        <v>Vùng sâu, vùng xa _x000D_
(0% LCB)</v>
      </c>
      <c r="S6" s="349"/>
      <c r="T6" s="349"/>
      <c r="U6" s="345"/>
    </row>
    <row r="7" spans="1:21" ht="27.75" customHeight="1" x14ac:dyDescent="0.15">
      <c r="A7" s="336"/>
      <c r="B7" s="332"/>
      <c r="C7" s="332"/>
      <c r="D7" s="332"/>
      <c r="E7" s="332"/>
      <c r="F7" s="332"/>
      <c r="G7" s="332"/>
      <c r="H7" s="332"/>
      <c r="I7" s="112">
        <f>'Đầu vào'!D11</f>
        <v>0</v>
      </c>
      <c r="J7" s="112">
        <f>'Đầu vào'!D12</f>
        <v>0</v>
      </c>
      <c r="K7" s="112">
        <f>'Đầu vào'!D13</f>
        <v>0</v>
      </c>
      <c r="L7" s="112">
        <f>'Đầu vào'!D14</f>
        <v>0</v>
      </c>
      <c r="M7" s="112">
        <f>'Đầu vào'!D15</f>
        <v>0</v>
      </c>
      <c r="N7" s="112">
        <f>'Đầu vào'!D16</f>
        <v>0</v>
      </c>
      <c r="O7" s="112">
        <f>'Đầu vào'!D17</f>
        <v>0</v>
      </c>
      <c r="P7" s="112">
        <f>'Đầu vào'!D18</f>
        <v>0</v>
      </c>
      <c r="Q7" s="112">
        <f>'Đầu vào'!D19</f>
        <v>0</v>
      </c>
      <c r="R7" s="112">
        <f>'Đầu vào'!D20</f>
        <v>0</v>
      </c>
      <c r="S7" s="332"/>
      <c r="T7" s="332"/>
      <c r="U7" s="345"/>
    </row>
    <row r="8" spans="1:21" ht="30" x14ac:dyDescent="0.15">
      <c r="A8" s="100">
        <v>1</v>
      </c>
      <c r="B8" s="85" t="str">
        <f>'Giá tháng'!B27</f>
        <v>N1.30</v>
      </c>
      <c r="C8" s="86" t="str">
        <f>'Giá tháng'!C27</f>
        <v>Nhân công 3,0/7 - Nhóm 1</v>
      </c>
      <c r="D8" s="85" t="str">
        <f>'Giá tháng'!D27</f>
        <v>công</v>
      </c>
      <c r="E8" s="113">
        <f>ROUND(U8,'Đầu vào'!D42)</f>
        <v>1.39</v>
      </c>
      <c r="F8" s="114">
        <v>266500</v>
      </c>
      <c r="G8" s="115">
        <v>1.52</v>
      </c>
      <c r="H8" s="114">
        <f>E8*F8/G8</f>
        <v>243707.23684210525</v>
      </c>
      <c r="I8" s="114"/>
      <c r="J8" s="114">
        <f>J7*H8</f>
        <v>0</v>
      </c>
      <c r="K8" s="114">
        <f>K7*H8</f>
        <v>0</v>
      </c>
      <c r="L8" s="114">
        <f>L7*H8</f>
        <v>0</v>
      </c>
      <c r="M8" s="114"/>
      <c r="N8" s="114"/>
      <c r="O8" s="114">
        <f>O7*H8</f>
        <v>0</v>
      </c>
      <c r="P8" s="114"/>
      <c r="Q8" s="114">
        <f>Q7*H8</f>
        <v>0</v>
      </c>
      <c r="R8" s="114">
        <f>R7*H8</f>
        <v>0</v>
      </c>
      <c r="S8" s="86"/>
      <c r="T8" s="116">
        <f>ROUND(SUM(H8:R8),'Đầu vào'!D40)</f>
        <v>243700</v>
      </c>
      <c r="U8" s="68">
        <v>1.39</v>
      </c>
    </row>
    <row r="9" spans="1:21" ht="30" x14ac:dyDescent="0.15">
      <c r="A9" s="100">
        <v>2</v>
      </c>
      <c r="B9" s="85" t="str">
        <f>'Giá tháng'!B28</f>
        <v>N2.30</v>
      </c>
      <c r="C9" s="86" t="str">
        <f>'Giá tháng'!C28</f>
        <v>Nhân công 3,0/7 - Nhóm 2</v>
      </c>
      <c r="D9" s="85" t="str">
        <f>'Giá tháng'!D28</f>
        <v>công</v>
      </c>
      <c r="E9" s="113">
        <f>ROUND(U9,'Đầu vào'!D42)</f>
        <v>1.39</v>
      </c>
      <c r="F9" s="114">
        <v>288500</v>
      </c>
      <c r="G9" s="115">
        <v>1.52</v>
      </c>
      <c r="H9" s="114">
        <f>E9*F9/G9</f>
        <v>263825.65789473685</v>
      </c>
      <c r="I9" s="114"/>
      <c r="J9" s="114">
        <f>J7*H9</f>
        <v>0</v>
      </c>
      <c r="K9" s="114">
        <f>K7*H9</f>
        <v>0</v>
      </c>
      <c r="L9" s="114">
        <f>L7*H9</f>
        <v>0</v>
      </c>
      <c r="M9" s="114"/>
      <c r="N9" s="114"/>
      <c r="O9" s="114">
        <f>O7*H9</f>
        <v>0</v>
      </c>
      <c r="P9" s="114"/>
      <c r="Q9" s="114">
        <f>Q7*H9</f>
        <v>0</v>
      </c>
      <c r="R9" s="114">
        <f>R7*H9</f>
        <v>0</v>
      </c>
      <c r="S9" s="86"/>
      <c r="T9" s="116">
        <f>ROUND(SUM(H9:R9),'Đầu vào'!D40)</f>
        <v>263800</v>
      </c>
      <c r="U9" s="68">
        <v>1.39</v>
      </c>
    </row>
    <row r="10" spans="1:21" ht="30" x14ac:dyDescent="0.15">
      <c r="A10" s="100">
        <v>3</v>
      </c>
      <c r="B10" s="85" t="str">
        <f>'Giá tháng'!B29</f>
        <v>N2.35</v>
      </c>
      <c r="C10" s="86" t="str">
        <f>'Giá tháng'!C29</f>
        <v>Nhân công 3,5/7 - Nhóm 2</v>
      </c>
      <c r="D10" s="85" t="str">
        <f>'Giá tháng'!D29</f>
        <v>công</v>
      </c>
      <c r="E10" s="113">
        <f>ROUND(U10,'Đầu vào'!D42)</f>
        <v>1.52</v>
      </c>
      <c r="F10" s="114">
        <v>288500</v>
      </c>
      <c r="G10" s="115">
        <v>1.52</v>
      </c>
      <c r="H10" s="114">
        <f>E10*F10/G10</f>
        <v>288500</v>
      </c>
      <c r="I10" s="114"/>
      <c r="J10" s="114">
        <f>J7*H10</f>
        <v>0</v>
      </c>
      <c r="K10" s="114">
        <f>K7*H10</f>
        <v>0</v>
      </c>
      <c r="L10" s="114">
        <f>L7*H10</f>
        <v>0</v>
      </c>
      <c r="M10" s="114"/>
      <c r="N10" s="114"/>
      <c r="O10" s="114">
        <f>O7*H10</f>
        <v>0</v>
      </c>
      <c r="P10" s="114"/>
      <c r="Q10" s="114">
        <f>Q7*H10</f>
        <v>0</v>
      </c>
      <c r="R10" s="114">
        <f>R7*H10</f>
        <v>0</v>
      </c>
      <c r="S10" s="86"/>
      <c r="T10" s="116">
        <f>ROUND(SUM(H10:R10),'Đầu vào'!D40)</f>
        <v>288500</v>
      </c>
      <c r="U10" s="68">
        <v>1.52</v>
      </c>
    </row>
    <row r="11" spans="1:21" ht="30" x14ac:dyDescent="0.15">
      <c r="A11" s="102">
        <v>4</v>
      </c>
      <c r="B11" s="93" t="str">
        <f>'Giá tháng'!B30</f>
        <v>N2.40</v>
      </c>
      <c r="C11" s="94" t="str">
        <f>'Giá tháng'!C30</f>
        <v>Nhân công 4,0/7 - Nhóm 2</v>
      </c>
      <c r="D11" s="93" t="str">
        <f>'Giá tháng'!D30</f>
        <v>công</v>
      </c>
      <c r="E11" s="117">
        <f>ROUND(U11,'Đầu vào'!D42)</f>
        <v>1.65</v>
      </c>
      <c r="F11" s="118">
        <v>288500</v>
      </c>
      <c r="G11" s="119">
        <v>1.52</v>
      </c>
      <c r="H11" s="118">
        <f>E11*F11/G11</f>
        <v>313174.34210526315</v>
      </c>
      <c r="I11" s="118"/>
      <c r="J11" s="118">
        <f>J7*H11</f>
        <v>0</v>
      </c>
      <c r="K11" s="118">
        <f>K7*H11</f>
        <v>0</v>
      </c>
      <c r="L11" s="118">
        <f>L7*H11</f>
        <v>0</v>
      </c>
      <c r="M11" s="118"/>
      <c r="N11" s="118"/>
      <c r="O11" s="118">
        <f>O7*H11</f>
        <v>0</v>
      </c>
      <c r="P11" s="118"/>
      <c r="Q11" s="118">
        <f>Q7*H11</f>
        <v>0</v>
      </c>
      <c r="R11" s="118">
        <f>R7*H11</f>
        <v>0</v>
      </c>
      <c r="S11" s="94"/>
      <c r="T11" s="120">
        <f>ROUND(SUM(H11:R11),'Đầu vào'!D40)</f>
        <v>313200</v>
      </c>
      <c r="U11" s="68">
        <v>1.65</v>
      </c>
    </row>
  </sheetData>
  <mergeCells count="16">
    <mergeCell ref="U5:U7"/>
    <mergeCell ref="A1:T1"/>
    <mergeCell ref="A2:T2"/>
    <mergeCell ref="A3:T3"/>
    <mergeCell ref="A4:T4"/>
    <mergeCell ref="A5:A7"/>
    <mergeCell ref="B5:B7"/>
    <mergeCell ref="C5:C7"/>
    <mergeCell ref="D5:D7"/>
    <mergeCell ref="E5:E7"/>
    <mergeCell ref="F5:F7"/>
    <mergeCell ref="G5:G7"/>
    <mergeCell ref="H5:H7"/>
    <mergeCell ref="I5:R5"/>
    <mergeCell ref="S5:S7"/>
    <mergeCell ref="T5:T7"/>
  </mergeCells>
  <pageMargins left="1.1875" right="0" top="0.80208333333333337" bottom="0.80208333333333337" header="0.40625" footer="0.40625"/>
  <pageSetup paperSize="9" orientation="landscape" blackAndWhite="1" verticalDpi="0"/>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D66CB-A6DC-C445-919F-10E0F8A926B6}">
  <dimension ref="A1:K211"/>
  <sheetViews>
    <sheetView workbookViewId="0">
      <selection activeCell="A6" sqref="A6"/>
    </sheetView>
  </sheetViews>
  <sheetFormatPr baseColWidth="10" defaultColWidth="10" defaultRowHeight="15" customHeight="1" x14ac:dyDescent="0.15"/>
  <cols>
    <col min="1" max="1" width="10" style="73" customWidth="1"/>
    <col min="2" max="2" width="14.25" style="73" customWidth="1"/>
    <col min="3" max="3" width="50" style="73" customWidth="1"/>
    <col min="4" max="4" width="11.75" style="73" customWidth="1"/>
    <col min="5" max="5" width="16.75" style="73" customWidth="1"/>
    <col min="6" max="7" width="8.25" style="73" customWidth="1"/>
    <col min="8" max="8" width="16.75" style="73" customWidth="1"/>
    <col min="9" max="9" width="8.25" style="73" customWidth="1"/>
    <col min="10" max="10" width="8.25" style="73" hidden="1" customWidth="1"/>
    <col min="11" max="11" width="15" style="73" customWidth="1"/>
    <col min="12" max="16384" width="10" style="73"/>
  </cols>
  <sheetData>
    <row r="1" spans="1:11" ht="26.25" customHeight="1" x14ac:dyDescent="0.15">
      <c r="A1" s="313" t="s">
        <v>439</v>
      </c>
      <c r="B1" s="343"/>
      <c r="C1" s="343"/>
      <c r="D1" s="343"/>
      <c r="E1" s="343"/>
      <c r="F1" s="343"/>
      <c r="G1" s="343"/>
      <c r="H1" s="343"/>
      <c r="I1" s="343"/>
      <c r="J1" s="343"/>
      <c r="K1" s="343"/>
    </row>
    <row r="2" spans="1:11" ht="15" customHeight="1" x14ac:dyDescent="0.15">
      <c r="A2" s="346" t="s">
        <v>440</v>
      </c>
      <c r="B2" s="343"/>
      <c r="C2" s="343"/>
      <c r="D2" s="343"/>
      <c r="E2" s="343"/>
      <c r="F2" s="343"/>
      <c r="G2" s="343"/>
      <c r="H2" s="343"/>
      <c r="I2" s="343"/>
      <c r="J2" s="343"/>
      <c r="K2" s="343"/>
    </row>
    <row r="3" spans="1:11" ht="32.25" customHeight="1" x14ac:dyDescent="0.15">
      <c r="A3" s="315" t="str">
        <f>'Công trình'!A2</f>
        <v>CÔNG TRÌNH : XÂY DỰNG HỆ THỐNG CỐNG HỘP KÊNH BẾN KEM ĐOẠN TỪ NHÀ ÔNG CHÍN ĐẾN KÊNH ĐẠI TRÀ 2, XÃ KIẾN MINH</v>
      </c>
      <c r="B3" s="343"/>
      <c r="C3" s="343"/>
      <c r="D3" s="343"/>
      <c r="E3" s="343"/>
      <c r="F3" s="343"/>
      <c r="G3" s="343"/>
      <c r="H3" s="343"/>
      <c r="I3" s="343"/>
      <c r="J3" s="343"/>
      <c r="K3" s="343"/>
    </row>
    <row r="4" spans="1:11" ht="22.5" customHeight="1" x14ac:dyDescent="0.15">
      <c r="A4" s="347" t="str">
        <f>"Đơn vị tính:  "&amp;'Công trình'!AM1</f>
        <v>Đơn vị tính:  (đ)</v>
      </c>
      <c r="B4" s="343"/>
      <c r="C4" s="343"/>
      <c r="D4" s="343"/>
      <c r="E4" s="343"/>
      <c r="F4" s="343"/>
      <c r="G4" s="343"/>
      <c r="H4" s="343"/>
      <c r="I4" s="343"/>
      <c r="J4" s="343"/>
      <c r="K4" s="343"/>
    </row>
    <row r="5" spans="1:11" ht="48.75" customHeight="1" x14ac:dyDescent="0.15">
      <c r="A5" s="79" t="s">
        <v>4</v>
      </c>
      <c r="B5" s="19" t="s">
        <v>224</v>
      </c>
      <c r="C5" s="19" t="s">
        <v>441</v>
      </c>
      <c r="D5" s="19" t="s">
        <v>226</v>
      </c>
      <c r="E5" s="19" t="str">
        <f>"Nguyên giá_x000D_
"&amp;'Công trình'!AM1</f>
        <v>Nguyên giá_x000D_
(đ)</v>
      </c>
      <c r="F5" s="19" t="s">
        <v>442</v>
      </c>
      <c r="G5" s="19" t="s">
        <v>443</v>
      </c>
      <c r="H5" s="19" t="str">
        <f>"Đơn giá_x000D_
"&amp;'Công trình'!AM1</f>
        <v>Đơn giá_x000D_
(đ)</v>
      </c>
      <c r="I5" s="19" t="s">
        <v>227</v>
      </c>
      <c r="J5" s="19" t="s">
        <v>444</v>
      </c>
      <c r="K5" s="19" t="str">
        <f>"Chi phí_x000D_
"&amp;'Công trình'!AM1</f>
        <v>Chi phí_x000D_
(đ)</v>
      </c>
    </row>
    <row r="6" spans="1:11" ht="16.5" customHeight="1" x14ac:dyDescent="0.15">
      <c r="A6" s="121">
        <v>1</v>
      </c>
      <c r="B6" s="122" t="str">
        <f>'Giá tháng'!B32</f>
        <v>M109.0507</v>
      </c>
      <c r="C6" s="123" t="str">
        <f>'Giá tháng'!C32</f>
        <v>Ca nô 150 CV</v>
      </c>
      <c r="D6" s="122" t="str">
        <f>'Giá tháng'!D32</f>
        <v>ca</v>
      </c>
      <c r="E6" s="124">
        <v>364360000</v>
      </c>
      <c r="F6" s="125">
        <v>260</v>
      </c>
      <c r="G6" s="123"/>
      <c r="H6" s="126"/>
      <c r="I6" s="122"/>
      <c r="J6" s="122"/>
      <c r="K6" s="127">
        <f>ROUND(K7+K9+K16,'Đầu vào'!D41)</f>
        <v>1995246</v>
      </c>
    </row>
    <row r="7" spans="1:11" ht="16.5" customHeight="1" x14ac:dyDescent="0.15">
      <c r="A7" s="128"/>
      <c r="B7" s="129"/>
      <c r="C7" s="130" t="s">
        <v>445</v>
      </c>
      <c r="D7" s="129"/>
      <c r="E7" s="131"/>
      <c r="F7" s="132"/>
      <c r="G7" s="130"/>
      <c r="H7" s="133"/>
      <c r="I7" s="129"/>
      <c r="J7" s="129"/>
      <c r="K7" s="133">
        <f>SUM(K8:K8)</f>
        <v>398562.21830000001</v>
      </c>
    </row>
    <row r="8" spans="1:11" ht="16.5" customHeight="1" x14ac:dyDescent="0.15">
      <c r="A8" s="100"/>
      <c r="B8" s="85"/>
      <c r="C8" s="86" t="str">
        <f>" - "&amp;'Đầu vào'!B23</f>
        <v xml:space="preserve"> - Diezel</v>
      </c>
      <c r="D8" s="85" t="str">
        <f>'Đầu vào'!C23</f>
        <v>Lít</v>
      </c>
      <c r="E8" s="116"/>
      <c r="F8" s="134"/>
      <c r="G8" s="135">
        <v>23</v>
      </c>
      <c r="H8" s="114">
        <f>'Đầu vào'!D23</f>
        <v>16824.07</v>
      </c>
      <c r="I8" s="136">
        <f>'Đầu vào'!D29</f>
        <v>1.03</v>
      </c>
      <c r="J8" s="85"/>
      <c r="K8" s="114">
        <f>G8*H8*I8</f>
        <v>398562.21830000001</v>
      </c>
    </row>
    <row r="9" spans="1:11" ht="16.5" customHeight="1" x14ac:dyDescent="0.15">
      <c r="A9" s="128"/>
      <c r="B9" s="129"/>
      <c r="C9" s="130" t="s">
        <v>446</v>
      </c>
      <c r="D9" s="129"/>
      <c r="E9" s="131"/>
      <c r="F9" s="132"/>
      <c r="G9" s="130"/>
      <c r="H9" s="133"/>
      <c r="I9" s="129"/>
      <c r="J9" s="129"/>
      <c r="K9" s="133">
        <f>G10*K10+G12*K12+G14*K14</f>
        <v>1309400</v>
      </c>
    </row>
    <row r="10" spans="1:11" ht="16.5" customHeight="1" x14ac:dyDescent="0.15">
      <c r="A10" s="100"/>
      <c r="B10" s="85"/>
      <c r="C10" s="86" t="s">
        <v>447</v>
      </c>
      <c r="D10" s="85"/>
      <c r="E10" s="116"/>
      <c r="F10" s="134"/>
      <c r="G10" s="135">
        <v>1</v>
      </c>
      <c r="H10" s="114"/>
      <c r="I10" s="85"/>
      <c r="J10" s="85"/>
      <c r="K10" s="114">
        <f>ROUND(SUM(K11:K11),'Đầu vào'!E40)</f>
        <v>507300</v>
      </c>
    </row>
    <row r="11" spans="1:11" ht="16.5" customHeight="1" x14ac:dyDescent="0.15">
      <c r="A11" s="100"/>
      <c r="B11" s="85"/>
      <c r="C11" s="86" t="s">
        <v>448</v>
      </c>
      <c r="D11" s="85"/>
      <c r="E11" s="116"/>
      <c r="F11" s="134"/>
      <c r="G11" s="87">
        <v>1</v>
      </c>
      <c r="H11" s="114">
        <v>520000</v>
      </c>
      <c r="I11" s="136">
        <v>1.0249999999999999</v>
      </c>
      <c r="J11" s="85"/>
      <c r="K11" s="114">
        <f>IF(G11&lt;&gt;0,G11*H11/I11,H11)</f>
        <v>507317.07317073178</v>
      </c>
    </row>
    <row r="12" spans="1:11" ht="16.5" customHeight="1" x14ac:dyDescent="0.15">
      <c r="A12" s="100"/>
      <c r="B12" s="85"/>
      <c r="C12" s="86" t="s">
        <v>449</v>
      </c>
      <c r="D12" s="85"/>
      <c r="E12" s="116"/>
      <c r="F12" s="134"/>
      <c r="G12" s="135">
        <v>1</v>
      </c>
      <c r="H12" s="114"/>
      <c r="I12" s="85"/>
      <c r="J12" s="85"/>
      <c r="K12" s="114">
        <f>ROUND(SUM(K13:K13),'Đầu vào'!E40)</f>
        <v>418900</v>
      </c>
    </row>
    <row r="13" spans="1:11" ht="16.5" customHeight="1" x14ac:dyDescent="0.15">
      <c r="A13" s="100"/>
      <c r="B13" s="85"/>
      <c r="C13" s="86" t="s">
        <v>448</v>
      </c>
      <c r="D13" s="85"/>
      <c r="E13" s="116"/>
      <c r="F13" s="134"/>
      <c r="G13" s="87">
        <v>1</v>
      </c>
      <c r="H13" s="114">
        <v>429400</v>
      </c>
      <c r="I13" s="136">
        <v>1.0249999999999999</v>
      </c>
      <c r="J13" s="85"/>
      <c r="K13" s="114">
        <f>IF(G13&lt;&gt;0,G13*H13/I13,H13)</f>
        <v>418926.8292682927</v>
      </c>
    </row>
    <row r="14" spans="1:11" ht="16.5" customHeight="1" x14ac:dyDescent="0.15">
      <c r="A14" s="100"/>
      <c r="B14" s="85"/>
      <c r="C14" s="86" t="s">
        <v>450</v>
      </c>
      <c r="D14" s="85"/>
      <c r="E14" s="116"/>
      <c r="F14" s="134"/>
      <c r="G14" s="135">
        <v>1</v>
      </c>
      <c r="H14" s="114"/>
      <c r="I14" s="85"/>
      <c r="J14" s="85"/>
      <c r="K14" s="114">
        <f>ROUND(SUM(K15:K15),'Đầu vào'!E40)</f>
        <v>383200</v>
      </c>
    </row>
    <row r="15" spans="1:11" ht="16.5" customHeight="1" x14ac:dyDescent="0.15">
      <c r="A15" s="100"/>
      <c r="B15" s="85"/>
      <c r="C15" s="86" t="s">
        <v>448</v>
      </c>
      <c r="D15" s="85"/>
      <c r="E15" s="116"/>
      <c r="F15" s="134"/>
      <c r="G15" s="87">
        <v>1.1299999999999999</v>
      </c>
      <c r="H15" s="114">
        <v>383200</v>
      </c>
      <c r="I15" s="136">
        <v>1.1299999999999999</v>
      </c>
      <c r="J15" s="85"/>
      <c r="K15" s="114">
        <f>IF(G15&lt;&gt;0,G15*H15/I15,H15)</f>
        <v>383200</v>
      </c>
    </row>
    <row r="16" spans="1:11" ht="16.5" customHeight="1" x14ac:dyDescent="0.15">
      <c r="A16" s="128"/>
      <c r="B16" s="129"/>
      <c r="C16" s="130" t="s">
        <v>451</v>
      </c>
      <c r="D16" s="129"/>
      <c r="E16" s="131"/>
      <c r="F16" s="132"/>
      <c r="G16" s="130"/>
      <c r="H16" s="133"/>
      <c r="I16" s="129"/>
      <c r="J16" s="129"/>
      <c r="K16" s="133">
        <f>SUM(K17:K19)</f>
        <v>287283.84615384619</v>
      </c>
    </row>
    <row r="17" spans="1:11" ht="16.5" customHeight="1" x14ac:dyDescent="0.15">
      <c r="A17" s="100"/>
      <c r="B17" s="85"/>
      <c r="C17" s="86" t="s">
        <v>452</v>
      </c>
      <c r="D17" s="85"/>
      <c r="E17" s="116"/>
      <c r="F17" s="134"/>
      <c r="G17" s="137">
        <v>0.11</v>
      </c>
      <c r="H17" s="114">
        <f>E6</f>
        <v>364360000</v>
      </c>
      <c r="I17" s="138">
        <f>IF(E6&gt;='Đầu vào'!D35*10^6,1-'Đầu vào'!D36,1)</f>
        <v>0.9</v>
      </c>
      <c r="J17" s="85"/>
      <c r="K17" s="114">
        <f>G17*H17*I17/F6</f>
        <v>138737.07692307694</v>
      </c>
    </row>
    <row r="18" spans="1:11" ht="16.5" customHeight="1" x14ac:dyDescent="0.15">
      <c r="A18" s="100"/>
      <c r="B18" s="85"/>
      <c r="C18" s="86" t="s">
        <v>453</v>
      </c>
      <c r="D18" s="85"/>
      <c r="E18" s="116"/>
      <c r="F18" s="134"/>
      <c r="G18" s="137">
        <v>4.5999999999999999E-2</v>
      </c>
      <c r="H18" s="114">
        <f>E6</f>
        <v>364360000</v>
      </c>
      <c r="I18" s="85"/>
      <c r="J18" s="85"/>
      <c r="K18" s="114">
        <f>G18*H18/F6</f>
        <v>64463.692307692305</v>
      </c>
    </row>
    <row r="19" spans="1:11" ht="16.5" customHeight="1" x14ac:dyDescent="0.15">
      <c r="A19" s="100"/>
      <c r="B19" s="85"/>
      <c r="C19" s="86" t="s">
        <v>454</v>
      </c>
      <c r="D19" s="85"/>
      <c r="E19" s="116"/>
      <c r="F19" s="134"/>
      <c r="G19" s="137">
        <v>0.06</v>
      </c>
      <c r="H19" s="114">
        <f>E6</f>
        <v>364360000</v>
      </c>
      <c r="I19" s="85"/>
      <c r="J19" s="85"/>
      <c r="K19" s="114">
        <f>G19*H19/F6</f>
        <v>84083.076923076922</v>
      </c>
    </row>
    <row r="20" spans="1:11" ht="16.5" customHeight="1" x14ac:dyDescent="0.15">
      <c r="A20" s="121">
        <v>2</v>
      </c>
      <c r="B20" s="122" t="str">
        <f>'Giá tháng'!B33</f>
        <v>M102.0302</v>
      </c>
      <c r="C20" s="123" t="str">
        <f>'Giá tháng'!C33</f>
        <v>Cần cẩu bánh xích 10T</v>
      </c>
      <c r="D20" s="122" t="str">
        <f>'Giá tháng'!D33</f>
        <v>ca</v>
      </c>
      <c r="E20" s="124">
        <v>1085398000</v>
      </c>
      <c r="F20" s="125">
        <v>250</v>
      </c>
      <c r="G20" s="123"/>
      <c r="H20" s="126"/>
      <c r="I20" s="122"/>
      <c r="J20" s="122"/>
      <c r="K20" s="127">
        <f>ROUND(K21+K23+K28,'Đầu vào'!D41)</f>
        <v>2090057</v>
      </c>
    </row>
    <row r="21" spans="1:11" ht="16.5" customHeight="1" x14ac:dyDescent="0.15">
      <c r="A21" s="128"/>
      <c r="B21" s="129"/>
      <c r="C21" s="130" t="s">
        <v>445</v>
      </c>
      <c r="D21" s="129"/>
      <c r="E21" s="131"/>
      <c r="F21" s="132"/>
      <c r="G21" s="130"/>
      <c r="H21" s="133"/>
      <c r="I21" s="129"/>
      <c r="J21" s="129"/>
      <c r="K21" s="133">
        <f>SUM(K22:K22)</f>
        <v>623836.51560000004</v>
      </c>
    </row>
    <row r="22" spans="1:11" ht="16.5" customHeight="1" x14ac:dyDescent="0.15">
      <c r="A22" s="100"/>
      <c r="B22" s="85"/>
      <c r="C22" s="86" t="str">
        <f>" - "&amp;'Đầu vào'!B23</f>
        <v xml:space="preserve"> - Diezel</v>
      </c>
      <c r="D22" s="85" t="str">
        <f>'Đầu vào'!C23</f>
        <v>Lít</v>
      </c>
      <c r="E22" s="116"/>
      <c r="F22" s="134"/>
      <c r="G22" s="135">
        <v>36</v>
      </c>
      <c r="H22" s="114">
        <f>'Đầu vào'!D23</f>
        <v>16824.07</v>
      </c>
      <c r="I22" s="136">
        <f>'Đầu vào'!D29</f>
        <v>1.03</v>
      </c>
      <c r="J22" s="85"/>
      <c r="K22" s="114">
        <f>G22*H22*I22</f>
        <v>623836.51560000004</v>
      </c>
    </row>
    <row r="23" spans="1:11" ht="16.5" customHeight="1" x14ac:dyDescent="0.15">
      <c r="A23" s="128"/>
      <c r="B23" s="129"/>
      <c r="C23" s="130" t="s">
        <v>446</v>
      </c>
      <c r="D23" s="129"/>
      <c r="E23" s="131"/>
      <c r="F23" s="132"/>
      <c r="G23" s="130"/>
      <c r="H23" s="133"/>
      <c r="I23" s="129"/>
      <c r="J23" s="129"/>
      <c r="K23" s="133">
        <f>G24*K24+G26*K26</f>
        <v>702100</v>
      </c>
    </row>
    <row r="24" spans="1:11" ht="16.5" customHeight="1" x14ac:dyDescent="0.15">
      <c r="A24" s="100"/>
      <c r="B24" s="85"/>
      <c r="C24" s="86" t="s">
        <v>455</v>
      </c>
      <c r="D24" s="85"/>
      <c r="E24" s="116"/>
      <c r="F24" s="134"/>
      <c r="G24" s="135">
        <v>1</v>
      </c>
      <c r="H24" s="114"/>
      <c r="I24" s="85"/>
      <c r="J24" s="85"/>
      <c r="K24" s="114">
        <f>ROUND(SUM(K25:K25),'Đầu vào'!E40)</f>
        <v>322700</v>
      </c>
    </row>
    <row r="25" spans="1:11" ht="16.5" customHeight="1" x14ac:dyDescent="0.15">
      <c r="A25" s="100"/>
      <c r="B25" s="85"/>
      <c r="C25" s="86" t="s">
        <v>448</v>
      </c>
      <c r="D25" s="85"/>
      <c r="E25" s="116"/>
      <c r="F25" s="134"/>
      <c r="G25" s="87">
        <v>1.65</v>
      </c>
      <c r="H25" s="114">
        <v>297300</v>
      </c>
      <c r="I25" s="136">
        <v>1.52</v>
      </c>
      <c r="J25" s="85"/>
      <c r="K25" s="114">
        <f>IF(G25&lt;&gt;0,G25*H25/I25,H25)</f>
        <v>322726.9736842105</v>
      </c>
    </row>
    <row r="26" spans="1:11" ht="16.5" customHeight="1" x14ac:dyDescent="0.15">
      <c r="A26" s="100"/>
      <c r="B26" s="85"/>
      <c r="C26" s="86" t="s">
        <v>456</v>
      </c>
      <c r="D26" s="85"/>
      <c r="E26" s="116"/>
      <c r="F26" s="134"/>
      <c r="G26" s="135">
        <v>1</v>
      </c>
      <c r="H26" s="114"/>
      <c r="I26" s="85"/>
      <c r="J26" s="85"/>
      <c r="K26" s="114">
        <f>ROUND(SUM(K27:K27),'Đầu vào'!E40)</f>
        <v>379400</v>
      </c>
    </row>
    <row r="27" spans="1:11" ht="16.5" customHeight="1" x14ac:dyDescent="0.15">
      <c r="A27" s="100"/>
      <c r="B27" s="85"/>
      <c r="C27" s="86" t="s">
        <v>448</v>
      </c>
      <c r="D27" s="85"/>
      <c r="E27" s="116"/>
      <c r="F27" s="134"/>
      <c r="G27" s="87">
        <v>1.94</v>
      </c>
      <c r="H27" s="114">
        <v>297300</v>
      </c>
      <c r="I27" s="136">
        <v>1.52</v>
      </c>
      <c r="J27" s="85"/>
      <c r="K27" s="114">
        <f>IF(G27&lt;&gt;0,G27*H27/I27,H27)</f>
        <v>379448.68421052629</v>
      </c>
    </row>
    <row r="28" spans="1:11" ht="16.5" customHeight="1" x14ac:dyDescent="0.15">
      <c r="A28" s="128"/>
      <c r="B28" s="129"/>
      <c r="C28" s="130" t="s">
        <v>451</v>
      </c>
      <c r="D28" s="129"/>
      <c r="E28" s="131"/>
      <c r="F28" s="132"/>
      <c r="G28" s="130"/>
      <c r="H28" s="133"/>
      <c r="I28" s="129"/>
      <c r="J28" s="129"/>
      <c r="K28" s="133">
        <f>SUM(K29:K31)</f>
        <v>764120.19199999992</v>
      </c>
    </row>
    <row r="29" spans="1:11" ht="16.5" customHeight="1" x14ac:dyDescent="0.15">
      <c r="A29" s="100"/>
      <c r="B29" s="85"/>
      <c r="C29" s="86" t="s">
        <v>452</v>
      </c>
      <c r="D29" s="85"/>
      <c r="E29" s="116"/>
      <c r="F29" s="134"/>
      <c r="G29" s="137">
        <v>0.09</v>
      </c>
      <c r="H29" s="114">
        <f>E20</f>
        <v>1085398000</v>
      </c>
      <c r="I29" s="138">
        <f>IF(E20&gt;='Đầu vào'!D35*10^6,1-'Đầu vào'!D36,1)</f>
        <v>0.9</v>
      </c>
      <c r="J29" s="85"/>
      <c r="K29" s="114">
        <f>G29*H29*I29/F20</f>
        <v>351668.95199999999</v>
      </c>
    </row>
    <row r="30" spans="1:11" ht="16.5" customHeight="1" x14ac:dyDescent="0.15">
      <c r="A30" s="100"/>
      <c r="B30" s="85"/>
      <c r="C30" s="86" t="s">
        <v>453</v>
      </c>
      <c r="D30" s="85"/>
      <c r="E30" s="116"/>
      <c r="F30" s="134"/>
      <c r="G30" s="137">
        <v>4.4999999999999998E-2</v>
      </c>
      <c r="H30" s="114">
        <f>E20</f>
        <v>1085398000</v>
      </c>
      <c r="I30" s="85"/>
      <c r="J30" s="85"/>
      <c r="K30" s="114">
        <f>G30*H30/F20</f>
        <v>195371.64</v>
      </c>
    </row>
    <row r="31" spans="1:11" ht="16.5" customHeight="1" x14ac:dyDescent="0.15">
      <c r="A31" s="100"/>
      <c r="B31" s="85"/>
      <c r="C31" s="86" t="s">
        <v>454</v>
      </c>
      <c r="D31" s="85"/>
      <c r="E31" s="116"/>
      <c r="F31" s="134"/>
      <c r="G31" s="137">
        <v>0.05</v>
      </c>
      <c r="H31" s="114">
        <f>E20</f>
        <v>1085398000</v>
      </c>
      <c r="I31" s="85"/>
      <c r="J31" s="85"/>
      <c r="K31" s="114">
        <f>G31*H31/F20</f>
        <v>217079.6</v>
      </c>
    </row>
    <row r="32" spans="1:11" ht="16.5" customHeight="1" x14ac:dyDescent="0.15">
      <c r="A32" s="121">
        <v>3</v>
      </c>
      <c r="B32" s="122" t="str">
        <f>'Giá tháng'!B34</f>
        <v>M102.0501</v>
      </c>
      <c r="C32" s="123" t="str">
        <f>'Giá tháng'!C34</f>
        <v>Cần cẩu nổi, kéo theo 30T</v>
      </c>
      <c r="D32" s="122" t="str">
        <f>'Giá tháng'!D34</f>
        <v>ca</v>
      </c>
      <c r="E32" s="124">
        <v>2794100000</v>
      </c>
      <c r="F32" s="125">
        <v>195</v>
      </c>
      <c r="G32" s="123"/>
      <c r="H32" s="126"/>
      <c r="I32" s="122"/>
      <c r="J32" s="122"/>
      <c r="K32" s="127">
        <f>ROUND(K33+K35+K46,'Đầu vào'!D41)</f>
        <v>6848149</v>
      </c>
    </row>
    <row r="33" spans="1:11" ht="16.5" customHeight="1" x14ac:dyDescent="0.15">
      <c r="A33" s="128"/>
      <c r="B33" s="129"/>
      <c r="C33" s="130" t="s">
        <v>445</v>
      </c>
      <c r="D33" s="129"/>
      <c r="E33" s="131"/>
      <c r="F33" s="132"/>
      <c r="G33" s="130"/>
      <c r="H33" s="133"/>
      <c r="I33" s="129"/>
      <c r="J33" s="129"/>
      <c r="K33" s="133">
        <f>SUM(K34:K34)</f>
        <v>1403632.1601</v>
      </c>
    </row>
    <row r="34" spans="1:11" ht="16.5" customHeight="1" x14ac:dyDescent="0.15">
      <c r="A34" s="100"/>
      <c r="B34" s="85"/>
      <c r="C34" s="86" t="str">
        <f>" - "&amp;'Đầu vào'!B23</f>
        <v xml:space="preserve"> - Diezel</v>
      </c>
      <c r="D34" s="85" t="str">
        <f>'Đầu vào'!C23</f>
        <v>Lít</v>
      </c>
      <c r="E34" s="116"/>
      <c r="F34" s="134"/>
      <c r="G34" s="135">
        <v>81</v>
      </c>
      <c r="H34" s="114">
        <f>'Đầu vào'!D23</f>
        <v>16824.07</v>
      </c>
      <c r="I34" s="136">
        <f>'Đầu vào'!D29</f>
        <v>1.03</v>
      </c>
      <c r="J34" s="85"/>
      <c r="K34" s="114">
        <f>G34*H34*I34</f>
        <v>1403632.1601</v>
      </c>
    </row>
    <row r="35" spans="1:11" ht="16.5" customHeight="1" x14ac:dyDescent="0.15">
      <c r="A35" s="128"/>
      <c r="B35" s="129"/>
      <c r="C35" s="130" t="s">
        <v>446</v>
      </c>
      <c r="D35" s="129"/>
      <c r="E35" s="131"/>
      <c r="F35" s="132"/>
      <c r="G35" s="130"/>
      <c r="H35" s="133"/>
      <c r="I35" s="129"/>
      <c r="J35" s="129"/>
      <c r="K35" s="133">
        <f>G36*K36+G38*K38+G40*K40+G42*K42+G44*K44</f>
        <v>2392500</v>
      </c>
    </row>
    <row r="36" spans="1:11" ht="16.5" customHeight="1" x14ac:dyDescent="0.15">
      <c r="A36" s="100"/>
      <c r="B36" s="85"/>
      <c r="C36" s="86" t="s">
        <v>457</v>
      </c>
      <c r="D36" s="85"/>
      <c r="E36" s="116"/>
      <c r="F36" s="134"/>
      <c r="G36" s="135">
        <v>1</v>
      </c>
      <c r="H36" s="114"/>
      <c r="I36" s="85"/>
      <c r="J36" s="85"/>
      <c r="K36" s="114">
        <f>ROUND(SUM(K37:K37),'Đầu vào'!E40)</f>
        <v>418900</v>
      </c>
    </row>
    <row r="37" spans="1:11" ht="16.5" customHeight="1" x14ac:dyDescent="0.15">
      <c r="A37" s="100"/>
      <c r="B37" s="85"/>
      <c r="C37" s="86" t="s">
        <v>448</v>
      </c>
      <c r="D37" s="85"/>
      <c r="E37" s="116"/>
      <c r="F37" s="134"/>
      <c r="G37" s="87">
        <v>1</v>
      </c>
      <c r="H37" s="114">
        <v>429400</v>
      </c>
      <c r="I37" s="136">
        <v>1.0249999999999999</v>
      </c>
      <c r="J37" s="85"/>
      <c r="K37" s="114">
        <f>IF(G37&lt;&gt;0,G37*H37/I37,H37)</f>
        <v>418926.8292682927</v>
      </c>
    </row>
    <row r="38" spans="1:11" ht="16.5" customHeight="1" x14ac:dyDescent="0.15">
      <c r="A38" s="100"/>
      <c r="B38" s="85"/>
      <c r="C38" s="86" t="s">
        <v>458</v>
      </c>
      <c r="D38" s="85"/>
      <c r="E38" s="116"/>
      <c r="F38" s="134"/>
      <c r="G38" s="135">
        <v>2</v>
      </c>
      <c r="H38" s="114"/>
      <c r="I38" s="85"/>
      <c r="J38" s="85"/>
      <c r="K38" s="114">
        <f>ROUND(SUM(K39:K39),'Đầu vào'!E40)</f>
        <v>383200</v>
      </c>
    </row>
    <row r="39" spans="1:11" ht="16.5" customHeight="1" x14ac:dyDescent="0.15">
      <c r="A39" s="100"/>
      <c r="B39" s="85"/>
      <c r="C39" s="86" t="s">
        <v>448</v>
      </c>
      <c r="D39" s="85"/>
      <c r="E39" s="116"/>
      <c r="F39" s="134"/>
      <c r="G39" s="87">
        <v>1.1299999999999999</v>
      </c>
      <c r="H39" s="114">
        <v>383200</v>
      </c>
      <c r="I39" s="136">
        <v>1.1299999999999999</v>
      </c>
      <c r="J39" s="85"/>
      <c r="K39" s="114">
        <f>IF(G39&lt;&gt;0,G39*H39/I39,H39)</f>
        <v>383200</v>
      </c>
    </row>
    <row r="40" spans="1:11" ht="16.5" customHeight="1" x14ac:dyDescent="0.15">
      <c r="A40" s="100"/>
      <c r="B40" s="85"/>
      <c r="C40" s="86" t="s">
        <v>459</v>
      </c>
      <c r="D40" s="85"/>
      <c r="E40" s="116"/>
      <c r="F40" s="134"/>
      <c r="G40" s="135">
        <v>1</v>
      </c>
      <c r="H40" s="114"/>
      <c r="I40" s="85"/>
      <c r="J40" s="85"/>
      <c r="K40" s="114">
        <f>ROUND(SUM(K41:K41),'Đầu vào'!E40)</f>
        <v>440800</v>
      </c>
    </row>
    <row r="41" spans="1:11" ht="16.5" customHeight="1" x14ac:dyDescent="0.15">
      <c r="A41" s="100"/>
      <c r="B41" s="85"/>
      <c r="C41" s="86" t="s">
        <v>448</v>
      </c>
      <c r="D41" s="85"/>
      <c r="E41" s="116"/>
      <c r="F41" s="134"/>
      <c r="G41" s="87">
        <v>1.3</v>
      </c>
      <c r="H41" s="114">
        <v>383200</v>
      </c>
      <c r="I41" s="136">
        <v>1.1299999999999999</v>
      </c>
      <c r="J41" s="85"/>
      <c r="K41" s="114">
        <f>IF(G41&lt;&gt;0,G41*H41/I41,H41)</f>
        <v>440849.55752212391</v>
      </c>
    </row>
    <row r="42" spans="1:11" ht="16.5" customHeight="1" x14ac:dyDescent="0.15">
      <c r="A42" s="100"/>
      <c r="B42" s="85"/>
      <c r="C42" s="86" t="s">
        <v>460</v>
      </c>
      <c r="D42" s="85"/>
      <c r="E42" s="116"/>
      <c r="F42" s="134"/>
      <c r="G42" s="135">
        <v>1</v>
      </c>
      <c r="H42" s="114"/>
      <c r="I42" s="85"/>
      <c r="J42" s="85"/>
      <c r="K42" s="114">
        <f>ROUND(SUM(K43:K43),'Đầu vào'!E40)</f>
        <v>383200</v>
      </c>
    </row>
    <row r="43" spans="1:11" ht="16.5" customHeight="1" x14ac:dyDescent="0.15">
      <c r="A43" s="100"/>
      <c r="B43" s="85"/>
      <c r="C43" s="86" t="s">
        <v>448</v>
      </c>
      <c r="D43" s="85"/>
      <c r="E43" s="116"/>
      <c r="F43" s="134"/>
      <c r="G43" s="87">
        <v>1.1299999999999999</v>
      </c>
      <c r="H43" s="114">
        <v>383200</v>
      </c>
      <c r="I43" s="136">
        <v>1.1299999999999999</v>
      </c>
      <c r="J43" s="85"/>
      <c r="K43" s="114">
        <f>IF(G43&lt;&gt;0,G43*H43/I43,H43)</f>
        <v>383200</v>
      </c>
    </row>
    <row r="44" spans="1:11" ht="16.5" customHeight="1" x14ac:dyDescent="0.15">
      <c r="A44" s="100"/>
      <c r="B44" s="85"/>
      <c r="C44" s="86" t="s">
        <v>450</v>
      </c>
      <c r="D44" s="85"/>
      <c r="E44" s="116"/>
      <c r="F44" s="134"/>
      <c r="G44" s="135">
        <v>1</v>
      </c>
      <c r="H44" s="114"/>
      <c r="I44" s="85"/>
      <c r="J44" s="85"/>
      <c r="K44" s="114">
        <f>ROUND(SUM(K45:K45),'Đầu vào'!E40)</f>
        <v>383200</v>
      </c>
    </row>
    <row r="45" spans="1:11" ht="16.5" customHeight="1" x14ac:dyDescent="0.15">
      <c r="A45" s="100"/>
      <c r="B45" s="85"/>
      <c r="C45" s="86" t="s">
        <v>448</v>
      </c>
      <c r="D45" s="85"/>
      <c r="E45" s="116"/>
      <c r="F45" s="134"/>
      <c r="G45" s="87">
        <v>1.1299999999999999</v>
      </c>
      <c r="H45" s="114">
        <v>383200</v>
      </c>
      <c r="I45" s="136">
        <v>1.1299999999999999</v>
      </c>
      <c r="J45" s="85"/>
      <c r="K45" s="114">
        <f>IF(G45&lt;&gt;0,G45*H45/I45,H45)</f>
        <v>383200</v>
      </c>
    </row>
    <row r="46" spans="1:11" ht="16.5" customHeight="1" x14ac:dyDescent="0.15">
      <c r="A46" s="128"/>
      <c r="B46" s="129"/>
      <c r="C46" s="130" t="s">
        <v>451</v>
      </c>
      <c r="D46" s="129"/>
      <c r="E46" s="131"/>
      <c r="F46" s="132"/>
      <c r="G46" s="130"/>
      <c r="H46" s="133"/>
      <c r="I46" s="129"/>
      <c r="J46" s="129"/>
      <c r="K46" s="133">
        <f>SUM(K47:K49)</f>
        <v>3052016.923076923</v>
      </c>
    </row>
    <row r="47" spans="1:11" ht="16.5" customHeight="1" x14ac:dyDescent="0.15">
      <c r="A47" s="100"/>
      <c r="B47" s="85"/>
      <c r="C47" s="86" t="s">
        <v>452</v>
      </c>
      <c r="D47" s="85"/>
      <c r="E47" s="116"/>
      <c r="F47" s="134"/>
      <c r="G47" s="137">
        <v>0.09</v>
      </c>
      <c r="H47" s="114">
        <f>E32</f>
        <v>2794100000</v>
      </c>
      <c r="I47" s="138">
        <f>IF(E32&gt;='Đầu vào'!D35*10^6,1-'Đầu vào'!D36,1)</f>
        <v>0.9</v>
      </c>
      <c r="J47" s="85"/>
      <c r="K47" s="114">
        <f>G47*H47*I47/F32</f>
        <v>1160626.1538461538</v>
      </c>
    </row>
    <row r="48" spans="1:11" ht="16.5" customHeight="1" x14ac:dyDescent="0.15">
      <c r="A48" s="100"/>
      <c r="B48" s="85"/>
      <c r="C48" s="86" t="s">
        <v>453</v>
      </c>
      <c r="D48" s="85"/>
      <c r="E48" s="116"/>
      <c r="F48" s="134"/>
      <c r="G48" s="137">
        <v>6.2E-2</v>
      </c>
      <c r="H48" s="114">
        <f>E32</f>
        <v>2794100000</v>
      </c>
      <c r="I48" s="85"/>
      <c r="J48" s="85"/>
      <c r="K48" s="114">
        <f>G48*H48/F32</f>
        <v>888380.51282051287</v>
      </c>
    </row>
    <row r="49" spans="1:11" ht="16.5" customHeight="1" x14ac:dyDescent="0.15">
      <c r="A49" s="100"/>
      <c r="B49" s="85"/>
      <c r="C49" s="86" t="s">
        <v>454</v>
      </c>
      <c r="D49" s="85"/>
      <c r="E49" s="116"/>
      <c r="F49" s="134"/>
      <c r="G49" s="137">
        <v>7.0000000000000007E-2</v>
      </c>
      <c r="H49" s="114">
        <f>E32</f>
        <v>2794100000</v>
      </c>
      <c r="I49" s="85"/>
      <c r="J49" s="85"/>
      <c r="K49" s="114">
        <f>G49*H49/F32</f>
        <v>1003010.2564102566</v>
      </c>
    </row>
    <row r="50" spans="1:11" ht="16.5" customHeight="1" x14ac:dyDescent="0.15">
      <c r="A50" s="121">
        <v>4</v>
      </c>
      <c r="B50" s="122" t="str">
        <f>'Giá tháng'!B35</f>
        <v>M102.0406</v>
      </c>
      <c r="C50" s="123" t="str">
        <f>'Giá tháng'!C35</f>
        <v>Cần trục tháp - sức nâng : 25,0 T</v>
      </c>
      <c r="D50" s="122" t="str">
        <f>'Giá tháng'!D35</f>
        <v>ca</v>
      </c>
      <c r="E50" s="124">
        <v>3161607000</v>
      </c>
      <c r="F50" s="125">
        <v>290</v>
      </c>
      <c r="G50" s="123"/>
      <c r="H50" s="126"/>
      <c r="I50" s="122"/>
      <c r="J50" s="122"/>
      <c r="K50" s="127">
        <f>ROUND(K51+K53+K58,'Đầu vào'!D41)</f>
        <v>3119874</v>
      </c>
    </row>
    <row r="51" spans="1:11" ht="16.5" customHeight="1" x14ac:dyDescent="0.15">
      <c r="A51" s="128"/>
      <c r="B51" s="129"/>
      <c r="C51" s="130" t="s">
        <v>445</v>
      </c>
      <c r="D51" s="129"/>
      <c r="E51" s="131"/>
      <c r="F51" s="132"/>
      <c r="G51" s="130"/>
      <c r="H51" s="133"/>
      <c r="I51" s="129"/>
      <c r="J51" s="129"/>
      <c r="K51" s="133">
        <f>SUM(K52:K52)</f>
        <v>250362</v>
      </c>
    </row>
    <row r="52" spans="1:11" ht="16.5" customHeight="1" x14ac:dyDescent="0.15">
      <c r="A52" s="100"/>
      <c r="B52" s="85"/>
      <c r="C52" s="86" t="str">
        <f>" - "&amp;'Đầu vào'!B25</f>
        <v xml:space="preserve"> - Điện</v>
      </c>
      <c r="D52" s="85" t="str">
        <f>'Đầu vào'!C25</f>
        <v>kwh</v>
      </c>
      <c r="E52" s="116"/>
      <c r="F52" s="134"/>
      <c r="G52" s="135">
        <v>120</v>
      </c>
      <c r="H52" s="114">
        <f>'Đầu vào'!D25</f>
        <v>1987</v>
      </c>
      <c r="I52" s="136">
        <f>'Đầu vào'!D31</f>
        <v>1.05</v>
      </c>
      <c r="J52" s="85"/>
      <c r="K52" s="114">
        <f>G52*H52*I52</f>
        <v>250362</v>
      </c>
    </row>
    <row r="53" spans="1:11" ht="16.5" customHeight="1" x14ac:dyDescent="0.15">
      <c r="A53" s="128"/>
      <c r="B53" s="129"/>
      <c r="C53" s="130" t="s">
        <v>446</v>
      </c>
      <c r="D53" s="129"/>
      <c r="E53" s="131"/>
      <c r="F53" s="132"/>
      <c r="G53" s="130"/>
      <c r="H53" s="133"/>
      <c r="I53" s="129"/>
      <c r="J53" s="129"/>
      <c r="K53" s="133">
        <f>G54*K54+G56*K56</f>
        <v>721800</v>
      </c>
    </row>
    <row r="54" spans="1:11" ht="16.5" customHeight="1" x14ac:dyDescent="0.15">
      <c r="A54" s="100"/>
      <c r="B54" s="85"/>
      <c r="C54" s="86" t="s">
        <v>461</v>
      </c>
      <c r="D54" s="85"/>
      <c r="E54" s="116"/>
      <c r="F54" s="134"/>
      <c r="G54" s="135">
        <v>1</v>
      </c>
      <c r="H54" s="114"/>
      <c r="I54" s="85"/>
      <c r="J54" s="85"/>
      <c r="K54" s="114">
        <f>ROUND(SUM(K55:K55),'Đầu vào'!E40)</f>
        <v>271900</v>
      </c>
    </row>
    <row r="55" spans="1:11" ht="16.5" customHeight="1" x14ac:dyDescent="0.15">
      <c r="A55" s="100"/>
      <c r="B55" s="85"/>
      <c r="C55" s="86" t="s">
        <v>448</v>
      </c>
      <c r="D55" s="85"/>
      <c r="E55" s="116"/>
      <c r="F55" s="134"/>
      <c r="G55" s="87">
        <v>1.39</v>
      </c>
      <c r="H55" s="114">
        <v>297300</v>
      </c>
      <c r="I55" s="136">
        <v>1.52</v>
      </c>
      <c r="J55" s="85"/>
      <c r="K55" s="114">
        <f>IF(G55&lt;&gt;0,G55*H55/I55,H55)</f>
        <v>271873.0263157895</v>
      </c>
    </row>
    <row r="56" spans="1:11" ht="16.5" customHeight="1" x14ac:dyDescent="0.15">
      <c r="A56" s="100"/>
      <c r="B56" s="85"/>
      <c r="C56" s="86" t="s">
        <v>462</v>
      </c>
      <c r="D56" s="85"/>
      <c r="E56" s="116"/>
      <c r="F56" s="134"/>
      <c r="G56" s="135">
        <v>1</v>
      </c>
      <c r="H56" s="114"/>
      <c r="I56" s="85"/>
      <c r="J56" s="85"/>
      <c r="K56" s="114">
        <f>ROUND(SUM(K57:K57),'Đầu vào'!E40)</f>
        <v>449900</v>
      </c>
    </row>
    <row r="57" spans="1:11" ht="16.5" customHeight="1" x14ac:dyDescent="0.15">
      <c r="A57" s="100"/>
      <c r="B57" s="85"/>
      <c r="C57" s="86" t="s">
        <v>448</v>
      </c>
      <c r="D57" s="85"/>
      <c r="E57" s="116"/>
      <c r="F57" s="134"/>
      <c r="G57" s="87">
        <v>2.2999999999999998</v>
      </c>
      <c r="H57" s="114">
        <v>297300</v>
      </c>
      <c r="I57" s="136">
        <v>1.52</v>
      </c>
      <c r="J57" s="85"/>
      <c r="K57" s="114">
        <f>IF(G57&lt;&gt;0,G57*H57/I57,H57)</f>
        <v>449861.84210526315</v>
      </c>
    </row>
    <row r="58" spans="1:11" ht="16.5" customHeight="1" x14ac:dyDescent="0.15">
      <c r="A58" s="128"/>
      <c r="B58" s="129"/>
      <c r="C58" s="130" t="s">
        <v>451</v>
      </c>
      <c r="D58" s="129"/>
      <c r="E58" s="131"/>
      <c r="F58" s="132"/>
      <c r="G58" s="130"/>
      <c r="H58" s="133"/>
      <c r="I58" s="129"/>
      <c r="J58" s="129"/>
      <c r="K58" s="133">
        <f>SUM(K59:K61)</f>
        <v>2147712.3413793105</v>
      </c>
    </row>
    <row r="59" spans="1:11" ht="16.5" customHeight="1" x14ac:dyDescent="0.15">
      <c r="A59" s="100"/>
      <c r="B59" s="85"/>
      <c r="C59" s="86" t="s">
        <v>452</v>
      </c>
      <c r="D59" s="85"/>
      <c r="E59" s="116"/>
      <c r="F59" s="134"/>
      <c r="G59" s="137">
        <v>0.11</v>
      </c>
      <c r="H59" s="114">
        <f>E50</f>
        <v>3161607000</v>
      </c>
      <c r="I59" s="138">
        <f>IF(E50&gt;='Đầu vào'!D35*10^6,1-'Đầu vào'!D36,1)</f>
        <v>0.9</v>
      </c>
      <c r="J59" s="85"/>
      <c r="K59" s="114">
        <f>G59*H59*I59/F50</f>
        <v>1079307.2172413792</v>
      </c>
    </row>
    <row r="60" spans="1:11" ht="16.5" customHeight="1" x14ac:dyDescent="0.15">
      <c r="A60" s="100"/>
      <c r="B60" s="85"/>
      <c r="C60" s="86" t="s">
        <v>453</v>
      </c>
      <c r="D60" s="85"/>
      <c r="E60" s="116"/>
      <c r="F60" s="134"/>
      <c r="G60" s="137">
        <v>3.7999999999999999E-2</v>
      </c>
      <c r="H60" s="114">
        <f>E50</f>
        <v>3161607000</v>
      </c>
      <c r="I60" s="85"/>
      <c r="J60" s="85"/>
      <c r="K60" s="114">
        <f>G60*H60/F50</f>
        <v>414279.53793103446</v>
      </c>
    </row>
    <row r="61" spans="1:11" ht="16.5" customHeight="1" x14ac:dyDescent="0.15">
      <c r="A61" s="100"/>
      <c r="B61" s="85"/>
      <c r="C61" s="86" t="s">
        <v>454</v>
      </c>
      <c r="D61" s="85"/>
      <c r="E61" s="116"/>
      <c r="F61" s="134"/>
      <c r="G61" s="137">
        <v>0.06</v>
      </c>
      <c r="H61" s="114">
        <f>E50</f>
        <v>3161607000</v>
      </c>
      <c r="I61" s="85"/>
      <c r="J61" s="85"/>
      <c r="K61" s="114">
        <f>G61*H61/F50</f>
        <v>654125.58620689658</v>
      </c>
    </row>
    <row r="62" spans="1:11" ht="16.5" customHeight="1" x14ac:dyDescent="0.15">
      <c r="A62" s="121">
        <v>5</v>
      </c>
      <c r="B62" s="122" t="str">
        <f>'Giá tháng'!B36</f>
        <v>M112.0105</v>
      </c>
      <c r="C62" s="123" t="str">
        <f>'Giá tháng'!C36</f>
        <v>Máy bơm nước, động cơ điện 14 kW</v>
      </c>
      <c r="D62" s="122" t="str">
        <f>'Giá tháng'!D36</f>
        <v>ca</v>
      </c>
      <c r="E62" s="124">
        <v>17198000</v>
      </c>
      <c r="F62" s="125">
        <v>180</v>
      </c>
      <c r="G62" s="123"/>
      <c r="H62" s="126"/>
      <c r="I62" s="122"/>
      <c r="J62" s="122"/>
      <c r="K62" s="127">
        <f>ROUND(K63+K65,'Đầu vào'!D41)</f>
        <v>95300</v>
      </c>
    </row>
    <row r="63" spans="1:11" ht="16.5" customHeight="1" x14ac:dyDescent="0.15">
      <c r="A63" s="128"/>
      <c r="B63" s="129"/>
      <c r="C63" s="130" t="s">
        <v>445</v>
      </c>
      <c r="D63" s="129"/>
      <c r="E63" s="131"/>
      <c r="F63" s="132"/>
      <c r="G63" s="130"/>
      <c r="H63" s="133"/>
      <c r="I63" s="129"/>
      <c r="J63" s="129"/>
      <c r="K63" s="133">
        <f>SUM(K64:K64)</f>
        <v>70935.900000000009</v>
      </c>
    </row>
    <row r="64" spans="1:11" ht="16.5" customHeight="1" x14ac:dyDescent="0.15">
      <c r="A64" s="100"/>
      <c r="B64" s="85"/>
      <c r="C64" s="86" t="str">
        <f>" - "&amp;'Đầu vào'!B25</f>
        <v xml:space="preserve"> - Điện</v>
      </c>
      <c r="D64" s="85" t="str">
        <f>'Đầu vào'!C25</f>
        <v>kwh</v>
      </c>
      <c r="E64" s="116"/>
      <c r="F64" s="134"/>
      <c r="G64" s="135">
        <v>34</v>
      </c>
      <c r="H64" s="114">
        <f>'Đầu vào'!D25</f>
        <v>1987</v>
      </c>
      <c r="I64" s="136">
        <f>'Đầu vào'!D31</f>
        <v>1.05</v>
      </c>
      <c r="J64" s="85"/>
      <c r="K64" s="114">
        <f>G64*H64*I64</f>
        <v>70935.900000000009</v>
      </c>
    </row>
    <row r="65" spans="1:11" ht="16.5" customHeight="1" x14ac:dyDescent="0.15">
      <c r="A65" s="128"/>
      <c r="B65" s="129"/>
      <c r="C65" s="130" t="s">
        <v>451</v>
      </c>
      <c r="D65" s="129"/>
      <c r="E65" s="131"/>
      <c r="F65" s="132"/>
      <c r="G65" s="130"/>
      <c r="H65" s="133"/>
      <c r="I65" s="129"/>
      <c r="J65" s="129"/>
      <c r="K65" s="133">
        <f>SUM(K66:K68)</f>
        <v>24363.833333333332</v>
      </c>
    </row>
    <row r="66" spans="1:11" ht="16.5" customHeight="1" x14ac:dyDescent="0.15">
      <c r="A66" s="100"/>
      <c r="B66" s="85"/>
      <c r="C66" s="86" t="s">
        <v>452</v>
      </c>
      <c r="D66" s="85"/>
      <c r="E66" s="116"/>
      <c r="F66" s="134"/>
      <c r="G66" s="137">
        <v>0.16</v>
      </c>
      <c r="H66" s="114">
        <f>E62</f>
        <v>17198000</v>
      </c>
      <c r="I66" s="138">
        <f>IF(E62&gt;='Đầu vào'!D35*10^6,1-'Đầu vào'!D36,1)</f>
        <v>1</v>
      </c>
      <c r="J66" s="85"/>
      <c r="K66" s="114">
        <f>G66*H66*I66/F62</f>
        <v>15287.111111111111</v>
      </c>
    </row>
    <row r="67" spans="1:11" ht="16.5" customHeight="1" x14ac:dyDescent="0.15">
      <c r="A67" s="100"/>
      <c r="B67" s="85"/>
      <c r="C67" s="86" t="s">
        <v>453</v>
      </c>
      <c r="D67" s="85"/>
      <c r="E67" s="116"/>
      <c r="F67" s="134"/>
      <c r="G67" s="137">
        <v>4.4999999999999998E-2</v>
      </c>
      <c r="H67" s="114">
        <f>E62</f>
        <v>17198000</v>
      </c>
      <c r="I67" s="85"/>
      <c r="J67" s="85"/>
      <c r="K67" s="114">
        <f>G67*H67/F62</f>
        <v>4299.5</v>
      </c>
    </row>
    <row r="68" spans="1:11" ht="16.5" customHeight="1" x14ac:dyDescent="0.15">
      <c r="A68" s="100"/>
      <c r="B68" s="85"/>
      <c r="C68" s="86" t="s">
        <v>454</v>
      </c>
      <c r="D68" s="85"/>
      <c r="E68" s="116"/>
      <c r="F68" s="134"/>
      <c r="G68" s="137">
        <v>0.05</v>
      </c>
      <c r="H68" s="114">
        <f>E62</f>
        <v>17198000</v>
      </c>
      <c r="I68" s="85"/>
      <c r="J68" s="85"/>
      <c r="K68" s="114">
        <f>G68*H68/F62</f>
        <v>4777.2222222222226</v>
      </c>
    </row>
    <row r="69" spans="1:11" ht="16.5" customHeight="1" x14ac:dyDescent="0.15">
      <c r="A69" s="121">
        <v>6</v>
      </c>
      <c r="B69" s="122" t="str">
        <f>'Giá tháng'!B37</f>
        <v>M112.0402</v>
      </c>
      <c r="C69" s="123" t="str">
        <f>'Giá tháng'!C37</f>
        <v>Máy bơm xói 4MC (75 kW)</v>
      </c>
      <c r="D69" s="122" t="str">
        <f>'Giá tháng'!D37</f>
        <v>ca</v>
      </c>
      <c r="E69" s="124">
        <v>120039000</v>
      </c>
      <c r="F69" s="125">
        <v>180</v>
      </c>
      <c r="G69" s="123"/>
      <c r="H69" s="126"/>
      <c r="I69" s="122"/>
      <c r="J69" s="122"/>
      <c r="K69" s="127">
        <f>ROUND(K70+K72+K75,'Đầu vào'!D41)</f>
        <v>782820</v>
      </c>
    </row>
    <row r="70" spans="1:11" ht="16.5" customHeight="1" x14ac:dyDescent="0.15">
      <c r="A70" s="128"/>
      <c r="B70" s="129"/>
      <c r="C70" s="130" t="s">
        <v>445</v>
      </c>
      <c r="D70" s="129"/>
      <c r="E70" s="131"/>
      <c r="F70" s="132"/>
      <c r="G70" s="130"/>
      <c r="H70" s="133"/>
      <c r="I70" s="129"/>
      <c r="J70" s="129"/>
      <c r="K70" s="133">
        <f>SUM(K71:K71)</f>
        <v>375543</v>
      </c>
    </row>
    <row r="71" spans="1:11" ht="16.5" customHeight="1" x14ac:dyDescent="0.15">
      <c r="A71" s="100"/>
      <c r="B71" s="85"/>
      <c r="C71" s="86" t="str">
        <f>" - "&amp;'Đầu vào'!B25</f>
        <v xml:space="preserve"> - Điện</v>
      </c>
      <c r="D71" s="85" t="str">
        <f>'Đầu vào'!C25</f>
        <v>kwh</v>
      </c>
      <c r="E71" s="116"/>
      <c r="F71" s="134"/>
      <c r="G71" s="135">
        <v>180</v>
      </c>
      <c r="H71" s="114">
        <f>'Đầu vào'!D25</f>
        <v>1987</v>
      </c>
      <c r="I71" s="136">
        <f>'Đầu vào'!D31</f>
        <v>1.05</v>
      </c>
      <c r="J71" s="85"/>
      <c r="K71" s="114">
        <f>G71*H71*I71</f>
        <v>375543</v>
      </c>
    </row>
    <row r="72" spans="1:11" ht="16.5" customHeight="1" x14ac:dyDescent="0.15">
      <c r="A72" s="128"/>
      <c r="B72" s="129"/>
      <c r="C72" s="130" t="s">
        <v>446</v>
      </c>
      <c r="D72" s="129"/>
      <c r="E72" s="131"/>
      <c r="F72" s="132"/>
      <c r="G72" s="130"/>
      <c r="H72" s="133"/>
      <c r="I72" s="129"/>
      <c r="J72" s="129"/>
      <c r="K72" s="133">
        <f>G73*K73</f>
        <v>271900</v>
      </c>
    </row>
    <row r="73" spans="1:11" ht="16.5" customHeight="1" x14ac:dyDescent="0.15">
      <c r="A73" s="100"/>
      <c r="B73" s="85"/>
      <c r="C73" s="86" t="s">
        <v>461</v>
      </c>
      <c r="D73" s="85"/>
      <c r="E73" s="116"/>
      <c r="F73" s="134"/>
      <c r="G73" s="135">
        <v>1</v>
      </c>
      <c r="H73" s="114"/>
      <c r="I73" s="85"/>
      <c r="J73" s="85"/>
      <c r="K73" s="114">
        <f>ROUND(SUM(K74:K74),'Đầu vào'!E40)</f>
        <v>271900</v>
      </c>
    </row>
    <row r="74" spans="1:11" ht="16.5" customHeight="1" x14ac:dyDescent="0.15">
      <c r="A74" s="100"/>
      <c r="B74" s="85"/>
      <c r="C74" s="86" t="s">
        <v>448</v>
      </c>
      <c r="D74" s="85"/>
      <c r="E74" s="116"/>
      <c r="F74" s="134"/>
      <c r="G74" s="87">
        <v>1.39</v>
      </c>
      <c r="H74" s="114">
        <v>297300</v>
      </c>
      <c r="I74" s="136">
        <v>1.52</v>
      </c>
      <c r="J74" s="85"/>
      <c r="K74" s="114">
        <f>IF(G74&lt;&gt;0,G74*H74/I74,H74)</f>
        <v>271873.0263157895</v>
      </c>
    </row>
    <row r="75" spans="1:11" ht="16.5" customHeight="1" x14ac:dyDescent="0.15">
      <c r="A75" s="128"/>
      <c r="B75" s="129"/>
      <c r="C75" s="130" t="s">
        <v>451</v>
      </c>
      <c r="D75" s="129"/>
      <c r="E75" s="131"/>
      <c r="F75" s="132"/>
      <c r="G75" s="130"/>
      <c r="H75" s="133"/>
      <c r="I75" s="129"/>
      <c r="J75" s="129"/>
      <c r="K75" s="133">
        <f>SUM(K76:K78)</f>
        <v>135377.31666666668</v>
      </c>
    </row>
    <row r="76" spans="1:11" ht="16.5" customHeight="1" x14ac:dyDescent="0.15">
      <c r="A76" s="100"/>
      <c r="B76" s="85"/>
      <c r="C76" s="86" t="s">
        <v>452</v>
      </c>
      <c r="D76" s="85"/>
      <c r="E76" s="116"/>
      <c r="F76" s="134"/>
      <c r="G76" s="137">
        <v>0.13</v>
      </c>
      <c r="H76" s="114">
        <f>E69</f>
        <v>120039000</v>
      </c>
      <c r="I76" s="138">
        <f>IF(E69&gt;='Đầu vào'!D35*10^6,1-'Đầu vào'!D36,1)</f>
        <v>0.9</v>
      </c>
      <c r="J76" s="85"/>
      <c r="K76" s="114">
        <f>G76*H76*I76/F69</f>
        <v>78025.350000000006</v>
      </c>
    </row>
    <row r="77" spans="1:11" ht="16.5" customHeight="1" x14ac:dyDescent="0.15">
      <c r="A77" s="100"/>
      <c r="B77" s="85"/>
      <c r="C77" s="86" t="s">
        <v>453</v>
      </c>
      <c r="D77" s="85"/>
      <c r="E77" s="116"/>
      <c r="F77" s="134"/>
      <c r="G77" s="137">
        <v>3.6000000000000004E-2</v>
      </c>
      <c r="H77" s="114">
        <f>E69</f>
        <v>120039000</v>
      </c>
      <c r="I77" s="85"/>
      <c r="J77" s="85"/>
      <c r="K77" s="114">
        <f>G77*H77/F69</f>
        <v>24007.800000000007</v>
      </c>
    </row>
    <row r="78" spans="1:11" ht="16.5" customHeight="1" x14ac:dyDescent="0.15">
      <c r="A78" s="100"/>
      <c r="B78" s="85"/>
      <c r="C78" s="86" t="s">
        <v>454</v>
      </c>
      <c r="D78" s="85"/>
      <c r="E78" s="116"/>
      <c r="F78" s="134"/>
      <c r="G78" s="137">
        <v>0.05</v>
      </c>
      <c r="H78" s="114">
        <f>E69</f>
        <v>120039000</v>
      </c>
      <c r="I78" s="85"/>
      <c r="J78" s="85"/>
      <c r="K78" s="114">
        <f>G78*H78/F69</f>
        <v>33344.166666666664</v>
      </c>
    </row>
    <row r="79" spans="1:11" ht="16.5" customHeight="1" x14ac:dyDescent="0.15">
      <c r="A79" s="121">
        <v>7</v>
      </c>
      <c r="B79" s="122" t="str">
        <f>'Giá tháng'!B38</f>
        <v>M112.2601</v>
      </c>
      <c r="C79" s="123" t="str">
        <f>'Giá tháng'!C38</f>
        <v>Máy cắt uốn cốt thép - công suất : 5,0 kW</v>
      </c>
      <c r="D79" s="122" t="str">
        <f>'Giá tháng'!D38</f>
        <v>ca</v>
      </c>
      <c r="E79" s="124">
        <v>18200000</v>
      </c>
      <c r="F79" s="125">
        <v>240</v>
      </c>
      <c r="G79" s="123"/>
      <c r="H79" s="126"/>
      <c r="I79" s="122"/>
      <c r="J79" s="122"/>
      <c r="K79" s="127">
        <f>ROUND(K80+K82+K85,'Đầu vào'!D41)</f>
        <v>307436</v>
      </c>
    </row>
    <row r="80" spans="1:11" ht="16.5" customHeight="1" x14ac:dyDescent="0.15">
      <c r="A80" s="128"/>
      <c r="B80" s="129"/>
      <c r="C80" s="130" t="s">
        <v>445</v>
      </c>
      <c r="D80" s="129"/>
      <c r="E80" s="131"/>
      <c r="F80" s="132"/>
      <c r="G80" s="130"/>
      <c r="H80" s="133"/>
      <c r="I80" s="129"/>
      <c r="J80" s="129"/>
      <c r="K80" s="133">
        <f>SUM(K81:K81)</f>
        <v>18777.150000000001</v>
      </c>
    </row>
    <row r="81" spans="1:11" ht="16.5" customHeight="1" x14ac:dyDescent="0.15">
      <c r="A81" s="100"/>
      <c r="B81" s="85"/>
      <c r="C81" s="86" t="str">
        <f>" - "&amp;'Đầu vào'!B25</f>
        <v xml:space="preserve"> - Điện</v>
      </c>
      <c r="D81" s="85" t="str">
        <f>'Đầu vào'!C25</f>
        <v>kwh</v>
      </c>
      <c r="E81" s="116"/>
      <c r="F81" s="134"/>
      <c r="G81" s="135">
        <v>9</v>
      </c>
      <c r="H81" s="114">
        <f>'Đầu vào'!D25</f>
        <v>1987</v>
      </c>
      <c r="I81" s="136">
        <f>'Đầu vào'!D31</f>
        <v>1.05</v>
      </c>
      <c r="J81" s="85"/>
      <c r="K81" s="114">
        <f>G81*H81*I81</f>
        <v>18777.150000000001</v>
      </c>
    </row>
    <row r="82" spans="1:11" ht="16.5" customHeight="1" x14ac:dyDescent="0.15">
      <c r="A82" s="128"/>
      <c r="B82" s="129"/>
      <c r="C82" s="130" t="s">
        <v>446</v>
      </c>
      <c r="D82" s="129"/>
      <c r="E82" s="131"/>
      <c r="F82" s="132"/>
      <c r="G82" s="130"/>
      <c r="H82" s="133"/>
      <c r="I82" s="129"/>
      <c r="J82" s="129"/>
      <c r="K82" s="133">
        <f>G83*K83</f>
        <v>271900</v>
      </c>
    </row>
    <row r="83" spans="1:11" ht="16.5" customHeight="1" x14ac:dyDescent="0.15">
      <c r="A83" s="100"/>
      <c r="B83" s="85"/>
      <c r="C83" s="86" t="s">
        <v>461</v>
      </c>
      <c r="D83" s="85"/>
      <c r="E83" s="116"/>
      <c r="F83" s="134"/>
      <c r="G83" s="135">
        <v>1</v>
      </c>
      <c r="H83" s="114"/>
      <c r="I83" s="85"/>
      <c r="J83" s="85"/>
      <c r="K83" s="114">
        <f>ROUND(SUM(K84:K84),'Đầu vào'!E40)</f>
        <v>271900</v>
      </c>
    </row>
    <row r="84" spans="1:11" ht="16.5" customHeight="1" x14ac:dyDescent="0.15">
      <c r="A84" s="100"/>
      <c r="B84" s="85"/>
      <c r="C84" s="86" t="s">
        <v>448</v>
      </c>
      <c r="D84" s="85"/>
      <c r="E84" s="116"/>
      <c r="F84" s="134"/>
      <c r="G84" s="87">
        <v>1.39</v>
      </c>
      <c r="H84" s="114">
        <v>297300</v>
      </c>
      <c r="I84" s="136">
        <v>1.52</v>
      </c>
      <c r="J84" s="85"/>
      <c r="K84" s="114">
        <f>IF(G84&lt;&gt;0,G84*H84/I84,H84)</f>
        <v>271873.0263157895</v>
      </c>
    </row>
    <row r="85" spans="1:11" ht="16.5" customHeight="1" x14ac:dyDescent="0.15">
      <c r="A85" s="128"/>
      <c r="B85" s="129"/>
      <c r="C85" s="130" t="s">
        <v>451</v>
      </c>
      <c r="D85" s="129"/>
      <c r="E85" s="131"/>
      <c r="F85" s="132"/>
      <c r="G85" s="130"/>
      <c r="H85" s="133"/>
      <c r="I85" s="129"/>
      <c r="J85" s="129"/>
      <c r="K85" s="133">
        <f>SUM(K86:K88)</f>
        <v>16759.166666666668</v>
      </c>
    </row>
    <row r="86" spans="1:11" ht="16.5" customHeight="1" x14ac:dyDescent="0.15">
      <c r="A86" s="100"/>
      <c r="B86" s="85"/>
      <c r="C86" s="86" t="s">
        <v>452</v>
      </c>
      <c r="D86" s="85"/>
      <c r="E86" s="116"/>
      <c r="F86" s="134"/>
      <c r="G86" s="137">
        <v>0.14000000000000001</v>
      </c>
      <c r="H86" s="114">
        <f>E79</f>
        <v>18200000</v>
      </c>
      <c r="I86" s="138">
        <f>IF(E79&gt;='Đầu vào'!D35*10^6,1-'Đầu vào'!D36,1)</f>
        <v>1</v>
      </c>
      <c r="J86" s="85"/>
      <c r="K86" s="114">
        <f>G86*H86*I86/F79</f>
        <v>10616.666666666668</v>
      </c>
    </row>
    <row r="87" spans="1:11" ht="16.5" customHeight="1" x14ac:dyDescent="0.15">
      <c r="A87" s="100"/>
      <c r="B87" s="85"/>
      <c r="C87" s="86" t="s">
        <v>453</v>
      </c>
      <c r="D87" s="85"/>
      <c r="E87" s="116"/>
      <c r="F87" s="134"/>
      <c r="G87" s="137">
        <v>4.0999999999999995E-2</v>
      </c>
      <c r="H87" s="114">
        <f>E79</f>
        <v>18200000</v>
      </c>
      <c r="I87" s="85"/>
      <c r="J87" s="85"/>
      <c r="K87" s="114">
        <f>G87*H87/F79</f>
        <v>3109.1666666666661</v>
      </c>
    </row>
    <row r="88" spans="1:11" ht="16.5" customHeight="1" x14ac:dyDescent="0.15">
      <c r="A88" s="100"/>
      <c r="B88" s="85"/>
      <c r="C88" s="86" t="s">
        <v>454</v>
      </c>
      <c r="D88" s="85"/>
      <c r="E88" s="116"/>
      <c r="F88" s="134"/>
      <c r="G88" s="137">
        <v>0.04</v>
      </c>
      <c r="H88" s="114">
        <f>E79</f>
        <v>18200000</v>
      </c>
      <c r="I88" s="85"/>
      <c r="J88" s="85"/>
      <c r="K88" s="114">
        <f>G88*H88/F79</f>
        <v>3033.3333333333335</v>
      </c>
    </row>
    <row r="89" spans="1:11" ht="16.5" customHeight="1" x14ac:dyDescent="0.15">
      <c r="A89" s="121">
        <v>8</v>
      </c>
      <c r="B89" s="122" t="str">
        <f>'Giá tháng'!B39</f>
        <v>M112.3801</v>
      </c>
      <c r="C89" s="123" t="str">
        <f>'Giá tháng'!C39</f>
        <v>Máy cưa gỗ cầm tay - công suất : 1,3 kW</v>
      </c>
      <c r="D89" s="122" t="str">
        <f>'Giá tháng'!D39</f>
        <v>ca</v>
      </c>
      <c r="E89" s="124">
        <v>7600000</v>
      </c>
      <c r="F89" s="125">
        <v>180</v>
      </c>
      <c r="G89" s="123"/>
      <c r="H89" s="126"/>
      <c r="I89" s="122"/>
      <c r="J89" s="122"/>
      <c r="K89" s="127">
        <f>ROUND(K90+K92,'Đầu vào'!D41)</f>
        <v>25048</v>
      </c>
    </row>
    <row r="90" spans="1:11" ht="16.5" customHeight="1" x14ac:dyDescent="0.15">
      <c r="A90" s="128"/>
      <c r="B90" s="129"/>
      <c r="C90" s="130" t="s">
        <v>445</v>
      </c>
      <c r="D90" s="129"/>
      <c r="E90" s="131"/>
      <c r="F90" s="132"/>
      <c r="G90" s="130"/>
      <c r="H90" s="133"/>
      <c r="I90" s="129"/>
      <c r="J90" s="129"/>
      <c r="K90" s="133">
        <f>SUM(K91:K91)</f>
        <v>6259.05</v>
      </c>
    </row>
    <row r="91" spans="1:11" ht="16.5" customHeight="1" x14ac:dyDescent="0.15">
      <c r="A91" s="100"/>
      <c r="B91" s="85"/>
      <c r="C91" s="86" t="str">
        <f>" - "&amp;'Đầu vào'!B25</f>
        <v xml:space="preserve"> - Điện</v>
      </c>
      <c r="D91" s="85" t="str">
        <f>'Đầu vào'!C25</f>
        <v>kwh</v>
      </c>
      <c r="E91" s="116"/>
      <c r="F91" s="134"/>
      <c r="G91" s="135">
        <v>3</v>
      </c>
      <c r="H91" s="114">
        <f>'Đầu vào'!D25</f>
        <v>1987</v>
      </c>
      <c r="I91" s="136">
        <f>'Đầu vào'!D31</f>
        <v>1.05</v>
      </c>
      <c r="J91" s="85"/>
      <c r="K91" s="114">
        <f>G91*H91*I91</f>
        <v>6259.05</v>
      </c>
    </row>
    <row r="92" spans="1:11" ht="16.5" customHeight="1" x14ac:dyDescent="0.15">
      <c r="A92" s="128"/>
      <c r="B92" s="129"/>
      <c r="C92" s="130" t="s">
        <v>451</v>
      </c>
      <c r="D92" s="129"/>
      <c r="E92" s="131"/>
      <c r="F92" s="132"/>
      <c r="G92" s="130"/>
      <c r="H92" s="133"/>
      <c r="I92" s="129"/>
      <c r="J92" s="129"/>
      <c r="K92" s="133">
        <f>SUM(K93:K95)</f>
        <v>18788.888888888891</v>
      </c>
    </row>
    <row r="93" spans="1:11" ht="16.5" customHeight="1" x14ac:dyDescent="0.15">
      <c r="A93" s="100"/>
      <c r="B93" s="85"/>
      <c r="C93" s="86" t="s">
        <v>452</v>
      </c>
      <c r="D93" s="85"/>
      <c r="E93" s="116"/>
      <c r="F93" s="134"/>
      <c r="G93" s="137">
        <v>0.3</v>
      </c>
      <c r="H93" s="114">
        <f>E89</f>
        <v>7600000</v>
      </c>
      <c r="I93" s="138">
        <f>IF(E89&gt;='Đầu vào'!D35*10^6,1-'Đầu vào'!D36,1)</f>
        <v>1</v>
      </c>
      <c r="J93" s="85"/>
      <c r="K93" s="114">
        <f>G93*H93*I93/F89</f>
        <v>12666.666666666666</v>
      </c>
    </row>
    <row r="94" spans="1:11" ht="16.5" customHeight="1" x14ac:dyDescent="0.15">
      <c r="A94" s="100"/>
      <c r="B94" s="85"/>
      <c r="C94" s="86" t="s">
        <v>453</v>
      </c>
      <c r="D94" s="85"/>
      <c r="E94" s="116"/>
      <c r="F94" s="134"/>
      <c r="G94" s="137">
        <v>0.105</v>
      </c>
      <c r="H94" s="114">
        <f>E89</f>
        <v>7600000</v>
      </c>
      <c r="I94" s="85"/>
      <c r="J94" s="85"/>
      <c r="K94" s="114">
        <f>G94*H94/F89</f>
        <v>4433.333333333333</v>
      </c>
    </row>
    <row r="95" spans="1:11" ht="16.5" customHeight="1" x14ac:dyDescent="0.15">
      <c r="A95" s="100"/>
      <c r="B95" s="85"/>
      <c r="C95" s="86" t="s">
        <v>454</v>
      </c>
      <c r="D95" s="85"/>
      <c r="E95" s="116"/>
      <c r="F95" s="134"/>
      <c r="G95" s="137">
        <v>0.04</v>
      </c>
      <c r="H95" s="114">
        <f>E89</f>
        <v>7600000</v>
      </c>
      <c r="I95" s="85"/>
      <c r="J95" s="85"/>
      <c r="K95" s="114">
        <f>G95*H95/F89</f>
        <v>1688.8888888888889</v>
      </c>
    </row>
    <row r="96" spans="1:11" ht="28.5" customHeight="1" x14ac:dyDescent="0.15">
      <c r="A96" s="121">
        <v>9</v>
      </c>
      <c r="B96" s="122" t="str">
        <f>'Giá tháng'!B40</f>
        <v>M101.0104</v>
      </c>
      <c r="C96" s="123" t="str">
        <f>'Giá tháng'!C40</f>
        <v>Máy đào một gầu, bánh xích - dung tích gầu : 0,80 m3</v>
      </c>
      <c r="D96" s="122" t="str">
        <f>'Giá tháng'!D40</f>
        <v>ca</v>
      </c>
      <c r="E96" s="124">
        <v>1183203000</v>
      </c>
      <c r="F96" s="125">
        <v>280</v>
      </c>
      <c r="G96" s="123"/>
      <c r="H96" s="126"/>
      <c r="I96" s="122"/>
      <c r="J96" s="122"/>
      <c r="K96" s="127">
        <f>ROUND(K97+K99+K102,'Đầu vào'!D41)</f>
        <v>2551986</v>
      </c>
    </row>
    <row r="97" spans="1:11" ht="16.5" customHeight="1" x14ac:dyDescent="0.15">
      <c r="A97" s="128"/>
      <c r="B97" s="129"/>
      <c r="C97" s="130" t="s">
        <v>445</v>
      </c>
      <c r="D97" s="129"/>
      <c r="E97" s="131"/>
      <c r="F97" s="132"/>
      <c r="G97" s="130"/>
      <c r="H97" s="133"/>
      <c r="I97" s="129"/>
      <c r="J97" s="129"/>
      <c r="K97" s="133">
        <f>SUM(K98:K98)</f>
        <v>1126371.4865000001</v>
      </c>
    </row>
    <row r="98" spans="1:11" ht="16.5" customHeight="1" x14ac:dyDescent="0.15">
      <c r="A98" s="100"/>
      <c r="B98" s="85"/>
      <c r="C98" s="86" t="str">
        <f>" - "&amp;'Đầu vào'!B23</f>
        <v xml:space="preserve"> - Diezel</v>
      </c>
      <c r="D98" s="85" t="str">
        <f>'Đầu vào'!C23</f>
        <v>Lít</v>
      </c>
      <c r="E98" s="116"/>
      <c r="F98" s="134"/>
      <c r="G98" s="135">
        <v>65</v>
      </c>
      <c r="H98" s="114">
        <f>'Đầu vào'!D23</f>
        <v>16824.07</v>
      </c>
      <c r="I98" s="136">
        <f>'Đầu vào'!D29</f>
        <v>1.03</v>
      </c>
      <c r="J98" s="85"/>
      <c r="K98" s="114">
        <f>G98*H98*I98</f>
        <v>1126371.4865000001</v>
      </c>
    </row>
    <row r="99" spans="1:11" ht="16.5" customHeight="1" x14ac:dyDescent="0.15">
      <c r="A99" s="128"/>
      <c r="B99" s="129"/>
      <c r="C99" s="130" t="s">
        <v>446</v>
      </c>
      <c r="D99" s="129"/>
      <c r="E99" s="131"/>
      <c r="F99" s="132"/>
      <c r="G99" s="130"/>
      <c r="H99" s="133"/>
      <c r="I99" s="129"/>
      <c r="J99" s="129"/>
      <c r="K99" s="133">
        <f>G100*K100</f>
        <v>322700</v>
      </c>
    </row>
    <row r="100" spans="1:11" ht="16.5" customHeight="1" x14ac:dyDescent="0.15">
      <c r="A100" s="100"/>
      <c r="B100" s="85"/>
      <c r="C100" s="86" t="s">
        <v>455</v>
      </c>
      <c r="D100" s="85"/>
      <c r="E100" s="116"/>
      <c r="F100" s="134"/>
      <c r="G100" s="135">
        <v>1</v>
      </c>
      <c r="H100" s="114"/>
      <c r="I100" s="85"/>
      <c r="J100" s="85"/>
      <c r="K100" s="114">
        <f>ROUND(SUM(K101:K101),'Đầu vào'!E40)</f>
        <v>322700</v>
      </c>
    </row>
    <row r="101" spans="1:11" ht="16.5" customHeight="1" x14ac:dyDescent="0.15">
      <c r="A101" s="100"/>
      <c r="B101" s="85"/>
      <c r="C101" s="86" t="s">
        <v>448</v>
      </c>
      <c r="D101" s="85"/>
      <c r="E101" s="116"/>
      <c r="F101" s="134"/>
      <c r="G101" s="87">
        <v>1.65</v>
      </c>
      <c r="H101" s="114">
        <v>297300</v>
      </c>
      <c r="I101" s="136">
        <v>1.52</v>
      </c>
      <c r="J101" s="85"/>
      <c r="K101" s="114">
        <f>IF(G101&lt;&gt;0,G101*H101/I101,H101)</f>
        <v>322726.9736842105</v>
      </c>
    </row>
    <row r="102" spans="1:11" ht="16.5" customHeight="1" x14ac:dyDescent="0.15">
      <c r="A102" s="128"/>
      <c r="B102" s="129"/>
      <c r="C102" s="130" t="s">
        <v>451</v>
      </c>
      <c r="D102" s="129"/>
      <c r="E102" s="131"/>
      <c r="F102" s="132"/>
      <c r="G102" s="130"/>
      <c r="H102" s="133"/>
      <c r="I102" s="129"/>
      <c r="J102" s="129"/>
      <c r="K102" s="133">
        <f>SUM(K103:K105)</f>
        <v>1102914.2250000001</v>
      </c>
    </row>
    <row r="103" spans="1:11" ht="16.5" customHeight="1" x14ac:dyDescent="0.15">
      <c r="A103" s="100"/>
      <c r="B103" s="85"/>
      <c r="C103" s="86" t="s">
        <v>452</v>
      </c>
      <c r="D103" s="85"/>
      <c r="E103" s="116"/>
      <c r="F103" s="134"/>
      <c r="G103" s="137">
        <v>0.17</v>
      </c>
      <c r="H103" s="114">
        <f>E96</f>
        <v>1183203000</v>
      </c>
      <c r="I103" s="138">
        <f>IF(E96&gt;='Đầu vào'!D35*10^6,1-'Đầu vào'!D36,1)</f>
        <v>0.9</v>
      </c>
      <c r="J103" s="85"/>
      <c r="K103" s="114">
        <f>G103*H103*I103/F96</f>
        <v>646535.92500000005</v>
      </c>
    </row>
    <row r="104" spans="1:11" ht="16.5" customHeight="1" x14ac:dyDescent="0.15">
      <c r="A104" s="100"/>
      <c r="B104" s="85"/>
      <c r="C104" s="86" t="s">
        <v>453</v>
      </c>
      <c r="D104" s="85"/>
      <c r="E104" s="116"/>
      <c r="F104" s="134"/>
      <c r="G104" s="137">
        <v>5.7999999999999996E-2</v>
      </c>
      <c r="H104" s="114">
        <f>E96</f>
        <v>1183203000</v>
      </c>
      <c r="I104" s="85"/>
      <c r="J104" s="85"/>
      <c r="K104" s="114">
        <f>G104*H104/F96</f>
        <v>245092.05</v>
      </c>
    </row>
    <row r="105" spans="1:11" ht="16.5" customHeight="1" x14ac:dyDescent="0.15">
      <c r="A105" s="100"/>
      <c r="B105" s="85"/>
      <c r="C105" s="86" t="s">
        <v>454</v>
      </c>
      <c r="D105" s="85"/>
      <c r="E105" s="116"/>
      <c r="F105" s="134"/>
      <c r="G105" s="137">
        <v>0.05</v>
      </c>
      <c r="H105" s="114">
        <f>E96</f>
        <v>1183203000</v>
      </c>
      <c r="I105" s="85"/>
      <c r="J105" s="85"/>
      <c r="K105" s="114">
        <f>G105*H105/F96</f>
        <v>211286.25</v>
      </c>
    </row>
    <row r="106" spans="1:11" ht="28.5" customHeight="1" x14ac:dyDescent="0.15">
      <c r="A106" s="121">
        <v>10</v>
      </c>
      <c r="B106" s="122" t="str">
        <f>'Giá tháng'!B41</f>
        <v>M101.0105</v>
      </c>
      <c r="C106" s="123" t="str">
        <f>'Giá tháng'!C41</f>
        <v>Máy đào một gầu, bánh xích - dung tích gầu : 1,25 m3</v>
      </c>
      <c r="D106" s="122" t="str">
        <f>'Giá tháng'!D41</f>
        <v>ca</v>
      </c>
      <c r="E106" s="124">
        <v>1863636000</v>
      </c>
      <c r="F106" s="125">
        <v>280</v>
      </c>
      <c r="G106" s="123"/>
      <c r="H106" s="126"/>
      <c r="I106" s="122"/>
      <c r="J106" s="122"/>
      <c r="K106" s="127">
        <f>ROUND(K107+K109+K112,'Đầu vào'!D41)</f>
        <v>3498165</v>
      </c>
    </row>
    <row r="107" spans="1:11" ht="16.5" customHeight="1" x14ac:dyDescent="0.15">
      <c r="A107" s="128"/>
      <c r="B107" s="129"/>
      <c r="C107" s="130" t="s">
        <v>445</v>
      </c>
      <c r="D107" s="129"/>
      <c r="E107" s="131"/>
      <c r="F107" s="132"/>
      <c r="G107" s="130"/>
      <c r="H107" s="133"/>
      <c r="I107" s="129"/>
      <c r="J107" s="129"/>
      <c r="K107" s="133">
        <f>SUM(K108:K108)</f>
        <v>1438289.7443000001</v>
      </c>
    </row>
    <row r="108" spans="1:11" ht="16.5" customHeight="1" x14ac:dyDescent="0.15">
      <c r="A108" s="100"/>
      <c r="B108" s="85"/>
      <c r="C108" s="86" t="str">
        <f>" - "&amp;'Đầu vào'!B23</f>
        <v xml:space="preserve"> - Diezel</v>
      </c>
      <c r="D108" s="85" t="str">
        <f>'Đầu vào'!C23</f>
        <v>Lít</v>
      </c>
      <c r="E108" s="116"/>
      <c r="F108" s="134"/>
      <c r="G108" s="135">
        <v>83</v>
      </c>
      <c r="H108" s="114">
        <f>'Đầu vào'!D23</f>
        <v>16824.07</v>
      </c>
      <c r="I108" s="136">
        <f>'Đầu vào'!D29</f>
        <v>1.03</v>
      </c>
      <c r="J108" s="85"/>
      <c r="K108" s="114">
        <f>G108*H108*I108</f>
        <v>1438289.7443000001</v>
      </c>
    </row>
    <row r="109" spans="1:11" ht="16.5" customHeight="1" x14ac:dyDescent="0.15">
      <c r="A109" s="128"/>
      <c r="B109" s="129"/>
      <c r="C109" s="130" t="s">
        <v>446</v>
      </c>
      <c r="D109" s="129"/>
      <c r="E109" s="131"/>
      <c r="F109" s="132"/>
      <c r="G109" s="130"/>
      <c r="H109" s="133"/>
      <c r="I109" s="129"/>
      <c r="J109" s="129"/>
      <c r="K109" s="133">
        <f>G110*K110</f>
        <v>322700</v>
      </c>
    </row>
    <row r="110" spans="1:11" ht="16.5" customHeight="1" x14ac:dyDescent="0.15">
      <c r="A110" s="100"/>
      <c r="B110" s="85"/>
      <c r="C110" s="86" t="s">
        <v>455</v>
      </c>
      <c r="D110" s="85"/>
      <c r="E110" s="116"/>
      <c r="F110" s="134"/>
      <c r="G110" s="135">
        <v>1</v>
      </c>
      <c r="H110" s="114"/>
      <c r="I110" s="85"/>
      <c r="J110" s="85"/>
      <c r="K110" s="114">
        <f>ROUND(SUM(K111:K111),'Đầu vào'!E40)</f>
        <v>322700</v>
      </c>
    </row>
    <row r="111" spans="1:11" ht="16.5" customHeight="1" x14ac:dyDescent="0.15">
      <c r="A111" s="100"/>
      <c r="B111" s="85"/>
      <c r="C111" s="86" t="s">
        <v>448</v>
      </c>
      <c r="D111" s="85"/>
      <c r="E111" s="116"/>
      <c r="F111" s="134"/>
      <c r="G111" s="87">
        <v>1.65</v>
      </c>
      <c r="H111" s="114">
        <v>297300</v>
      </c>
      <c r="I111" s="136">
        <v>1.52</v>
      </c>
      <c r="J111" s="85"/>
      <c r="K111" s="114">
        <f>IF(G111&lt;&gt;0,G111*H111/I111,H111)</f>
        <v>322726.9736842105</v>
      </c>
    </row>
    <row r="112" spans="1:11" ht="16.5" customHeight="1" x14ac:dyDescent="0.15">
      <c r="A112" s="128"/>
      <c r="B112" s="129"/>
      <c r="C112" s="130" t="s">
        <v>451</v>
      </c>
      <c r="D112" s="129"/>
      <c r="E112" s="131"/>
      <c r="F112" s="132"/>
      <c r="G112" s="130"/>
      <c r="H112" s="133"/>
      <c r="I112" s="129"/>
      <c r="J112" s="129"/>
      <c r="K112" s="133">
        <f>SUM(K113:K115)</f>
        <v>1737174.9857142856</v>
      </c>
    </row>
    <row r="113" spans="1:11" ht="16.5" customHeight="1" x14ac:dyDescent="0.15">
      <c r="A113" s="100"/>
      <c r="B113" s="85"/>
      <c r="C113" s="86" t="s">
        <v>452</v>
      </c>
      <c r="D113" s="85"/>
      <c r="E113" s="116"/>
      <c r="F113" s="134"/>
      <c r="G113" s="137">
        <v>0.17</v>
      </c>
      <c r="H113" s="114">
        <f>E106</f>
        <v>1863636000</v>
      </c>
      <c r="I113" s="138">
        <f>IF(E106&gt;='Đầu vào'!D35*10^6,1-'Đầu vào'!D36,1)</f>
        <v>0.9</v>
      </c>
      <c r="J113" s="85"/>
      <c r="K113" s="114">
        <f>G113*H113*I113/F106</f>
        <v>1018343.9571428571</v>
      </c>
    </row>
    <row r="114" spans="1:11" ht="16.5" customHeight="1" x14ac:dyDescent="0.15">
      <c r="A114" s="100"/>
      <c r="B114" s="85"/>
      <c r="C114" s="86" t="s">
        <v>453</v>
      </c>
      <c r="D114" s="85"/>
      <c r="E114" s="116"/>
      <c r="F114" s="134"/>
      <c r="G114" s="137">
        <v>5.7999999999999996E-2</v>
      </c>
      <c r="H114" s="114">
        <f>E106</f>
        <v>1863636000</v>
      </c>
      <c r="I114" s="85"/>
      <c r="J114" s="85"/>
      <c r="K114" s="114">
        <f>G114*H114/F106</f>
        <v>386038.88571428572</v>
      </c>
    </row>
    <row r="115" spans="1:11" ht="16.5" customHeight="1" x14ac:dyDescent="0.15">
      <c r="A115" s="100"/>
      <c r="B115" s="85"/>
      <c r="C115" s="86" t="s">
        <v>454</v>
      </c>
      <c r="D115" s="85"/>
      <c r="E115" s="116"/>
      <c r="F115" s="134"/>
      <c r="G115" s="137">
        <v>0.05</v>
      </c>
      <c r="H115" s="114">
        <f>E106</f>
        <v>1863636000</v>
      </c>
      <c r="I115" s="85"/>
      <c r="J115" s="85"/>
      <c r="K115" s="114">
        <f>G115*H115/F106</f>
        <v>332792.14285714284</v>
      </c>
    </row>
    <row r="116" spans="1:11" ht="28.5" customHeight="1" x14ac:dyDescent="0.15">
      <c r="A116" s="121">
        <v>11</v>
      </c>
      <c r="B116" s="122" t="str">
        <f>'Giá tháng'!B42</f>
        <v>M112.1301</v>
      </c>
      <c r="C116" s="123" t="str">
        <f>'Giá tháng'!C42</f>
        <v>Máy đầm bê tông, dầm dùi - công suất : 1,5 kW</v>
      </c>
      <c r="D116" s="122" t="str">
        <f>'Giá tháng'!D42</f>
        <v>ca</v>
      </c>
      <c r="E116" s="124">
        <v>7395000</v>
      </c>
      <c r="F116" s="125">
        <v>150</v>
      </c>
      <c r="G116" s="123"/>
      <c r="H116" s="126"/>
      <c r="I116" s="122"/>
      <c r="J116" s="122"/>
      <c r="K116" s="127">
        <f>ROUND(K117+K119+K122,'Đầu vào'!D41)</f>
        <v>302675</v>
      </c>
    </row>
    <row r="117" spans="1:11" ht="16.5" customHeight="1" x14ac:dyDescent="0.15">
      <c r="A117" s="128"/>
      <c r="B117" s="129"/>
      <c r="C117" s="130" t="s">
        <v>445</v>
      </c>
      <c r="D117" s="129"/>
      <c r="E117" s="131"/>
      <c r="F117" s="132"/>
      <c r="G117" s="130"/>
      <c r="H117" s="133"/>
      <c r="I117" s="129"/>
      <c r="J117" s="129"/>
      <c r="K117" s="133">
        <f>SUM(K118:K118)</f>
        <v>14604.45</v>
      </c>
    </row>
    <row r="118" spans="1:11" ht="16.5" customHeight="1" x14ac:dyDescent="0.15">
      <c r="A118" s="100"/>
      <c r="B118" s="85"/>
      <c r="C118" s="86" t="str">
        <f>" - "&amp;'Đầu vào'!B25</f>
        <v xml:space="preserve"> - Điện</v>
      </c>
      <c r="D118" s="85" t="str">
        <f>'Đầu vào'!C25</f>
        <v>kwh</v>
      </c>
      <c r="E118" s="116"/>
      <c r="F118" s="134"/>
      <c r="G118" s="135">
        <v>7</v>
      </c>
      <c r="H118" s="114">
        <f>'Đầu vào'!D25</f>
        <v>1987</v>
      </c>
      <c r="I118" s="136">
        <f>'Đầu vào'!D31</f>
        <v>1.05</v>
      </c>
      <c r="J118" s="85"/>
      <c r="K118" s="114">
        <f>G118*H118*I118</f>
        <v>14604.45</v>
      </c>
    </row>
    <row r="119" spans="1:11" ht="16.5" customHeight="1" x14ac:dyDescent="0.15">
      <c r="A119" s="128"/>
      <c r="B119" s="129"/>
      <c r="C119" s="130" t="s">
        <v>446</v>
      </c>
      <c r="D119" s="129"/>
      <c r="E119" s="131"/>
      <c r="F119" s="132"/>
      <c r="G119" s="130"/>
      <c r="H119" s="133"/>
      <c r="I119" s="129"/>
      <c r="J119" s="129"/>
      <c r="K119" s="133">
        <f>G120*K120</f>
        <v>271900</v>
      </c>
    </row>
    <row r="120" spans="1:11" ht="16.5" customHeight="1" x14ac:dyDescent="0.15">
      <c r="A120" s="100"/>
      <c r="B120" s="85"/>
      <c r="C120" s="86" t="s">
        <v>461</v>
      </c>
      <c r="D120" s="85"/>
      <c r="E120" s="116"/>
      <c r="F120" s="134"/>
      <c r="G120" s="135">
        <v>1</v>
      </c>
      <c r="H120" s="114"/>
      <c r="I120" s="85"/>
      <c r="J120" s="85"/>
      <c r="K120" s="114">
        <f>ROUND(SUM(K121:K121),'Đầu vào'!E40)</f>
        <v>271900</v>
      </c>
    </row>
    <row r="121" spans="1:11" ht="16.5" customHeight="1" x14ac:dyDescent="0.15">
      <c r="A121" s="100"/>
      <c r="B121" s="85"/>
      <c r="C121" s="86" t="s">
        <v>448</v>
      </c>
      <c r="D121" s="85"/>
      <c r="E121" s="116"/>
      <c r="F121" s="134"/>
      <c r="G121" s="87">
        <v>1.39</v>
      </c>
      <c r="H121" s="114">
        <v>297300</v>
      </c>
      <c r="I121" s="136">
        <v>1.52</v>
      </c>
      <c r="J121" s="85"/>
      <c r="K121" s="114">
        <f>IF(G121&lt;&gt;0,G121*H121/I121,H121)</f>
        <v>271873.0263157895</v>
      </c>
    </row>
    <row r="122" spans="1:11" ht="16.5" customHeight="1" x14ac:dyDescent="0.15">
      <c r="A122" s="128"/>
      <c r="B122" s="129"/>
      <c r="C122" s="130" t="s">
        <v>451</v>
      </c>
      <c r="D122" s="129"/>
      <c r="E122" s="131"/>
      <c r="F122" s="132"/>
      <c r="G122" s="130"/>
      <c r="H122" s="133"/>
      <c r="I122" s="129"/>
      <c r="J122" s="129"/>
      <c r="K122" s="133">
        <f>SUM(K123:K125)</f>
        <v>16170.400000000001</v>
      </c>
    </row>
    <row r="123" spans="1:11" ht="16.5" customHeight="1" x14ac:dyDescent="0.15">
      <c r="A123" s="100"/>
      <c r="B123" s="85"/>
      <c r="C123" s="86" t="s">
        <v>452</v>
      </c>
      <c r="D123" s="85"/>
      <c r="E123" s="116"/>
      <c r="F123" s="134"/>
      <c r="G123" s="137">
        <v>0.2</v>
      </c>
      <c r="H123" s="114">
        <f>E116</f>
        <v>7395000</v>
      </c>
      <c r="I123" s="138">
        <f>IF(E116&gt;='Đầu vào'!D35*10^6,1-'Đầu vào'!D36,1)</f>
        <v>1</v>
      </c>
      <c r="J123" s="85"/>
      <c r="K123" s="114">
        <f>G123*H123*I123/F116</f>
        <v>9860</v>
      </c>
    </row>
    <row r="124" spans="1:11" ht="16.5" customHeight="1" x14ac:dyDescent="0.15">
      <c r="A124" s="100"/>
      <c r="B124" s="85"/>
      <c r="C124" s="86" t="s">
        <v>453</v>
      </c>
      <c r="D124" s="85"/>
      <c r="E124" s="116"/>
      <c r="F124" s="134"/>
      <c r="G124" s="137">
        <v>8.8000000000000009E-2</v>
      </c>
      <c r="H124" s="114">
        <f>E116</f>
        <v>7395000</v>
      </c>
      <c r="I124" s="85"/>
      <c r="J124" s="85"/>
      <c r="K124" s="114">
        <f>G124*H124/F116</f>
        <v>4338.4000000000005</v>
      </c>
    </row>
    <row r="125" spans="1:11" ht="16.5" customHeight="1" x14ac:dyDescent="0.15">
      <c r="A125" s="100"/>
      <c r="B125" s="85"/>
      <c r="C125" s="86" t="s">
        <v>454</v>
      </c>
      <c r="D125" s="85"/>
      <c r="E125" s="116"/>
      <c r="F125" s="134"/>
      <c r="G125" s="137">
        <v>0.04</v>
      </c>
      <c r="H125" s="114">
        <f>E116</f>
        <v>7395000</v>
      </c>
      <c r="I125" s="85"/>
      <c r="J125" s="85"/>
      <c r="K125" s="114">
        <f>G125*H125/F116</f>
        <v>1972</v>
      </c>
    </row>
    <row r="126" spans="1:11" ht="16.5" customHeight="1" x14ac:dyDescent="0.15">
      <c r="A126" s="121">
        <v>12</v>
      </c>
      <c r="B126" s="122" t="str">
        <f>'Giá tháng'!B43</f>
        <v>M101.0803</v>
      </c>
      <c r="C126" s="123" t="str">
        <f>'Giá tháng'!C43</f>
        <v>Máy đầm đất cầm tay - trọng lượng : 70 kg</v>
      </c>
      <c r="D126" s="122" t="str">
        <f>'Giá tháng'!D43</f>
        <v>ca</v>
      </c>
      <c r="E126" s="124">
        <v>35771000</v>
      </c>
      <c r="F126" s="125">
        <v>200</v>
      </c>
      <c r="G126" s="123"/>
      <c r="H126" s="126"/>
      <c r="I126" s="122"/>
      <c r="J126" s="122"/>
      <c r="K126" s="127">
        <f>ROUND(K127+K129+K132,'Đầu vào'!D41)</f>
        <v>390153</v>
      </c>
    </row>
    <row r="127" spans="1:11" ht="16.5" customHeight="1" x14ac:dyDescent="0.15">
      <c r="A127" s="128"/>
      <c r="B127" s="129"/>
      <c r="C127" s="130" t="s">
        <v>445</v>
      </c>
      <c r="D127" s="129"/>
      <c r="E127" s="131"/>
      <c r="F127" s="132"/>
      <c r="G127" s="130"/>
      <c r="H127" s="133"/>
      <c r="I127" s="129"/>
      <c r="J127" s="129"/>
      <c r="K127" s="133">
        <f>SUM(K128:K128)</f>
        <v>69246.657600000006</v>
      </c>
    </row>
    <row r="128" spans="1:11" ht="16.5" customHeight="1" x14ac:dyDescent="0.15">
      <c r="A128" s="100"/>
      <c r="B128" s="85"/>
      <c r="C128" s="86" t="str">
        <f>" - "&amp;'Đầu vào'!B26</f>
        <v xml:space="preserve"> - Xăng A92</v>
      </c>
      <c r="D128" s="85" t="str">
        <f>'Đầu vào'!C26</f>
        <v>Lít</v>
      </c>
      <c r="E128" s="116"/>
      <c r="F128" s="134"/>
      <c r="G128" s="135">
        <v>4</v>
      </c>
      <c r="H128" s="114">
        <f>'Đầu vào'!D26</f>
        <v>16972.22</v>
      </c>
      <c r="I128" s="136">
        <f>'Đầu vào'!D32</f>
        <v>1.02</v>
      </c>
      <c r="J128" s="85"/>
      <c r="K128" s="114">
        <f>G128*H128*I128</f>
        <v>69246.657600000006</v>
      </c>
    </row>
    <row r="129" spans="1:11" ht="16.5" customHeight="1" x14ac:dyDescent="0.15">
      <c r="A129" s="128"/>
      <c r="B129" s="129"/>
      <c r="C129" s="130" t="s">
        <v>446</v>
      </c>
      <c r="D129" s="129"/>
      <c r="E129" s="131"/>
      <c r="F129" s="132"/>
      <c r="G129" s="130"/>
      <c r="H129" s="133"/>
      <c r="I129" s="129"/>
      <c r="J129" s="129"/>
      <c r="K129" s="133">
        <f>G130*K130</f>
        <v>271900</v>
      </c>
    </row>
    <row r="130" spans="1:11" ht="16.5" customHeight="1" x14ac:dyDescent="0.15">
      <c r="A130" s="100"/>
      <c r="B130" s="85"/>
      <c r="C130" s="86" t="s">
        <v>461</v>
      </c>
      <c r="D130" s="85"/>
      <c r="E130" s="116"/>
      <c r="F130" s="134"/>
      <c r="G130" s="135">
        <v>1</v>
      </c>
      <c r="H130" s="114"/>
      <c r="I130" s="85"/>
      <c r="J130" s="85"/>
      <c r="K130" s="114">
        <f>ROUND(SUM(K131:K131),'Đầu vào'!E40)</f>
        <v>271900</v>
      </c>
    </row>
    <row r="131" spans="1:11" ht="16.5" customHeight="1" x14ac:dyDescent="0.15">
      <c r="A131" s="100"/>
      <c r="B131" s="85"/>
      <c r="C131" s="86" t="s">
        <v>448</v>
      </c>
      <c r="D131" s="85"/>
      <c r="E131" s="116"/>
      <c r="F131" s="134"/>
      <c r="G131" s="87">
        <v>1.39</v>
      </c>
      <c r="H131" s="114">
        <v>297300</v>
      </c>
      <c r="I131" s="136">
        <v>1.52</v>
      </c>
      <c r="J131" s="85"/>
      <c r="K131" s="114">
        <f>IF(G131&lt;&gt;0,G131*H131/I131,H131)</f>
        <v>271873.0263157895</v>
      </c>
    </row>
    <row r="132" spans="1:11" ht="16.5" customHeight="1" x14ac:dyDescent="0.15">
      <c r="A132" s="128"/>
      <c r="B132" s="129"/>
      <c r="C132" s="130" t="s">
        <v>451</v>
      </c>
      <c r="D132" s="129"/>
      <c r="E132" s="131"/>
      <c r="F132" s="132"/>
      <c r="G132" s="130"/>
      <c r="H132" s="133"/>
      <c r="I132" s="129"/>
      <c r="J132" s="129"/>
      <c r="K132" s="133">
        <f>SUM(K133:K135)</f>
        <v>49006.270000000004</v>
      </c>
    </row>
    <row r="133" spans="1:11" ht="16.5" customHeight="1" x14ac:dyDescent="0.15">
      <c r="A133" s="100"/>
      <c r="B133" s="85"/>
      <c r="C133" s="86" t="s">
        <v>452</v>
      </c>
      <c r="D133" s="85"/>
      <c r="E133" s="116"/>
      <c r="F133" s="134"/>
      <c r="G133" s="137">
        <v>0.2</v>
      </c>
      <c r="H133" s="114">
        <f>E126</f>
        <v>35771000</v>
      </c>
      <c r="I133" s="138">
        <f>IF(E126&gt;='Đầu vào'!D35*10^6,1-'Đầu vào'!D36,1)</f>
        <v>0.9</v>
      </c>
      <c r="J133" s="85"/>
      <c r="K133" s="114">
        <f>G133*H133*I133/F126</f>
        <v>32193.9</v>
      </c>
    </row>
    <row r="134" spans="1:11" ht="16.5" customHeight="1" x14ac:dyDescent="0.15">
      <c r="A134" s="100"/>
      <c r="B134" s="85"/>
      <c r="C134" s="86" t="s">
        <v>453</v>
      </c>
      <c r="D134" s="85"/>
      <c r="E134" s="116"/>
      <c r="F134" s="134"/>
      <c r="G134" s="137">
        <v>5.4000000000000006E-2</v>
      </c>
      <c r="H134" s="114">
        <f>E126</f>
        <v>35771000</v>
      </c>
      <c r="I134" s="85"/>
      <c r="J134" s="85"/>
      <c r="K134" s="114">
        <f>G134*H134/F126</f>
        <v>9658.1700000000019</v>
      </c>
    </row>
    <row r="135" spans="1:11" ht="16.5" customHeight="1" x14ac:dyDescent="0.15">
      <c r="A135" s="100"/>
      <c r="B135" s="85"/>
      <c r="C135" s="86" t="s">
        <v>454</v>
      </c>
      <c r="D135" s="85"/>
      <c r="E135" s="116"/>
      <c r="F135" s="134"/>
      <c r="G135" s="137">
        <v>0.04</v>
      </c>
      <c r="H135" s="114">
        <f>E126</f>
        <v>35771000</v>
      </c>
      <c r="I135" s="85"/>
      <c r="J135" s="85"/>
      <c r="K135" s="114">
        <f>G135*H135/F126</f>
        <v>7154.2</v>
      </c>
    </row>
    <row r="136" spans="1:11" ht="28.5" customHeight="1" x14ac:dyDescent="0.15">
      <c r="A136" s="121">
        <v>13</v>
      </c>
      <c r="B136" s="122" t="str">
        <f>'Giá tháng'!B44</f>
        <v>M103.0202</v>
      </c>
      <c r="C136" s="123" t="str">
        <f>'Giá tháng'!C44</f>
        <v>Máy đóng cọc chạy trên ray - trọng lượng đầu búa : 1,8 T</v>
      </c>
      <c r="D136" s="122" t="str">
        <f>'Giá tháng'!D44</f>
        <v>ca</v>
      </c>
      <c r="E136" s="124">
        <v>852657000</v>
      </c>
      <c r="F136" s="125">
        <v>260</v>
      </c>
      <c r="G136" s="123"/>
      <c r="H136" s="126"/>
      <c r="I136" s="122"/>
      <c r="J136" s="122"/>
      <c r="K136" s="127">
        <f>ROUND(K137+K140+K143,'Đầu vào'!D41)</f>
        <v>1633554</v>
      </c>
    </row>
    <row r="137" spans="1:11" ht="16.5" customHeight="1" x14ac:dyDescent="0.15">
      <c r="A137" s="128"/>
      <c r="B137" s="129"/>
      <c r="C137" s="130" t="s">
        <v>445</v>
      </c>
      <c r="D137" s="129"/>
      <c r="E137" s="131"/>
      <c r="F137" s="132"/>
      <c r="G137" s="130"/>
      <c r="H137" s="133"/>
      <c r="I137" s="129"/>
      <c r="J137" s="129"/>
      <c r="K137" s="133">
        <f>SUM(K138:K139)</f>
        <v>549072.66299999994</v>
      </c>
    </row>
    <row r="138" spans="1:11" ht="16.5" customHeight="1" x14ac:dyDescent="0.15">
      <c r="A138" s="100"/>
      <c r="B138" s="85"/>
      <c r="C138" s="86" t="str">
        <f>" - "&amp;'Đầu vào'!B23</f>
        <v xml:space="preserve"> - Diezel</v>
      </c>
      <c r="D138" s="85" t="str">
        <f>'Đầu vào'!C23</f>
        <v>Lít</v>
      </c>
      <c r="E138" s="116"/>
      <c r="F138" s="134"/>
      <c r="G138" s="135">
        <v>30</v>
      </c>
      <c r="H138" s="114">
        <f>'Đầu vào'!D23</f>
        <v>16824.07</v>
      </c>
      <c r="I138" s="136">
        <f>'Đầu vào'!D29</f>
        <v>1.03</v>
      </c>
      <c r="J138" s="85"/>
      <c r="K138" s="114">
        <f>G138*H138*I138</f>
        <v>519863.76299999998</v>
      </c>
    </row>
    <row r="139" spans="1:11" ht="16.5" customHeight="1" x14ac:dyDescent="0.15">
      <c r="A139" s="100"/>
      <c r="B139" s="85"/>
      <c r="C139" s="86" t="str">
        <f>" - "&amp;'Đầu vào'!B25</f>
        <v xml:space="preserve"> - Điện</v>
      </c>
      <c r="D139" s="85" t="str">
        <f>'Đầu vào'!C25</f>
        <v>kwh</v>
      </c>
      <c r="E139" s="116"/>
      <c r="F139" s="134"/>
      <c r="G139" s="135">
        <v>14</v>
      </c>
      <c r="H139" s="114">
        <f>'Đầu vào'!D25</f>
        <v>1987</v>
      </c>
      <c r="I139" s="136">
        <f>'Đầu vào'!D31</f>
        <v>1.05</v>
      </c>
      <c r="J139" s="85"/>
      <c r="K139" s="114">
        <f>G139*H139*I139</f>
        <v>29208.9</v>
      </c>
    </row>
    <row r="140" spans="1:11" ht="16.5" customHeight="1" x14ac:dyDescent="0.15">
      <c r="A140" s="128"/>
      <c r="B140" s="129"/>
      <c r="C140" s="130" t="s">
        <v>446</v>
      </c>
      <c r="D140" s="129"/>
      <c r="E140" s="131"/>
      <c r="F140" s="132"/>
      <c r="G140" s="130"/>
      <c r="H140" s="133"/>
      <c r="I140" s="129"/>
      <c r="J140" s="129"/>
      <c r="K140" s="133">
        <f>G141*K141</f>
        <v>379400</v>
      </c>
    </row>
    <row r="141" spans="1:11" ht="16.5" customHeight="1" x14ac:dyDescent="0.15">
      <c r="A141" s="100"/>
      <c r="B141" s="85"/>
      <c r="C141" s="86" t="s">
        <v>456</v>
      </c>
      <c r="D141" s="85"/>
      <c r="E141" s="116"/>
      <c r="F141" s="134"/>
      <c r="G141" s="135">
        <v>1</v>
      </c>
      <c r="H141" s="114"/>
      <c r="I141" s="85"/>
      <c r="J141" s="85"/>
      <c r="K141" s="114">
        <f>ROUND(SUM(K142:K142),'Đầu vào'!E40)</f>
        <v>379400</v>
      </c>
    </row>
    <row r="142" spans="1:11" ht="16.5" customHeight="1" x14ac:dyDescent="0.15">
      <c r="A142" s="100"/>
      <c r="B142" s="85"/>
      <c r="C142" s="86" t="s">
        <v>448</v>
      </c>
      <c r="D142" s="85"/>
      <c r="E142" s="116"/>
      <c r="F142" s="134"/>
      <c r="G142" s="87">
        <v>1.94</v>
      </c>
      <c r="H142" s="114">
        <v>297300</v>
      </c>
      <c r="I142" s="136">
        <v>1.52</v>
      </c>
      <c r="J142" s="85"/>
      <c r="K142" s="114">
        <f>IF(G142&lt;&gt;0,G142*H142/I142,H142)</f>
        <v>379448.68421052629</v>
      </c>
    </row>
    <row r="143" spans="1:11" ht="16.5" customHeight="1" x14ac:dyDescent="0.15">
      <c r="A143" s="128"/>
      <c r="B143" s="129"/>
      <c r="C143" s="130" t="s">
        <v>451</v>
      </c>
      <c r="D143" s="129"/>
      <c r="E143" s="131"/>
      <c r="F143" s="132"/>
      <c r="G143" s="130"/>
      <c r="H143" s="133"/>
      <c r="I143" s="129"/>
      <c r="J143" s="129"/>
      <c r="K143" s="133">
        <f>SUM(K144:K146)</f>
        <v>705081.75000000012</v>
      </c>
    </row>
    <row r="144" spans="1:11" ht="16.5" customHeight="1" x14ac:dyDescent="0.15">
      <c r="A144" s="100"/>
      <c r="B144" s="85"/>
      <c r="C144" s="86" t="s">
        <v>452</v>
      </c>
      <c r="D144" s="85"/>
      <c r="E144" s="116"/>
      <c r="F144" s="134"/>
      <c r="G144" s="137">
        <v>0.14000000000000001</v>
      </c>
      <c r="H144" s="114">
        <f>E136</f>
        <v>852657000</v>
      </c>
      <c r="I144" s="138">
        <f>IF(E136&gt;='Đầu vào'!D35*10^6,1-'Đầu vào'!D36,1)</f>
        <v>0.9</v>
      </c>
      <c r="J144" s="85"/>
      <c r="K144" s="114">
        <f>G144*H144*I144/F136</f>
        <v>413210.70000000007</v>
      </c>
    </row>
    <row r="145" spans="1:11" ht="16.5" customHeight="1" x14ac:dyDescent="0.15">
      <c r="A145" s="100"/>
      <c r="B145" s="85"/>
      <c r="C145" s="86" t="s">
        <v>453</v>
      </c>
      <c r="D145" s="85"/>
      <c r="E145" s="116"/>
      <c r="F145" s="134"/>
      <c r="G145" s="137">
        <v>3.9E-2</v>
      </c>
      <c r="H145" s="114">
        <f>E136</f>
        <v>852657000</v>
      </c>
      <c r="I145" s="85"/>
      <c r="J145" s="85"/>
      <c r="K145" s="114">
        <f>G145*H145/F136</f>
        <v>127898.55</v>
      </c>
    </row>
    <row r="146" spans="1:11" ht="16.5" customHeight="1" x14ac:dyDescent="0.15">
      <c r="A146" s="100"/>
      <c r="B146" s="85"/>
      <c r="C146" s="86" t="s">
        <v>454</v>
      </c>
      <c r="D146" s="85"/>
      <c r="E146" s="116"/>
      <c r="F146" s="134"/>
      <c r="G146" s="137">
        <v>0.05</v>
      </c>
      <c r="H146" s="114">
        <f>E136</f>
        <v>852657000</v>
      </c>
      <c r="I146" s="85"/>
      <c r="J146" s="85"/>
      <c r="K146" s="114">
        <f>G146*H146/F136</f>
        <v>163972.5</v>
      </c>
    </row>
    <row r="147" spans="1:11" ht="16.5" customHeight="1" x14ac:dyDescent="0.15">
      <c r="A147" s="121">
        <v>14</v>
      </c>
      <c r="B147" s="122" t="str">
        <f>'Giá tháng'!B45</f>
        <v>M112.4003</v>
      </c>
      <c r="C147" s="123" t="str">
        <f>'Giá tháng'!C45</f>
        <v>Máy hàn xoay chiều - công suất : 23,0 kW</v>
      </c>
      <c r="D147" s="122" t="str">
        <f>'Giá tháng'!D45</f>
        <v>ca</v>
      </c>
      <c r="E147" s="124">
        <v>16000000</v>
      </c>
      <c r="F147" s="125">
        <v>200</v>
      </c>
      <c r="G147" s="123"/>
      <c r="H147" s="126"/>
      <c r="I147" s="122"/>
      <c r="J147" s="122"/>
      <c r="K147" s="127">
        <f>ROUND(K148+K150+K153,'Đầu vào'!D41)</f>
        <v>447485</v>
      </c>
    </row>
    <row r="148" spans="1:11" ht="16.5" customHeight="1" x14ac:dyDescent="0.15">
      <c r="A148" s="128"/>
      <c r="B148" s="129"/>
      <c r="C148" s="130" t="s">
        <v>445</v>
      </c>
      <c r="D148" s="129"/>
      <c r="E148" s="131"/>
      <c r="F148" s="132"/>
      <c r="G148" s="130"/>
      <c r="H148" s="133"/>
      <c r="I148" s="129"/>
      <c r="J148" s="129"/>
      <c r="K148" s="133">
        <f>SUM(K149:K149)</f>
        <v>100144.8</v>
      </c>
    </row>
    <row r="149" spans="1:11" ht="16.5" customHeight="1" x14ac:dyDescent="0.15">
      <c r="A149" s="100"/>
      <c r="B149" s="85"/>
      <c r="C149" s="86" t="str">
        <f>" - "&amp;'Đầu vào'!B25</f>
        <v xml:space="preserve"> - Điện</v>
      </c>
      <c r="D149" s="85" t="str">
        <f>'Đầu vào'!C25</f>
        <v>kwh</v>
      </c>
      <c r="E149" s="116"/>
      <c r="F149" s="134"/>
      <c r="G149" s="135">
        <v>48</v>
      </c>
      <c r="H149" s="114">
        <f>'Đầu vào'!D25</f>
        <v>1987</v>
      </c>
      <c r="I149" s="136">
        <f>'Đầu vào'!D31</f>
        <v>1.05</v>
      </c>
      <c r="J149" s="85"/>
      <c r="K149" s="114">
        <f>G149*H149*I149</f>
        <v>100144.8</v>
      </c>
    </row>
    <row r="150" spans="1:11" ht="16.5" customHeight="1" x14ac:dyDescent="0.15">
      <c r="A150" s="128"/>
      <c r="B150" s="129"/>
      <c r="C150" s="130" t="s">
        <v>446</v>
      </c>
      <c r="D150" s="129"/>
      <c r="E150" s="131"/>
      <c r="F150" s="132"/>
      <c r="G150" s="130"/>
      <c r="H150" s="133"/>
      <c r="I150" s="129"/>
      <c r="J150" s="129"/>
      <c r="K150" s="133">
        <f>G151*K151</f>
        <v>322700</v>
      </c>
    </row>
    <row r="151" spans="1:11" ht="16.5" customHeight="1" x14ac:dyDescent="0.15">
      <c r="A151" s="100"/>
      <c r="B151" s="85"/>
      <c r="C151" s="86" t="s">
        <v>455</v>
      </c>
      <c r="D151" s="85"/>
      <c r="E151" s="116"/>
      <c r="F151" s="134"/>
      <c r="G151" s="135">
        <v>1</v>
      </c>
      <c r="H151" s="114"/>
      <c r="I151" s="85"/>
      <c r="J151" s="85"/>
      <c r="K151" s="114">
        <f>ROUND(SUM(K152:K152),'Đầu vào'!E40)</f>
        <v>322700</v>
      </c>
    </row>
    <row r="152" spans="1:11" ht="16.5" customHeight="1" x14ac:dyDescent="0.15">
      <c r="A152" s="100"/>
      <c r="B152" s="85"/>
      <c r="C152" s="86" t="s">
        <v>448</v>
      </c>
      <c r="D152" s="85"/>
      <c r="E152" s="116"/>
      <c r="F152" s="134"/>
      <c r="G152" s="87">
        <v>1.65</v>
      </c>
      <c r="H152" s="114">
        <v>297300</v>
      </c>
      <c r="I152" s="136">
        <v>1.52</v>
      </c>
      <c r="J152" s="85"/>
      <c r="K152" s="114">
        <f>IF(G152&lt;&gt;0,G152*H152/I152,H152)</f>
        <v>322726.9736842105</v>
      </c>
    </row>
    <row r="153" spans="1:11" ht="16.5" customHeight="1" x14ac:dyDescent="0.15">
      <c r="A153" s="128"/>
      <c r="B153" s="129"/>
      <c r="C153" s="130" t="s">
        <v>451</v>
      </c>
      <c r="D153" s="129"/>
      <c r="E153" s="131"/>
      <c r="F153" s="132"/>
      <c r="G153" s="130"/>
      <c r="H153" s="133"/>
      <c r="I153" s="129"/>
      <c r="J153" s="129"/>
      <c r="K153" s="133">
        <f>SUM(K154:K156)</f>
        <v>24640</v>
      </c>
    </row>
    <row r="154" spans="1:11" ht="16.5" customHeight="1" x14ac:dyDescent="0.15">
      <c r="A154" s="100"/>
      <c r="B154" s="85"/>
      <c r="C154" s="86" t="s">
        <v>452</v>
      </c>
      <c r="D154" s="85"/>
      <c r="E154" s="116"/>
      <c r="F154" s="134"/>
      <c r="G154" s="137">
        <v>0.21</v>
      </c>
      <c r="H154" s="114">
        <f>E147</f>
        <v>16000000</v>
      </c>
      <c r="I154" s="138">
        <f>IF(E147&gt;='Đầu vào'!D35*10^6,1-'Đầu vào'!D36,1)</f>
        <v>1</v>
      </c>
      <c r="J154" s="85"/>
      <c r="K154" s="114">
        <f>G154*H154*I154/F147</f>
        <v>16800</v>
      </c>
    </row>
    <row r="155" spans="1:11" ht="16.5" customHeight="1" x14ac:dyDescent="0.15">
      <c r="A155" s="100"/>
      <c r="B155" s="85"/>
      <c r="C155" s="86" t="s">
        <v>453</v>
      </c>
      <c r="D155" s="85"/>
      <c r="E155" s="116"/>
      <c r="F155" s="134"/>
      <c r="G155" s="137">
        <v>4.8000000000000001E-2</v>
      </c>
      <c r="H155" s="114">
        <f>E147</f>
        <v>16000000</v>
      </c>
      <c r="I155" s="85"/>
      <c r="J155" s="85"/>
      <c r="K155" s="114">
        <f>G155*H155/F147</f>
        <v>3840</v>
      </c>
    </row>
    <row r="156" spans="1:11" ht="16.5" customHeight="1" x14ac:dyDescent="0.15">
      <c r="A156" s="100"/>
      <c r="B156" s="85"/>
      <c r="C156" s="86" t="s">
        <v>454</v>
      </c>
      <c r="D156" s="85"/>
      <c r="E156" s="116"/>
      <c r="F156" s="134"/>
      <c r="G156" s="137">
        <v>0.05</v>
      </c>
      <c r="H156" s="114">
        <f>E147</f>
        <v>16000000</v>
      </c>
      <c r="I156" s="85"/>
      <c r="J156" s="85"/>
      <c r="K156" s="114">
        <f>G156*H156/F147</f>
        <v>4000</v>
      </c>
    </row>
    <row r="157" spans="1:11" ht="28.5" customHeight="1" x14ac:dyDescent="0.15">
      <c r="A157" s="121">
        <v>15</v>
      </c>
      <c r="B157" s="122" t="str">
        <f>'Giá tháng'!B46</f>
        <v>M108.0308</v>
      </c>
      <c r="C157" s="123" t="str">
        <f>'Giá tháng'!C46</f>
        <v>Máy nén khí, động cơ diezel - năng suất : 1200,00 m3/h</v>
      </c>
      <c r="D157" s="122" t="str">
        <f>'Giá tháng'!D46</f>
        <v>ca</v>
      </c>
      <c r="E157" s="124">
        <v>959970000</v>
      </c>
      <c r="F157" s="125">
        <v>180</v>
      </c>
      <c r="G157" s="123"/>
      <c r="H157" s="126"/>
      <c r="I157" s="122"/>
      <c r="J157" s="122"/>
      <c r="K157" s="127">
        <f>ROUND(K158+K160+K163,'Đầu vào'!D41)</f>
        <v>2576996</v>
      </c>
    </row>
    <row r="158" spans="1:11" ht="16.5" customHeight="1" x14ac:dyDescent="0.15">
      <c r="A158" s="128"/>
      <c r="B158" s="129"/>
      <c r="C158" s="130" t="s">
        <v>445</v>
      </c>
      <c r="D158" s="129"/>
      <c r="E158" s="131"/>
      <c r="F158" s="132"/>
      <c r="G158" s="130"/>
      <c r="H158" s="133"/>
      <c r="I158" s="129"/>
      <c r="J158" s="129"/>
      <c r="K158" s="133">
        <f>SUM(K159:K159)</f>
        <v>1299659.4075</v>
      </c>
    </row>
    <row r="159" spans="1:11" ht="16.5" customHeight="1" x14ac:dyDescent="0.15">
      <c r="A159" s="100"/>
      <c r="B159" s="85"/>
      <c r="C159" s="86" t="str">
        <f>" - "&amp;'Đầu vào'!B23</f>
        <v xml:space="preserve"> - Diezel</v>
      </c>
      <c r="D159" s="85" t="str">
        <f>'Đầu vào'!C23</f>
        <v>Lít</v>
      </c>
      <c r="E159" s="116"/>
      <c r="F159" s="134"/>
      <c r="G159" s="135">
        <v>75</v>
      </c>
      <c r="H159" s="114">
        <f>'Đầu vào'!D23</f>
        <v>16824.07</v>
      </c>
      <c r="I159" s="136">
        <f>'Đầu vào'!D29</f>
        <v>1.03</v>
      </c>
      <c r="J159" s="85"/>
      <c r="K159" s="114">
        <f>G159*H159*I159</f>
        <v>1299659.4075</v>
      </c>
    </row>
    <row r="160" spans="1:11" ht="16.5" customHeight="1" x14ac:dyDescent="0.15">
      <c r="A160" s="128"/>
      <c r="B160" s="129"/>
      <c r="C160" s="130" t="s">
        <v>446</v>
      </c>
      <c r="D160" s="129"/>
      <c r="E160" s="131"/>
      <c r="F160" s="132"/>
      <c r="G160" s="130"/>
      <c r="H160" s="133"/>
      <c r="I160" s="129"/>
      <c r="J160" s="129"/>
      <c r="K160" s="133">
        <f>G161*K161</f>
        <v>322700</v>
      </c>
    </row>
    <row r="161" spans="1:11" ht="16.5" customHeight="1" x14ac:dyDescent="0.15">
      <c r="A161" s="100"/>
      <c r="B161" s="85"/>
      <c r="C161" s="86" t="s">
        <v>455</v>
      </c>
      <c r="D161" s="85"/>
      <c r="E161" s="116"/>
      <c r="F161" s="134"/>
      <c r="G161" s="135">
        <v>1</v>
      </c>
      <c r="H161" s="114"/>
      <c r="I161" s="85"/>
      <c r="J161" s="85"/>
      <c r="K161" s="114">
        <f>ROUND(SUM(K162:K162),'Đầu vào'!E40)</f>
        <v>322700</v>
      </c>
    </row>
    <row r="162" spans="1:11" ht="16.5" customHeight="1" x14ac:dyDescent="0.15">
      <c r="A162" s="100"/>
      <c r="B162" s="85"/>
      <c r="C162" s="86" t="s">
        <v>448</v>
      </c>
      <c r="D162" s="85"/>
      <c r="E162" s="116"/>
      <c r="F162" s="134"/>
      <c r="G162" s="87">
        <v>1.65</v>
      </c>
      <c r="H162" s="114">
        <v>297300</v>
      </c>
      <c r="I162" s="136">
        <v>1.52</v>
      </c>
      <c r="J162" s="85"/>
      <c r="K162" s="114">
        <f>IF(G162&lt;&gt;0,G162*H162/I162,H162)</f>
        <v>322726.9736842105</v>
      </c>
    </row>
    <row r="163" spans="1:11" ht="16.5" customHeight="1" x14ac:dyDescent="0.15">
      <c r="A163" s="128"/>
      <c r="B163" s="129"/>
      <c r="C163" s="130" t="s">
        <v>451</v>
      </c>
      <c r="D163" s="129"/>
      <c r="E163" s="131"/>
      <c r="F163" s="132"/>
      <c r="G163" s="130"/>
      <c r="H163" s="133"/>
      <c r="I163" s="129"/>
      <c r="J163" s="129"/>
      <c r="K163" s="133">
        <f>SUM(K164:K166)</f>
        <v>954636.83333333326</v>
      </c>
    </row>
    <row r="164" spans="1:11" ht="16.5" customHeight="1" x14ac:dyDescent="0.15">
      <c r="A164" s="100"/>
      <c r="B164" s="85"/>
      <c r="C164" s="86" t="s">
        <v>452</v>
      </c>
      <c r="D164" s="85"/>
      <c r="E164" s="116"/>
      <c r="F164" s="134"/>
      <c r="G164" s="137">
        <v>0.1</v>
      </c>
      <c r="H164" s="114">
        <f>E157</f>
        <v>959970000</v>
      </c>
      <c r="I164" s="138">
        <f>IF(E157&gt;='Đầu vào'!D35*10^6,1-'Đầu vào'!D36,1)</f>
        <v>0.9</v>
      </c>
      <c r="J164" s="85"/>
      <c r="K164" s="114">
        <f>G164*H164*I164/F157</f>
        <v>479985</v>
      </c>
    </row>
    <row r="165" spans="1:11" ht="16.5" customHeight="1" x14ac:dyDescent="0.15">
      <c r="A165" s="100"/>
      <c r="B165" s="85"/>
      <c r="C165" s="86" t="s">
        <v>453</v>
      </c>
      <c r="D165" s="85"/>
      <c r="E165" s="116"/>
      <c r="F165" s="134"/>
      <c r="G165" s="137">
        <v>3.9E-2</v>
      </c>
      <c r="H165" s="114">
        <f>E157</f>
        <v>959970000</v>
      </c>
      <c r="I165" s="85"/>
      <c r="J165" s="85"/>
      <c r="K165" s="114">
        <f>G165*H165/F157</f>
        <v>207993.5</v>
      </c>
    </row>
    <row r="166" spans="1:11" ht="16.5" customHeight="1" x14ac:dyDescent="0.15">
      <c r="A166" s="100"/>
      <c r="B166" s="85"/>
      <c r="C166" s="86" t="s">
        <v>454</v>
      </c>
      <c r="D166" s="85"/>
      <c r="E166" s="116"/>
      <c r="F166" s="134"/>
      <c r="G166" s="137">
        <v>0.05</v>
      </c>
      <c r="H166" s="114">
        <f>E157</f>
        <v>959970000</v>
      </c>
      <c r="I166" s="85"/>
      <c r="J166" s="85"/>
      <c r="K166" s="114">
        <f>G166*H166/F157</f>
        <v>266658.33333333331</v>
      </c>
    </row>
    <row r="167" spans="1:11" ht="16.5" customHeight="1" x14ac:dyDescent="0.15">
      <c r="A167" s="121">
        <v>16</v>
      </c>
      <c r="B167" s="122" t="str">
        <f>'Giá tháng'!B47</f>
        <v>M104.0102</v>
      </c>
      <c r="C167" s="123" t="str">
        <f>'Giá tháng'!C47</f>
        <v>Máy trộn bê tông - dung tích : 250,0 lít</v>
      </c>
      <c r="D167" s="122" t="str">
        <f>'Giá tháng'!D47</f>
        <v>ca</v>
      </c>
      <c r="E167" s="124">
        <v>30210000</v>
      </c>
      <c r="F167" s="125">
        <v>165</v>
      </c>
      <c r="G167" s="123"/>
      <c r="H167" s="126"/>
      <c r="I167" s="122"/>
      <c r="J167" s="122"/>
      <c r="K167" s="127">
        <f>ROUND(K168+K170+K173,'Đầu vào'!D41)</f>
        <v>347214</v>
      </c>
    </row>
    <row r="168" spans="1:11" ht="16.5" customHeight="1" x14ac:dyDescent="0.15">
      <c r="A168" s="128"/>
      <c r="B168" s="129"/>
      <c r="C168" s="130" t="s">
        <v>445</v>
      </c>
      <c r="D168" s="129"/>
      <c r="E168" s="131"/>
      <c r="F168" s="132"/>
      <c r="G168" s="130"/>
      <c r="H168" s="133"/>
      <c r="I168" s="129"/>
      <c r="J168" s="129"/>
      <c r="K168" s="133">
        <f>SUM(K169:K169)</f>
        <v>22949.850000000002</v>
      </c>
    </row>
    <row r="169" spans="1:11" ht="16.5" customHeight="1" x14ac:dyDescent="0.15">
      <c r="A169" s="100"/>
      <c r="B169" s="85"/>
      <c r="C169" s="86" t="str">
        <f>" - "&amp;'Đầu vào'!B25</f>
        <v xml:space="preserve"> - Điện</v>
      </c>
      <c r="D169" s="85" t="str">
        <f>'Đầu vào'!C25</f>
        <v>kwh</v>
      </c>
      <c r="E169" s="116"/>
      <c r="F169" s="134"/>
      <c r="G169" s="135">
        <v>11</v>
      </c>
      <c r="H169" s="114">
        <f>'Đầu vào'!D25</f>
        <v>1987</v>
      </c>
      <c r="I169" s="136">
        <f>'Đầu vào'!D31</f>
        <v>1.05</v>
      </c>
      <c r="J169" s="85"/>
      <c r="K169" s="114">
        <f>G169*H169*I169</f>
        <v>22949.850000000002</v>
      </c>
    </row>
    <row r="170" spans="1:11" ht="16.5" customHeight="1" x14ac:dyDescent="0.15">
      <c r="A170" s="128"/>
      <c r="B170" s="129"/>
      <c r="C170" s="130" t="s">
        <v>446</v>
      </c>
      <c r="D170" s="129"/>
      <c r="E170" s="131"/>
      <c r="F170" s="132"/>
      <c r="G170" s="130"/>
      <c r="H170" s="133"/>
      <c r="I170" s="129"/>
      <c r="J170" s="129"/>
      <c r="K170" s="133">
        <f>G171*K171</f>
        <v>271900</v>
      </c>
    </row>
    <row r="171" spans="1:11" ht="16.5" customHeight="1" x14ac:dyDescent="0.15">
      <c r="A171" s="100"/>
      <c r="B171" s="85"/>
      <c r="C171" s="86" t="s">
        <v>461</v>
      </c>
      <c r="D171" s="85"/>
      <c r="E171" s="116"/>
      <c r="F171" s="134"/>
      <c r="G171" s="135">
        <v>1</v>
      </c>
      <c r="H171" s="114"/>
      <c r="I171" s="85"/>
      <c r="J171" s="85"/>
      <c r="K171" s="114">
        <f>ROUND(SUM(K172:K172),'Đầu vào'!E40)</f>
        <v>271900</v>
      </c>
    </row>
    <row r="172" spans="1:11" ht="16.5" customHeight="1" x14ac:dyDescent="0.15">
      <c r="A172" s="100"/>
      <c r="B172" s="85"/>
      <c r="C172" s="86" t="s">
        <v>448</v>
      </c>
      <c r="D172" s="85"/>
      <c r="E172" s="116"/>
      <c r="F172" s="134"/>
      <c r="G172" s="87">
        <v>1.39</v>
      </c>
      <c r="H172" s="114">
        <v>297300</v>
      </c>
      <c r="I172" s="136">
        <v>1.52</v>
      </c>
      <c r="J172" s="85"/>
      <c r="K172" s="114">
        <f>IF(G172&lt;&gt;0,G172*H172/I172,H172)</f>
        <v>271873.0263157895</v>
      </c>
    </row>
    <row r="173" spans="1:11" ht="16.5" customHeight="1" x14ac:dyDescent="0.15">
      <c r="A173" s="128"/>
      <c r="B173" s="129"/>
      <c r="C173" s="130" t="s">
        <v>451</v>
      </c>
      <c r="D173" s="129"/>
      <c r="E173" s="131"/>
      <c r="F173" s="132"/>
      <c r="G173" s="130"/>
      <c r="H173" s="133"/>
      <c r="I173" s="129"/>
      <c r="J173" s="129"/>
      <c r="K173" s="133">
        <f>SUM(K174:K176)</f>
        <v>52364</v>
      </c>
    </row>
    <row r="174" spans="1:11" ht="16.5" customHeight="1" x14ac:dyDescent="0.15">
      <c r="A174" s="100"/>
      <c r="B174" s="85"/>
      <c r="C174" s="86" t="s">
        <v>452</v>
      </c>
      <c r="D174" s="85"/>
      <c r="E174" s="116"/>
      <c r="F174" s="134"/>
      <c r="G174" s="137">
        <v>0.19</v>
      </c>
      <c r="H174" s="114">
        <f>E167</f>
        <v>30210000</v>
      </c>
      <c r="I174" s="138">
        <f>IF(E167&gt;='Đầu vào'!D35*10^6,1-'Đầu vào'!D36,1)</f>
        <v>0.9</v>
      </c>
      <c r="J174" s="85"/>
      <c r="K174" s="114">
        <f>G174*H174*I174/F167</f>
        <v>31308.545454545456</v>
      </c>
    </row>
    <row r="175" spans="1:11" ht="16.5" customHeight="1" x14ac:dyDescent="0.15">
      <c r="A175" s="100"/>
      <c r="B175" s="85"/>
      <c r="C175" s="86" t="s">
        <v>453</v>
      </c>
      <c r="D175" s="85"/>
      <c r="E175" s="116"/>
      <c r="F175" s="134"/>
      <c r="G175" s="137">
        <v>6.5000000000000002E-2</v>
      </c>
      <c r="H175" s="114">
        <f>E167</f>
        <v>30210000</v>
      </c>
      <c r="I175" s="85"/>
      <c r="J175" s="85"/>
      <c r="K175" s="114">
        <f>G175*H175/F167</f>
        <v>11900.90909090909</v>
      </c>
    </row>
    <row r="176" spans="1:11" ht="16.5" customHeight="1" x14ac:dyDescent="0.15">
      <c r="A176" s="100"/>
      <c r="B176" s="85"/>
      <c r="C176" s="86" t="s">
        <v>454</v>
      </c>
      <c r="D176" s="85"/>
      <c r="E176" s="116"/>
      <c r="F176" s="134"/>
      <c r="G176" s="137">
        <v>0.05</v>
      </c>
      <c r="H176" s="114">
        <f>E167</f>
        <v>30210000</v>
      </c>
      <c r="I176" s="85"/>
      <c r="J176" s="85"/>
      <c r="K176" s="114">
        <f>G176*H176/F167</f>
        <v>9154.545454545454</v>
      </c>
    </row>
    <row r="177" spans="1:11" ht="16.5" customHeight="1" x14ac:dyDescent="0.15">
      <c r="A177" s="121">
        <v>17</v>
      </c>
      <c r="B177" s="122" t="str">
        <f>'Giá tháng'!B48</f>
        <v>M101.0503</v>
      </c>
      <c r="C177" s="123" t="str">
        <f>'Giá tháng'!C48</f>
        <v>Máy ủi - công suất : 110,0 CV</v>
      </c>
      <c r="D177" s="122" t="str">
        <f>'Giá tháng'!D48</f>
        <v>ca</v>
      </c>
      <c r="E177" s="124">
        <v>851855000</v>
      </c>
      <c r="F177" s="125">
        <v>280</v>
      </c>
      <c r="G177" s="123"/>
      <c r="H177" s="126"/>
      <c r="I177" s="122"/>
      <c r="J177" s="122"/>
      <c r="K177" s="127">
        <f>ROUND(K178+K180+K183,'Đầu vào'!D41)</f>
        <v>1831732</v>
      </c>
    </row>
    <row r="178" spans="1:11" ht="16.5" customHeight="1" x14ac:dyDescent="0.15">
      <c r="A178" s="128"/>
      <c r="B178" s="129"/>
      <c r="C178" s="130" t="s">
        <v>445</v>
      </c>
      <c r="D178" s="129"/>
      <c r="E178" s="131"/>
      <c r="F178" s="132"/>
      <c r="G178" s="130"/>
      <c r="H178" s="133"/>
      <c r="I178" s="129"/>
      <c r="J178" s="129"/>
      <c r="K178" s="133">
        <f>SUM(K179:K179)</f>
        <v>797124.43660000002</v>
      </c>
    </row>
    <row r="179" spans="1:11" ht="16.5" customHeight="1" x14ac:dyDescent="0.15">
      <c r="A179" s="100"/>
      <c r="B179" s="85"/>
      <c r="C179" s="86" t="str">
        <f>" - "&amp;'Đầu vào'!B23</f>
        <v xml:space="preserve"> - Diezel</v>
      </c>
      <c r="D179" s="85" t="str">
        <f>'Đầu vào'!C23</f>
        <v>Lít</v>
      </c>
      <c r="E179" s="116"/>
      <c r="F179" s="134"/>
      <c r="G179" s="135">
        <v>46</v>
      </c>
      <c r="H179" s="114">
        <f>'Đầu vào'!D23</f>
        <v>16824.07</v>
      </c>
      <c r="I179" s="136">
        <f>'Đầu vào'!D29</f>
        <v>1.03</v>
      </c>
      <c r="J179" s="85"/>
      <c r="K179" s="114">
        <f>G179*H179*I179</f>
        <v>797124.43660000002</v>
      </c>
    </row>
    <row r="180" spans="1:11" ht="16.5" customHeight="1" x14ac:dyDescent="0.15">
      <c r="A180" s="128"/>
      <c r="B180" s="129"/>
      <c r="C180" s="130" t="s">
        <v>446</v>
      </c>
      <c r="D180" s="129"/>
      <c r="E180" s="131"/>
      <c r="F180" s="132"/>
      <c r="G180" s="130"/>
      <c r="H180" s="133"/>
      <c r="I180" s="129"/>
      <c r="J180" s="129"/>
      <c r="K180" s="133">
        <f>G181*K181</f>
        <v>322700</v>
      </c>
    </row>
    <row r="181" spans="1:11" ht="16.5" customHeight="1" x14ac:dyDescent="0.15">
      <c r="A181" s="100"/>
      <c r="B181" s="85"/>
      <c r="C181" s="86" t="s">
        <v>455</v>
      </c>
      <c r="D181" s="85"/>
      <c r="E181" s="116"/>
      <c r="F181" s="134"/>
      <c r="G181" s="135">
        <v>1</v>
      </c>
      <c r="H181" s="114"/>
      <c r="I181" s="85"/>
      <c r="J181" s="85"/>
      <c r="K181" s="114">
        <f>ROUND(SUM(K182:K182),'Đầu vào'!E40)</f>
        <v>322700</v>
      </c>
    </row>
    <row r="182" spans="1:11" ht="16.5" customHeight="1" x14ac:dyDescent="0.15">
      <c r="A182" s="100"/>
      <c r="B182" s="85"/>
      <c r="C182" s="86" t="s">
        <v>448</v>
      </c>
      <c r="D182" s="85"/>
      <c r="E182" s="116"/>
      <c r="F182" s="134"/>
      <c r="G182" s="87">
        <v>1.65</v>
      </c>
      <c r="H182" s="114">
        <v>297300</v>
      </c>
      <c r="I182" s="136">
        <v>1.52</v>
      </c>
      <c r="J182" s="85"/>
      <c r="K182" s="114">
        <f>IF(G182&lt;&gt;0,G182*H182/I182,H182)</f>
        <v>322726.9736842105</v>
      </c>
    </row>
    <row r="183" spans="1:11" ht="16.5" customHeight="1" x14ac:dyDescent="0.15">
      <c r="A183" s="128"/>
      <c r="B183" s="129"/>
      <c r="C183" s="130" t="s">
        <v>451</v>
      </c>
      <c r="D183" s="129"/>
      <c r="E183" s="131"/>
      <c r="F183" s="132"/>
      <c r="G183" s="130"/>
      <c r="H183" s="133"/>
      <c r="I183" s="129"/>
      <c r="J183" s="129"/>
      <c r="K183" s="133">
        <f>SUM(K184:K186)</f>
        <v>711907.39285714296</v>
      </c>
    </row>
    <row r="184" spans="1:11" ht="16.5" customHeight="1" x14ac:dyDescent="0.15">
      <c r="A184" s="100"/>
      <c r="B184" s="85"/>
      <c r="C184" s="86" t="s">
        <v>452</v>
      </c>
      <c r="D184" s="85"/>
      <c r="E184" s="116"/>
      <c r="F184" s="134"/>
      <c r="G184" s="137">
        <v>0.14000000000000001</v>
      </c>
      <c r="H184" s="114">
        <f>E177</f>
        <v>851855000</v>
      </c>
      <c r="I184" s="138">
        <f>IF(E177&gt;='Đầu vào'!D35*10^6,1-'Đầu vào'!D36,1)</f>
        <v>0.9</v>
      </c>
      <c r="J184" s="85"/>
      <c r="K184" s="114">
        <f>G184*H184*I184/F177</f>
        <v>383334.75000000006</v>
      </c>
    </row>
    <row r="185" spans="1:11" ht="16.5" customHeight="1" x14ac:dyDescent="0.15">
      <c r="A185" s="100"/>
      <c r="B185" s="85"/>
      <c r="C185" s="86" t="s">
        <v>453</v>
      </c>
      <c r="D185" s="85"/>
      <c r="E185" s="116"/>
      <c r="F185" s="134"/>
      <c r="G185" s="137">
        <v>5.7999999999999996E-2</v>
      </c>
      <c r="H185" s="114">
        <f>E177</f>
        <v>851855000</v>
      </c>
      <c r="I185" s="85"/>
      <c r="J185" s="85"/>
      <c r="K185" s="114">
        <f>G185*H185/F177</f>
        <v>176455.67857142858</v>
      </c>
    </row>
    <row r="186" spans="1:11" ht="16.5" customHeight="1" x14ac:dyDescent="0.15">
      <c r="A186" s="100"/>
      <c r="B186" s="85"/>
      <c r="C186" s="86" t="s">
        <v>454</v>
      </c>
      <c r="D186" s="85"/>
      <c r="E186" s="116"/>
      <c r="F186" s="134"/>
      <c r="G186" s="137">
        <v>0.05</v>
      </c>
      <c r="H186" s="114">
        <f>E177</f>
        <v>851855000</v>
      </c>
      <c r="I186" s="85"/>
      <c r="J186" s="85"/>
      <c r="K186" s="114">
        <f>G186*H186/F177</f>
        <v>152116.96428571429</v>
      </c>
    </row>
    <row r="187" spans="1:11" ht="16.5" customHeight="1" x14ac:dyDescent="0.15">
      <c r="A187" s="121">
        <v>18</v>
      </c>
      <c r="B187" s="122" t="str">
        <f>'Giá tháng'!B49</f>
        <v>M102.1001</v>
      </c>
      <c r="C187" s="123" t="str">
        <f>'Giá tháng'!C49</f>
        <v>Máy vận thăng lồng - sức nâng : 3,0 T</v>
      </c>
      <c r="D187" s="122" t="str">
        <f>'Giá tháng'!D49</f>
        <v>ca</v>
      </c>
      <c r="E187" s="124">
        <v>590336000</v>
      </c>
      <c r="F187" s="125">
        <v>290</v>
      </c>
      <c r="G187" s="123"/>
      <c r="H187" s="126"/>
      <c r="I187" s="122"/>
      <c r="J187" s="122"/>
      <c r="K187" s="127">
        <f>ROUND(K188+K190+K193,'Đầu vào'!D41)</f>
        <v>857495</v>
      </c>
    </row>
    <row r="188" spans="1:11" ht="16.5" customHeight="1" x14ac:dyDescent="0.15">
      <c r="A188" s="128"/>
      <c r="B188" s="129"/>
      <c r="C188" s="130" t="s">
        <v>445</v>
      </c>
      <c r="D188" s="129"/>
      <c r="E188" s="131"/>
      <c r="F188" s="132"/>
      <c r="G188" s="130"/>
      <c r="H188" s="133"/>
      <c r="I188" s="129"/>
      <c r="J188" s="129"/>
      <c r="K188" s="133">
        <f>SUM(K189:K189)</f>
        <v>98058.45</v>
      </c>
    </row>
    <row r="189" spans="1:11" ht="16.5" customHeight="1" x14ac:dyDescent="0.15">
      <c r="A189" s="100"/>
      <c r="B189" s="85"/>
      <c r="C189" s="86" t="str">
        <f>" - "&amp;'Đầu vào'!B25</f>
        <v xml:space="preserve"> - Điện</v>
      </c>
      <c r="D189" s="85" t="str">
        <f>'Đầu vào'!C25</f>
        <v>kwh</v>
      </c>
      <c r="E189" s="116"/>
      <c r="F189" s="134"/>
      <c r="G189" s="135">
        <v>47</v>
      </c>
      <c r="H189" s="114">
        <f>'Đầu vào'!D25</f>
        <v>1987</v>
      </c>
      <c r="I189" s="136">
        <f>'Đầu vào'!D31</f>
        <v>1.05</v>
      </c>
      <c r="J189" s="85"/>
      <c r="K189" s="114">
        <f>G189*H189*I189</f>
        <v>98058.45</v>
      </c>
    </row>
    <row r="190" spans="1:11" ht="16.5" customHeight="1" x14ac:dyDescent="0.15">
      <c r="A190" s="128"/>
      <c r="B190" s="129"/>
      <c r="C190" s="130" t="s">
        <v>446</v>
      </c>
      <c r="D190" s="129"/>
      <c r="E190" s="131"/>
      <c r="F190" s="132"/>
      <c r="G190" s="130"/>
      <c r="H190" s="133"/>
      <c r="I190" s="129"/>
      <c r="J190" s="129"/>
      <c r="K190" s="133">
        <f>G191*K191</f>
        <v>271900</v>
      </c>
    </row>
    <row r="191" spans="1:11" ht="16.5" customHeight="1" x14ac:dyDescent="0.15">
      <c r="A191" s="100"/>
      <c r="B191" s="85"/>
      <c r="C191" s="86" t="s">
        <v>461</v>
      </c>
      <c r="D191" s="85"/>
      <c r="E191" s="116"/>
      <c r="F191" s="134"/>
      <c r="G191" s="135">
        <v>1</v>
      </c>
      <c r="H191" s="114"/>
      <c r="I191" s="85"/>
      <c r="J191" s="85"/>
      <c r="K191" s="114">
        <f>ROUND(SUM(K192:K192),'Đầu vào'!E40)</f>
        <v>271900</v>
      </c>
    </row>
    <row r="192" spans="1:11" ht="16.5" customHeight="1" x14ac:dyDescent="0.15">
      <c r="A192" s="100"/>
      <c r="B192" s="85"/>
      <c r="C192" s="86" t="s">
        <v>448</v>
      </c>
      <c r="D192" s="85"/>
      <c r="E192" s="116"/>
      <c r="F192" s="134"/>
      <c r="G192" s="87">
        <v>1.39</v>
      </c>
      <c r="H192" s="114">
        <v>297300</v>
      </c>
      <c r="I192" s="136">
        <v>1.52</v>
      </c>
      <c r="J192" s="85"/>
      <c r="K192" s="114">
        <f>IF(G192&lt;&gt;0,G192*H192/I192,H192)</f>
        <v>271873.0263157895</v>
      </c>
    </row>
    <row r="193" spans="1:11" ht="16.5" customHeight="1" x14ac:dyDescent="0.15">
      <c r="A193" s="128"/>
      <c r="B193" s="129"/>
      <c r="C193" s="130" t="s">
        <v>451</v>
      </c>
      <c r="D193" s="129"/>
      <c r="E193" s="131"/>
      <c r="F193" s="132"/>
      <c r="G193" s="130"/>
      <c r="H193" s="133"/>
      <c r="I193" s="129"/>
      <c r="J193" s="129"/>
      <c r="K193" s="133">
        <f>SUM(K194:K196)</f>
        <v>487536.11034482764</v>
      </c>
    </row>
    <row r="194" spans="1:11" ht="16.5" customHeight="1" x14ac:dyDescent="0.15">
      <c r="A194" s="100"/>
      <c r="B194" s="85"/>
      <c r="C194" s="86" t="s">
        <v>452</v>
      </c>
      <c r="D194" s="85"/>
      <c r="E194" s="116"/>
      <c r="F194" s="134"/>
      <c r="G194" s="137">
        <v>0.16500000000000001</v>
      </c>
      <c r="H194" s="114">
        <f>E187</f>
        <v>590336000</v>
      </c>
      <c r="I194" s="138">
        <f>IF(E187&gt;='Đầu vào'!D35*10^6,1-'Đầu vào'!D36,1)</f>
        <v>0.9</v>
      </c>
      <c r="J194" s="85"/>
      <c r="K194" s="114">
        <f>G194*H194*I194/F187</f>
        <v>302292.74482758623</v>
      </c>
    </row>
    <row r="195" spans="1:11" ht="16.5" customHeight="1" x14ac:dyDescent="0.15">
      <c r="A195" s="100"/>
      <c r="B195" s="85"/>
      <c r="C195" s="86" t="s">
        <v>453</v>
      </c>
      <c r="D195" s="85"/>
      <c r="E195" s="116"/>
      <c r="F195" s="134"/>
      <c r="G195" s="137">
        <v>4.0999999999999995E-2</v>
      </c>
      <c r="H195" s="114">
        <f>E187</f>
        <v>590336000</v>
      </c>
      <c r="I195" s="85"/>
      <c r="J195" s="85"/>
      <c r="K195" s="114">
        <f>G195*H195/F187</f>
        <v>83461.296551724125</v>
      </c>
    </row>
    <row r="196" spans="1:11" ht="16.5" customHeight="1" x14ac:dyDescent="0.15">
      <c r="A196" s="100"/>
      <c r="B196" s="85"/>
      <c r="C196" s="86" t="s">
        <v>454</v>
      </c>
      <c r="D196" s="85"/>
      <c r="E196" s="116"/>
      <c r="F196" s="134"/>
      <c r="G196" s="137">
        <v>0.05</v>
      </c>
      <c r="H196" s="114">
        <f>E187</f>
        <v>590336000</v>
      </c>
      <c r="I196" s="85"/>
      <c r="J196" s="85"/>
      <c r="K196" s="114">
        <f>G196*H196/F187</f>
        <v>101782.06896551725</v>
      </c>
    </row>
    <row r="197" spans="1:11" ht="16.5" customHeight="1" x14ac:dyDescent="0.15">
      <c r="A197" s="121">
        <v>19</v>
      </c>
      <c r="B197" s="122" t="str">
        <f>'Giá tháng'!B50</f>
        <v>M106.0202</v>
      </c>
      <c r="C197" s="123" t="str">
        <f>'Giá tháng'!C50</f>
        <v>Ô tô tự đổ - trọng tải : 5,0 T</v>
      </c>
      <c r="D197" s="122" t="str">
        <f>'Giá tháng'!D50</f>
        <v>ca</v>
      </c>
      <c r="E197" s="124">
        <v>437559000</v>
      </c>
      <c r="F197" s="125">
        <v>260</v>
      </c>
      <c r="G197" s="123"/>
      <c r="H197" s="126"/>
      <c r="I197" s="122"/>
      <c r="J197" s="122"/>
      <c r="K197" s="127">
        <f>ROUND(K198+K200+K203,'Đầu vào'!D41)</f>
        <v>1492461</v>
      </c>
    </row>
    <row r="198" spans="1:11" ht="16.5" customHeight="1" x14ac:dyDescent="0.15">
      <c r="A198" s="128"/>
      <c r="B198" s="129"/>
      <c r="C198" s="130" t="s">
        <v>445</v>
      </c>
      <c r="D198" s="129"/>
      <c r="E198" s="131"/>
      <c r="F198" s="132"/>
      <c r="G198" s="130"/>
      <c r="H198" s="133"/>
      <c r="I198" s="129"/>
      <c r="J198" s="129"/>
      <c r="K198" s="133">
        <f>SUM(K199:K199)</f>
        <v>710480.47609999997</v>
      </c>
    </row>
    <row r="199" spans="1:11" ht="16.5" customHeight="1" x14ac:dyDescent="0.15">
      <c r="A199" s="100"/>
      <c r="B199" s="85"/>
      <c r="C199" s="86" t="str">
        <f>" - "&amp;'Đầu vào'!B23</f>
        <v xml:space="preserve"> - Diezel</v>
      </c>
      <c r="D199" s="85" t="str">
        <f>'Đầu vào'!C23</f>
        <v>Lít</v>
      </c>
      <c r="E199" s="116"/>
      <c r="F199" s="134"/>
      <c r="G199" s="135">
        <v>41</v>
      </c>
      <c r="H199" s="114">
        <f>'Đầu vào'!D23</f>
        <v>16824.07</v>
      </c>
      <c r="I199" s="136">
        <f>'Đầu vào'!D29</f>
        <v>1.03</v>
      </c>
      <c r="J199" s="85"/>
      <c r="K199" s="114">
        <f>G199*H199*I199</f>
        <v>710480.47609999997</v>
      </c>
    </row>
    <row r="200" spans="1:11" ht="16.5" customHeight="1" x14ac:dyDescent="0.15">
      <c r="A200" s="128"/>
      <c r="B200" s="129"/>
      <c r="C200" s="130" t="s">
        <v>446</v>
      </c>
      <c r="D200" s="129"/>
      <c r="E200" s="131"/>
      <c r="F200" s="132"/>
      <c r="G200" s="130"/>
      <c r="H200" s="133"/>
      <c r="I200" s="129"/>
      <c r="J200" s="129"/>
      <c r="K200" s="133">
        <f>G201*K201</f>
        <v>297300</v>
      </c>
    </row>
    <row r="201" spans="1:11" ht="16.5" customHeight="1" x14ac:dyDescent="0.15">
      <c r="A201" s="100"/>
      <c r="B201" s="85"/>
      <c r="C201" s="86" t="s">
        <v>463</v>
      </c>
      <c r="D201" s="85"/>
      <c r="E201" s="116"/>
      <c r="F201" s="134"/>
      <c r="G201" s="135">
        <v>1</v>
      </c>
      <c r="H201" s="114"/>
      <c r="I201" s="85"/>
      <c r="J201" s="85"/>
      <c r="K201" s="114">
        <f>ROUND(SUM(K202:K202),'Đầu vào'!E40)</f>
        <v>297300</v>
      </c>
    </row>
    <row r="202" spans="1:11" ht="16.5" customHeight="1" x14ac:dyDescent="0.15">
      <c r="A202" s="100"/>
      <c r="B202" s="85"/>
      <c r="C202" s="86" t="s">
        <v>448</v>
      </c>
      <c r="D202" s="85"/>
      <c r="E202" s="116"/>
      <c r="F202" s="134"/>
      <c r="G202" s="87">
        <v>1.18</v>
      </c>
      <c r="H202" s="114">
        <v>297300</v>
      </c>
      <c r="I202" s="136">
        <v>1.18</v>
      </c>
      <c r="J202" s="85"/>
      <c r="K202" s="114">
        <f>IF(G202&lt;&gt;0,G202*H202/I202,H202)</f>
        <v>297300</v>
      </c>
    </row>
    <row r="203" spans="1:11" ht="16.5" customHeight="1" x14ac:dyDescent="0.15">
      <c r="A203" s="128"/>
      <c r="B203" s="129"/>
      <c r="C203" s="130" t="s">
        <v>451</v>
      </c>
      <c r="D203" s="129"/>
      <c r="E203" s="131"/>
      <c r="F203" s="132"/>
      <c r="G203" s="130"/>
      <c r="H203" s="133"/>
      <c r="I203" s="129"/>
      <c r="J203" s="129"/>
      <c r="K203" s="133">
        <f>SUM(K204:K206)</f>
        <v>484680.73846153845</v>
      </c>
    </row>
    <row r="204" spans="1:11" ht="16.5" customHeight="1" x14ac:dyDescent="0.15">
      <c r="A204" s="100"/>
      <c r="B204" s="85"/>
      <c r="C204" s="86" t="s">
        <v>452</v>
      </c>
      <c r="D204" s="85"/>
      <c r="E204" s="116"/>
      <c r="F204" s="134"/>
      <c r="G204" s="137">
        <v>0.17</v>
      </c>
      <c r="H204" s="114">
        <f>E197</f>
        <v>437559000</v>
      </c>
      <c r="I204" s="138">
        <f>IF(E197&gt;='Đầu vào'!D35*10^6,1-'Đầu vào'!D36,1)</f>
        <v>0.9</v>
      </c>
      <c r="J204" s="85"/>
      <c r="K204" s="114">
        <f>G204*H204*I204/F197</f>
        <v>257486.64230769229</v>
      </c>
    </row>
    <row r="205" spans="1:11" ht="16.5" customHeight="1" x14ac:dyDescent="0.15">
      <c r="A205" s="100"/>
      <c r="B205" s="85"/>
      <c r="C205" s="86" t="s">
        <v>453</v>
      </c>
      <c r="D205" s="85"/>
      <c r="E205" s="116"/>
      <c r="F205" s="134"/>
      <c r="G205" s="137">
        <v>7.4999999999999997E-2</v>
      </c>
      <c r="H205" s="114">
        <f>E197</f>
        <v>437559000</v>
      </c>
      <c r="I205" s="85"/>
      <c r="J205" s="85"/>
      <c r="K205" s="114">
        <f>G205*H205/F197</f>
        <v>126218.94230769231</v>
      </c>
    </row>
    <row r="206" spans="1:11" ht="16.5" customHeight="1" x14ac:dyDescent="0.15">
      <c r="A206" s="100"/>
      <c r="B206" s="85"/>
      <c r="C206" s="86" t="s">
        <v>454</v>
      </c>
      <c r="D206" s="85"/>
      <c r="E206" s="116"/>
      <c r="F206" s="134"/>
      <c r="G206" s="137">
        <v>0.06</v>
      </c>
      <c r="H206" s="114">
        <f>E197</f>
        <v>437559000</v>
      </c>
      <c r="I206" s="85"/>
      <c r="J206" s="85"/>
      <c r="K206" s="114">
        <f>G206*H206/F197</f>
        <v>100975.15384615384</v>
      </c>
    </row>
    <row r="207" spans="1:11" ht="16.5" customHeight="1" x14ac:dyDescent="0.15">
      <c r="A207" s="121">
        <v>20</v>
      </c>
      <c r="B207" s="122" t="str">
        <f>'Giá tháng'!B52</f>
        <v>M109.0104</v>
      </c>
      <c r="C207" s="123" t="str">
        <f>'Giá tháng'!C52</f>
        <v>Sà lan 400T</v>
      </c>
      <c r="D207" s="122" t="str">
        <f>'Giá tháng'!D52</f>
        <v>ca</v>
      </c>
      <c r="E207" s="124">
        <v>1207730000</v>
      </c>
      <c r="F207" s="125">
        <v>290</v>
      </c>
      <c r="G207" s="123"/>
      <c r="H207" s="126"/>
      <c r="I207" s="122"/>
      <c r="J207" s="122"/>
      <c r="K207" s="127">
        <f>ROUND(K208,'Đầu vào'!D41)</f>
        <v>891221</v>
      </c>
    </row>
    <row r="208" spans="1:11" ht="16.5" customHeight="1" x14ac:dyDescent="0.15">
      <c r="A208" s="128"/>
      <c r="B208" s="129"/>
      <c r="C208" s="130" t="s">
        <v>451</v>
      </c>
      <c r="D208" s="129"/>
      <c r="E208" s="131"/>
      <c r="F208" s="132"/>
      <c r="G208" s="130"/>
      <c r="H208" s="133"/>
      <c r="I208" s="129"/>
      <c r="J208" s="129"/>
      <c r="K208" s="133">
        <f>SUM(K209:K211)</f>
        <v>891221.44827586203</v>
      </c>
    </row>
    <row r="209" spans="1:11" ht="16.5" customHeight="1" x14ac:dyDescent="0.15">
      <c r="A209" s="100"/>
      <c r="B209" s="85"/>
      <c r="C209" s="86" t="s">
        <v>452</v>
      </c>
      <c r="D209" s="85"/>
      <c r="E209" s="116"/>
      <c r="F209" s="134"/>
      <c r="G209" s="137">
        <v>0.11</v>
      </c>
      <c r="H209" s="114">
        <f>E207</f>
        <v>1207730000</v>
      </c>
      <c r="I209" s="138">
        <f>IF(E207&gt;='Đầu vào'!D35*10^6,1-'Đầu vào'!D36,1)</f>
        <v>0.9</v>
      </c>
      <c r="J209" s="85"/>
      <c r="K209" s="114">
        <f>G209*H209*I209/F207</f>
        <v>412294.03448275861</v>
      </c>
    </row>
    <row r="210" spans="1:11" ht="16.5" customHeight="1" x14ac:dyDescent="0.15">
      <c r="A210" s="100"/>
      <c r="B210" s="85"/>
      <c r="C210" s="86" t="s">
        <v>453</v>
      </c>
      <c r="D210" s="85"/>
      <c r="E210" s="116"/>
      <c r="F210" s="134"/>
      <c r="G210" s="137">
        <v>5.5E-2</v>
      </c>
      <c r="H210" s="114">
        <f>E207</f>
        <v>1207730000</v>
      </c>
      <c r="I210" s="85"/>
      <c r="J210" s="85"/>
      <c r="K210" s="114">
        <f>G210*H210/F207</f>
        <v>229052.24137931035</v>
      </c>
    </row>
    <row r="211" spans="1:11" ht="16.5" customHeight="1" x14ac:dyDescent="0.15">
      <c r="A211" s="102"/>
      <c r="B211" s="93"/>
      <c r="C211" s="94" t="s">
        <v>454</v>
      </c>
      <c r="D211" s="93"/>
      <c r="E211" s="120"/>
      <c r="F211" s="139"/>
      <c r="G211" s="140">
        <v>0.06</v>
      </c>
      <c r="H211" s="118">
        <f>E207</f>
        <v>1207730000</v>
      </c>
      <c r="I211" s="93"/>
      <c r="J211" s="93"/>
      <c r="K211" s="118">
        <f>G211*H211/F207</f>
        <v>249875.1724137931</v>
      </c>
    </row>
  </sheetData>
  <mergeCells count="4">
    <mergeCell ref="A1:K1"/>
    <mergeCell ref="A2:K2"/>
    <mergeCell ref="A3:K3"/>
    <mergeCell ref="A4:K4"/>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FDBB2-FAE9-CE48-8E92-DD5F19E72782}">
  <dimension ref="A1:S315"/>
  <sheetViews>
    <sheetView workbookViewId="0"/>
  </sheetViews>
  <sheetFormatPr baseColWidth="10" defaultColWidth="10" defaultRowHeight="15" customHeight="1" x14ac:dyDescent="0.15"/>
  <cols>
    <col min="1" max="1" width="6.5" style="73" customWidth="1"/>
    <col min="2" max="2" width="14.25" style="73" customWidth="1"/>
    <col min="3" max="3" width="37.75" style="73" customWidth="1"/>
    <col min="4" max="4" width="11.75" style="73" customWidth="1"/>
    <col min="5" max="5" width="15" style="73" customWidth="1"/>
    <col min="6" max="7" width="10.75" style="73" customWidth="1"/>
    <col min="8" max="8" width="15" style="73" customWidth="1"/>
    <col min="9" max="19" width="10" style="73" hidden="1" customWidth="1"/>
    <col min="20" max="16384" width="10" style="73"/>
  </cols>
  <sheetData>
    <row r="1" spans="1:19" ht="26.25" customHeight="1" x14ac:dyDescent="0.15">
      <c r="A1" s="313" t="s">
        <v>464</v>
      </c>
      <c r="B1" s="343"/>
      <c r="C1" s="343"/>
      <c r="D1" s="343"/>
      <c r="E1" s="343"/>
      <c r="F1" s="343"/>
      <c r="G1" s="343"/>
      <c r="H1" s="343"/>
    </row>
    <row r="2" spans="1:19" ht="32.25" customHeight="1" x14ac:dyDescent="0.15">
      <c r="A2" s="315" t="str">
        <f>'Công trình'!A2</f>
        <v>CÔNG TRÌNH : XÂY DỰNG HỆ THỐNG CỐNG HỘP KÊNH BẾN KEM ĐOẠN TỪ NHÀ ÔNG CHÍN ĐẾN KÊNH ĐẠI TRÀ 2, XÃ KIẾN MINH</v>
      </c>
      <c r="B2" s="343"/>
      <c r="C2" s="343"/>
      <c r="D2" s="343"/>
      <c r="E2" s="343"/>
      <c r="F2" s="343"/>
      <c r="G2" s="343"/>
      <c r="H2" s="343"/>
      <c r="M2" s="345" t="s">
        <v>465</v>
      </c>
      <c r="N2" s="343"/>
      <c r="O2" s="343"/>
      <c r="P2" s="343"/>
    </row>
    <row r="3" spans="1:19" ht="37.5" customHeight="1" x14ac:dyDescent="0.15">
      <c r="A3" s="316" t="str">
        <f>'Công trình'!F6</f>
        <v>HẠNG MỤC 1</v>
      </c>
      <c r="B3" s="343"/>
      <c r="C3" s="343"/>
      <c r="D3" s="343"/>
      <c r="E3" s="343"/>
      <c r="F3" s="343"/>
      <c r="G3" s="343"/>
      <c r="H3" s="343"/>
      <c r="M3" s="73" t="s">
        <v>466</v>
      </c>
      <c r="N3" s="73" t="s">
        <v>467</v>
      </c>
      <c r="O3" s="73" t="s">
        <v>468</v>
      </c>
      <c r="P3" s="73" t="s">
        <v>469</v>
      </c>
      <c r="Q3" s="73" t="s">
        <v>470</v>
      </c>
      <c r="R3" s="73" t="s">
        <v>471</v>
      </c>
      <c r="S3" s="73" t="s">
        <v>472</v>
      </c>
    </row>
    <row r="4" spans="1:19" ht="18.75" customHeight="1" x14ac:dyDescent="0.15">
      <c r="A4" s="335" t="s">
        <v>4</v>
      </c>
      <c r="B4" s="331" t="s">
        <v>473</v>
      </c>
      <c r="C4" s="331" t="s">
        <v>474</v>
      </c>
      <c r="D4" s="331" t="s">
        <v>226</v>
      </c>
      <c r="E4" s="331" t="s">
        <v>17</v>
      </c>
      <c r="F4" s="331" t="s">
        <v>475</v>
      </c>
      <c r="G4" s="331" t="s">
        <v>227</v>
      </c>
      <c r="H4" s="331" t="s">
        <v>476</v>
      </c>
      <c r="M4" s="73">
        <f>SUM(M6:M315)</f>
        <v>28201220.589325503</v>
      </c>
      <c r="N4" s="73">
        <f>SUM(N6:N315)</f>
        <v>12613584.624727394</v>
      </c>
      <c r="O4" s="73">
        <f>SUM(O6:O315)</f>
        <v>37554833.848471999</v>
      </c>
      <c r="P4" s="73">
        <f>SUM(P6:P315)</f>
        <v>11649441.556753077</v>
      </c>
    </row>
    <row r="5" spans="1:19" ht="26.25" customHeight="1" x14ac:dyDescent="0.15">
      <c r="A5" s="336"/>
      <c r="B5" s="332"/>
      <c r="C5" s="332"/>
      <c r="D5" s="332"/>
      <c r="E5" s="332"/>
      <c r="F5" s="332"/>
      <c r="G5" s="332"/>
      <c r="H5" s="332"/>
    </row>
    <row r="6" spans="1:19" ht="53.25" customHeight="1" x14ac:dyDescent="0.15">
      <c r="A6" s="141">
        <f>'Công trình'!A10</f>
        <v>2</v>
      </c>
      <c r="B6" s="122" t="str">
        <f>'Công trình'!E10</f>
        <v>AC.22111</v>
      </c>
      <c r="C6" s="123" t="str">
        <f>'Công trình'!F10</f>
        <v>Đóng cọc ván thép (cừ Larsen) trên cạn bằng máy đóng cọc 1,8T, chiều dài cọc &lt;=12 m, đất cấp I</v>
      </c>
      <c r="D6" s="122" t="str">
        <f>'Công trình'!G10</f>
        <v>100m</v>
      </c>
      <c r="E6" s="142">
        <f>'Công trình'!P10</f>
        <v>48.04</v>
      </c>
      <c r="F6" s="143"/>
      <c r="G6" s="144"/>
      <c r="H6" s="142"/>
    </row>
    <row r="7" spans="1:19" ht="16.5" customHeight="1" x14ac:dyDescent="0.15">
      <c r="A7" s="84"/>
      <c r="B7" s="85"/>
      <c r="C7" s="145" t="s">
        <v>477</v>
      </c>
      <c r="D7" s="146"/>
      <c r="E7" s="147"/>
      <c r="F7" s="148"/>
      <c r="G7" s="149"/>
      <c r="H7" s="147"/>
    </row>
    <row r="8" spans="1:19" ht="16.5" customHeight="1" x14ac:dyDescent="0.15">
      <c r="A8" s="84"/>
      <c r="B8" s="85" t="str">
        <f>'Giá tháng'!B10</f>
        <v>A24.0230</v>
      </c>
      <c r="C8" s="86" t="str">
        <f>'Giá tháng'!C10</f>
        <v>Cọc ván thép &lt;=12m</v>
      </c>
      <c r="D8" s="85" t="str">
        <f>'Giá tháng'!D10</f>
        <v>m</v>
      </c>
      <c r="E8" s="150"/>
      <c r="F8" s="135">
        <v>100</v>
      </c>
      <c r="G8" s="136">
        <f>'Giá tháng'!G10</f>
        <v>1</v>
      </c>
      <c r="H8" s="150">
        <f>E6*F8*G8</f>
        <v>4804</v>
      </c>
      <c r="Q8" s="73">
        <f>'Cước VC'!AV10</f>
        <v>0</v>
      </c>
      <c r="R8" s="73">
        <f>'Cước bộ'!W10</f>
        <v>0</v>
      </c>
      <c r="S8" s="73">
        <v>108</v>
      </c>
    </row>
    <row r="9" spans="1:19" ht="16.5" customHeight="1" x14ac:dyDescent="0.15">
      <c r="A9" s="84"/>
      <c r="B9" s="85" t="s">
        <v>478</v>
      </c>
      <c r="C9" s="86" t="s">
        <v>479</v>
      </c>
      <c r="D9" s="85" t="s">
        <v>480</v>
      </c>
      <c r="E9" s="150"/>
      <c r="F9" s="135">
        <v>0.5</v>
      </c>
      <c r="G9" s="136"/>
      <c r="H9" s="150"/>
      <c r="M9" s="73">
        <f>E6*F9*(F8*'Giá tháng'!E10*'Giá tháng'!G10)/100</f>
        <v>0</v>
      </c>
      <c r="O9" s="73">
        <f>E6*F9*(F8*('Giá tháng'!F10+Q8+R8)*'Giá tháng'!G10)/100</f>
        <v>0</v>
      </c>
    </row>
    <row r="10" spans="1:19" ht="16.5" customHeight="1" x14ac:dyDescent="0.15">
      <c r="A10" s="84"/>
      <c r="B10" s="85"/>
      <c r="C10" s="145" t="s">
        <v>481</v>
      </c>
      <c r="D10" s="146"/>
      <c r="E10" s="147"/>
      <c r="F10" s="148"/>
      <c r="G10" s="149"/>
      <c r="H10" s="147"/>
    </row>
    <row r="11" spans="1:19" ht="16.5" customHeight="1" x14ac:dyDescent="0.15">
      <c r="A11" s="84"/>
      <c r="B11" s="85" t="str">
        <f>'Giá tháng'!B29</f>
        <v>N2.35</v>
      </c>
      <c r="C11" s="86" t="str">
        <f>'Giá tháng'!C29</f>
        <v>Nhân công 3,5/7 - Nhóm 2</v>
      </c>
      <c r="D11" s="85" t="str">
        <f>'Giá tháng'!D29</f>
        <v>công</v>
      </c>
      <c r="E11" s="150"/>
      <c r="F11" s="135">
        <v>6.68</v>
      </c>
      <c r="G11" s="136">
        <f>'Giá tháng'!G29</f>
        <v>1</v>
      </c>
      <c r="H11" s="150">
        <f>E6*F11*G11</f>
        <v>320.90719999999999</v>
      </c>
      <c r="S11" s="73">
        <v>203</v>
      </c>
    </row>
    <row r="12" spans="1:19" ht="16.5" customHeight="1" x14ac:dyDescent="0.15">
      <c r="A12" s="84"/>
      <c r="B12" s="85"/>
      <c r="C12" s="145" t="s">
        <v>482</v>
      </c>
      <c r="D12" s="146"/>
      <c r="E12" s="147"/>
      <c r="F12" s="148"/>
      <c r="G12" s="149"/>
      <c r="H12" s="147"/>
    </row>
    <row r="13" spans="1:19" ht="28.5" customHeight="1" x14ac:dyDescent="0.15">
      <c r="A13" s="84"/>
      <c r="B13" s="85" t="str">
        <f>'Giá tháng'!B44</f>
        <v>M103.0202</v>
      </c>
      <c r="C13" s="86" t="str">
        <f>'Giá tháng'!C44</f>
        <v>Máy đóng cọc chạy trên ray - trọng lượng đầu búa : 1,8 T</v>
      </c>
      <c r="D13" s="85" t="str">
        <f>'Giá tháng'!D44</f>
        <v>ca</v>
      </c>
      <c r="E13" s="150"/>
      <c r="F13" s="135">
        <v>2.226</v>
      </c>
      <c r="G13" s="136">
        <f>'Giá tháng'!G44</f>
        <v>1</v>
      </c>
      <c r="H13" s="150">
        <f>E6*F13*G13</f>
        <v>106.93704</v>
      </c>
      <c r="S13" s="73">
        <v>3014</v>
      </c>
    </row>
    <row r="14" spans="1:19" ht="16.5" customHeight="1" x14ac:dyDescent="0.15">
      <c r="A14" s="84"/>
      <c r="B14" s="85" t="s">
        <v>483</v>
      </c>
      <c r="C14" s="86" t="s">
        <v>484</v>
      </c>
      <c r="D14" s="85" t="s">
        <v>480</v>
      </c>
      <c r="E14" s="150"/>
      <c r="F14" s="135">
        <v>3</v>
      </c>
      <c r="G14" s="136"/>
      <c r="H14" s="150"/>
      <c r="N14" s="73">
        <f>E6*F14*(F13*'Giá tháng'!E44*'Giá tháng'!G44)/100</f>
        <v>5739949.3509288002</v>
      </c>
      <c r="P14" s="73">
        <f>E6*F14*(F13*'Giá tháng'!F44*'Giá tháng'!G44)/100</f>
        <v>5240622.8832048001</v>
      </c>
    </row>
    <row r="15" spans="1:19" ht="53.25" customHeight="1" x14ac:dyDescent="0.15">
      <c r="A15" s="141">
        <f>'Công trình'!A39</f>
        <v>6</v>
      </c>
      <c r="B15" s="122" t="str">
        <f>'Công trình'!E39</f>
        <v>AC.22111</v>
      </c>
      <c r="C15" s="123" t="str">
        <f>'Công trình'!F39</f>
        <v>Nhổ cọc ván thép (cừ Larsen) trên cạn bằng máy đóng cọc 1,8T, chiều dài cọc &lt;=12 m, đất cấp I</v>
      </c>
      <c r="D15" s="122" t="str">
        <f>'Công trình'!G39</f>
        <v>100m</v>
      </c>
      <c r="E15" s="142">
        <f>'Công trình'!P39</f>
        <v>48.04</v>
      </c>
      <c r="F15" s="143"/>
      <c r="G15" s="144"/>
      <c r="H15" s="142"/>
    </row>
    <row r="16" spans="1:19" ht="16.5" customHeight="1" x14ac:dyDescent="0.15">
      <c r="A16" s="84"/>
      <c r="B16" s="85"/>
      <c r="C16" s="145" t="s">
        <v>477</v>
      </c>
      <c r="D16" s="146"/>
      <c r="E16" s="147"/>
      <c r="F16" s="148"/>
      <c r="G16" s="149"/>
      <c r="H16" s="147"/>
    </row>
    <row r="17" spans="1:19" ht="16.5" customHeight="1" x14ac:dyDescent="0.15">
      <c r="A17" s="84"/>
      <c r="B17" s="85" t="str">
        <f>'Giá tháng'!B10</f>
        <v>A24.0230</v>
      </c>
      <c r="C17" s="86" t="str">
        <f>'Giá tháng'!C10</f>
        <v>Cọc ván thép &lt;=12m</v>
      </c>
      <c r="D17" s="85" t="str">
        <f>'Giá tháng'!D10</f>
        <v>m</v>
      </c>
      <c r="E17" s="150"/>
      <c r="F17" s="135">
        <v>100</v>
      </c>
      <c r="G17" s="136">
        <f>'Giá tháng'!G10</f>
        <v>1</v>
      </c>
      <c r="H17" s="150">
        <f>E15*F17*G17</f>
        <v>4804</v>
      </c>
      <c r="Q17" s="73">
        <f>'Cước VC'!AV10</f>
        <v>0</v>
      </c>
      <c r="R17" s="73">
        <f>'Cước bộ'!W10</f>
        <v>0</v>
      </c>
      <c r="S17" s="73">
        <v>108</v>
      </c>
    </row>
    <row r="18" spans="1:19" ht="16.5" customHeight="1" x14ac:dyDescent="0.15">
      <c r="A18" s="84"/>
      <c r="B18" s="85" t="s">
        <v>478</v>
      </c>
      <c r="C18" s="86" t="s">
        <v>479</v>
      </c>
      <c r="D18" s="85" t="s">
        <v>480</v>
      </c>
      <c r="E18" s="150"/>
      <c r="F18" s="135">
        <v>0.5</v>
      </c>
      <c r="G18" s="136"/>
      <c r="H18" s="150"/>
      <c r="M18" s="73">
        <f>E15*F18*(F17*'Giá tháng'!E10*'Giá tháng'!G10)/100</f>
        <v>0</v>
      </c>
      <c r="O18" s="73">
        <f>E15*F18*(F17*('Giá tháng'!F10+Q17+R17)*'Giá tháng'!G10)/100</f>
        <v>0</v>
      </c>
    </row>
    <row r="19" spans="1:19" ht="16.5" customHeight="1" x14ac:dyDescent="0.15">
      <c r="A19" s="84"/>
      <c r="B19" s="85"/>
      <c r="C19" s="145" t="s">
        <v>481</v>
      </c>
      <c r="D19" s="146"/>
      <c r="E19" s="147"/>
      <c r="F19" s="148"/>
      <c r="G19" s="149"/>
      <c r="H19" s="147"/>
    </row>
    <row r="20" spans="1:19" ht="16.5" customHeight="1" x14ac:dyDescent="0.15">
      <c r="A20" s="84"/>
      <c r="B20" s="85" t="str">
        <f>'Giá tháng'!B29</f>
        <v>N2.35</v>
      </c>
      <c r="C20" s="86" t="str">
        <f>'Giá tháng'!C29</f>
        <v>Nhân công 3,5/7 - Nhóm 2</v>
      </c>
      <c r="D20" s="85" t="str">
        <f>'Giá tháng'!D29</f>
        <v>công</v>
      </c>
      <c r="E20" s="150"/>
      <c r="F20" s="135">
        <v>6.68</v>
      </c>
      <c r="G20" s="136">
        <f>'Giá tháng'!G29</f>
        <v>1</v>
      </c>
      <c r="H20" s="150">
        <f>E15*F20*G20</f>
        <v>320.90719999999999</v>
      </c>
      <c r="S20" s="73">
        <v>203</v>
      </c>
    </row>
    <row r="21" spans="1:19" ht="16.5" customHeight="1" x14ac:dyDescent="0.15">
      <c r="A21" s="84"/>
      <c r="B21" s="85"/>
      <c r="C21" s="145" t="s">
        <v>482</v>
      </c>
      <c r="D21" s="146"/>
      <c r="E21" s="147"/>
      <c r="F21" s="148"/>
      <c r="G21" s="149"/>
      <c r="H21" s="147"/>
    </row>
    <row r="22" spans="1:19" ht="28.5" customHeight="1" x14ac:dyDescent="0.15">
      <c r="A22" s="84"/>
      <c r="B22" s="85" t="str">
        <f>'Giá tháng'!B44</f>
        <v>M103.0202</v>
      </c>
      <c r="C22" s="86" t="str">
        <f>'Giá tháng'!C44</f>
        <v>Máy đóng cọc chạy trên ray - trọng lượng đầu búa : 1,8 T</v>
      </c>
      <c r="D22" s="85" t="str">
        <f>'Giá tháng'!D44</f>
        <v>ca</v>
      </c>
      <c r="E22" s="150"/>
      <c r="F22" s="135">
        <v>2.226</v>
      </c>
      <c r="G22" s="136">
        <f>'Giá tháng'!G44</f>
        <v>1</v>
      </c>
      <c r="H22" s="150">
        <f>E15*F22*G22</f>
        <v>106.93704</v>
      </c>
      <c r="S22" s="73">
        <v>3014</v>
      </c>
    </row>
    <row r="23" spans="1:19" ht="16.5" customHeight="1" x14ac:dyDescent="0.15">
      <c r="A23" s="84"/>
      <c r="B23" s="85" t="s">
        <v>483</v>
      </c>
      <c r="C23" s="86" t="s">
        <v>484</v>
      </c>
      <c r="D23" s="85" t="s">
        <v>480</v>
      </c>
      <c r="E23" s="150"/>
      <c r="F23" s="135">
        <v>3</v>
      </c>
      <c r="G23" s="136"/>
      <c r="H23" s="150"/>
      <c r="N23" s="73">
        <f>E15*F23*(F22*'Giá tháng'!E44*'Giá tháng'!G44)/100</f>
        <v>5739949.3509288002</v>
      </c>
      <c r="P23" s="73">
        <f>E15*F23*(F22*'Giá tháng'!F44*'Giá tháng'!G44)/100</f>
        <v>5240622.8832048001</v>
      </c>
    </row>
    <row r="24" spans="1:19" ht="28.5" customHeight="1" x14ac:dyDescent="0.15">
      <c r="A24" s="141">
        <f>'Công trình'!A41</f>
        <v>7</v>
      </c>
      <c r="B24" s="122" t="str">
        <f>'Công trình'!E41</f>
        <v>AL.16121</v>
      </c>
      <c r="C24" s="123" t="str">
        <f>'Công trình'!F41</f>
        <v>Rải vải địa kỹ thuật làm nền đường, mái đê, đập</v>
      </c>
      <c r="D24" s="122" t="str">
        <f>'Công trình'!G41</f>
        <v>100m2</v>
      </c>
      <c r="E24" s="142">
        <f>'Công trình'!P41</f>
        <v>1.44</v>
      </c>
      <c r="F24" s="143"/>
      <c r="G24" s="144"/>
      <c r="H24" s="142"/>
    </row>
    <row r="25" spans="1:19" ht="16.5" customHeight="1" x14ac:dyDescent="0.15">
      <c r="A25" s="84"/>
      <c r="B25" s="85"/>
      <c r="C25" s="145" t="s">
        <v>477</v>
      </c>
      <c r="D25" s="146"/>
      <c r="E25" s="147"/>
      <c r="F25" s="148"/>
      <c r="G25" s="149"/>
      <c r="H25" s="147"/>
    </row>
    <row r="26" spans="1:19" ht="16.5" customHeight="1" x14ac:dyDescent="0.15">
      <c r="A26" s="84"/>
      <c r="B26" s="85" t="str">
        <f>'Giá tháng'!B24</f>
        <v>A24.0782</v>
      </c>
      <c r="C26" s="86" t="str">
        <f>'Giá tháng'!C24</f>
        <v>Vải địa kỹ thuật</v>
      </c>
      <c r="D26" s="85" t="str">
        <f>'Giá tháng'!D24</f>
        <v>m2</v>
      </c>
      <c r="E26" s="150"/>
      <c r="F26" s="135">
        <v>105</v>
      </c>
      <c r="G26" s="136">
        <f>'Giá tháng'!G24</f>
        <v>1</v>
      </c>
      <c r="H26" s="150">
        <f>E24*F26*G26</f>
        <v>151.19999999999999</v>
      </c>
      <c r="Q26" s="73">
        <f>'Cước VC'!AV24</f>
        <v>0</v>
      </c>
      <c r="R26" s="73">
        <f>'Cước bộ'!W24</f>
        <v>0</v>
      </c>
      <c r="S26" s="73">
        <v>1022</v>
      </c>
    </row>
    <row r="27" spans="1:19" ht="16.5" customHeight="1" x14ac:dyDescent="0.15">
      <c r="A27" s="84"/>
      <c r="B27" s="85" t="s">
        <v>478</v>
      </c>
      <c r="C27" s="86" t="s">
        <v>479</v>
      </c>
      <c r="D27" s="85" t="s">
        <v>480</v>
      </c>
      <c r="E27" s="150"/>
      <c r="F27" s="135">
        <v>0.2</v>
      </c>
      <c r="G27" s="136"/>
      <c r="H27" s="150"/>
      <c r="M27" s="73">
        <f>E24*F27*(F26*'Giá tháng'!E24*'Giá tháng'!G24)/100</f>
        <v>3356.64</v>
      </c>
      <c r="O27" s="73">
        <f>E24*F27*(F26*('Giá tháng'!F24+Q26+R26)*'Giá tháng'!G24)/100</f>
        <v>3144.96</v>
      </c>
    </row>
    <row r="28" spans="1:19" ht="16.5" customHeight="1" x14ac:dyDescent="0.15">
      <c r="A28" s="84"/>
      <c r="B28" s="85"/>
      <c r="C28" s="145" t="s">
        <v>481</v>
      </c>
      <c r="D28" s="146"/>
      <c r="E28" s="147"/>
      <c r="F28" s="148"/>
      <c r="G28" s="149"/>
      <c r="H28" s="147"/>
    </row>
    <row r="29" spans="1:19" ht="16.5" customHeight="1" x14ac:dyDescent="0.15">
      <c r="A29" s="84"/>
      <c r="B29" s="85" t="str">
        <f>'Giá tháng'!B29</f>
        <v>N2.35</v>
      </c>
      <c r="C29" s="86" t="str">
        <f>'Giá tháng'!C29</f>
        <v>Nhân công 3,5/7 - Nhóm 2</v>
      </c>
      <c r="D29" s="85" t="str">
        <f>'Giá tháng'!D29</f>
        <v>công</v>
      </c>
      <c r="E29" s="150"/>
      <c r="F29" s="135">
        <v>1.18</v>
      </c>
      <c r="G29" s="136">
        <f>'Giá tháng'!G29</f>
        <v>1</v>
      </c>
      <c r="H29" s="150">
        <f>E24*F29*G29</f>
        <v>1.6991999999999998</v>
      </c>
      <c r="S29" s="73">
        <v>203</v>
      </c>
    </row>
    <row r="30" spans="1:19" ht="40.5" customHeight="1" x14ac:dyDescent="0.15">
      <c r="A30" s="141">
        <f>'Công trình'!A44</f>
        <v>8</v>
      </c>
      <c r="B30" s="122" t="str">
        <f>'Công trình'!E44</f>
        <v>AA.12111</v>
      </c>
      <c r="C30" s="123" t="str">
        <f>'Công trình'!F44</f>
        <v>Chặt cây ở địa hình bằng phẳng bằng máy cưa, đường kính gốc cây &lt;= 20cm</v>
      </c>
      <c r="D30" s="122" t="str">
        <f>'Công trình'!G44</f>
        <v>cây</v>
      </c>
      <c r="E30" s="142">
        <f>'Công trình'!P44</f>
        <v>20</v>
      </c>
      <c r="F30" s="143"/>
      <c r="G30" s="144"/>
      <c r="H30" s="142"/>
    </row>
    <row r="31" spans="1:19" ht="16.5" customHeight="1" x14ac:dyDescent="0.15">
      <c r="A31" s="84"/>
      <c r="B31" s="85"/>
      <c r="C31" s="145" t="s">
        <v>481</v>
      </c>
      <c r="D31" s="146"/>
      <c r="E31" s="147"/>
      <c r="F31" s="148"/>
      <c r="G31" s="149"/>
      <c r="H31" s="147"/>
    </row>
    <row r="32" spans="1:19" ht="16.5" customHeight="1" x14ac:dyDescent="0.15">
      <c r="A32" s="84"/>
      <c r="B32" s="85" t="str">
        <f>'Giá tháng'!B27</f>
        <v>N1.30</v>
      </c>
      <c r="C32" s="86" t="str">
        <f>'Giá tháng'!C27</f>
        <v>Nhân công 3,0/7 - Nhóm 1</v>
      </c>
      <c r="D32" s="85" t="str">
        <f>'Giá tháng'!D27</f>
        <v>công</v>
      </c>
      <c r="E32" s="150"/>
      <c r="F32" s="135">
        <v>7.0000000000000007E-2</v>
      </c>
      <c r="G32" s="136">
        <f>'Giá tháng'!G27</f>
        <v>1</v>
      </c>
      <c r="H32" s="150">
        <f>E30*F32*G32</f>
        <v>1.4000000000000001</v>
      </c>
      <c r="S32" s="73">
        <v>201</v>
      </c>
    </row>
    <row r="33" spans="1:19" ht="16.5" customHeight="1" x14ac:dyDescent="0.15">
      <c r="A33" s="84"/>
      <c r="B33" s="85"/>
      <c r="C33" s="145" t="s">
        <v>482</v>
      </c>
      <c r="D33" s="146"/>
      <c r="E33" s="147"/>
      <c r="F33" s="148"/>
      <c r="G33" s="149"/>
      <c r="H33" s="147"/>
    </row>
    <row r="34" spans="1:19" ht="28.5" customHeight="1" x14ac:dyDescent="0.15">
      <c r="A34" s="84"/>
      <c r="B34" s="85" t="str">
        <f>'Giá tháng'!B39</f>
        <v>M112.3801</v>
      </c>
      <c r="C34" s="86" t="str">
        <f>'Giá tháng'!C39</f>
        <v>Máy cưa gỗ cầm tay - công suất : 1,3 kW</v>
      </c>
      <c r="D34" s="85" t="str">
        <f>'Giá tháng'!D39</f>
        <v>ca</v>
      </c>
      <c r="E34" s="150"/>
      <c r="F34" s="135">
        <v>6.5000000000000002E-2</v>
      </c>
      <c r="G34" s="136">
        <f>'Giá tháng'!G39</f>
        <v>1</v>
      </c>
      <c r="H34" s="150">
        <f>E30*F34*G34</f>
        <v>1.3</v>
      </c>
      <c r="S34" s="73">
        <v>309</v>
      </c>
    </row>
    <row r="35" spans="1:19" ht="40.5" customHeight="1" x14ac:dyDescent="0.15">
      <c r="A35" s="141">
        <f>'Công trình'!A47</f>
        <v>9</v>
      </c>
      <c r="B35" s="122" t="str">
        <f>'Công trình'!E47</f>
        <v>AB.36120</v>
      </c>
      <c r="C35" s="123" t="str">
        <f>'Công trình'!F47</f>
        <v>Xói hút bùn trong khung vây phòng nước, các trụ dưới nước</v>
      </c>
      <c r="D35" s="122" t="str">
        <f>'Công trình'!G47</f>
        <v>m3</v>
      </c>
      <c r="E35" s="142">
        <f>'Công trình'!P47</f>
        <v>1152.9000000000001</v>
      </c>
      <c r="F35" s="143"/>
      <c r="G35" s="144"/>
      <c r="H35" s="142"/>
    </row>
    <row r="36" spans="1:19" ht="16.5" customHeight="1" x14ac:dyDescent="0.15">
      <c r="A36" s="84"/>
      <c r="B36" s="85"/>
      <c r="C36" s="145" t="s">
        <v>477</v>
      </c>
      <c r="D36" s="146"/>
      <c r="E36" s="147"/>
      <c r="F36" s="148"/>
      <c r="G36" s="149"/>
      <c r="H36" s="147"/>
    </row>
    <row r="37" spans="1:19" ht="16.5" customHeight="1" x14ac:dyDescent="0.15">
      <c r="A37" s="84"/>
      <c r="B37" s="85" t="str">
        <f>'Giá tháng'!B18</f>
        <v>A24.0350</v>
      </c>
      <c r="C37" s="86" t="str">
        <f>'Giá tháng'!C18</f>
        <v>ống xói F50mm</v>
      </c>
      <c r="D37" s="85" t="str">
        <f>'Giá tháng'!D18</f>
        <v>m</v>
      </c>
      <c r="E37" s="150"/>
      <c r="F37" s="135">
        <v>5.0000000000000001E-3</v>
      </c>
      <c r="G37" s="136">
        <f>'Giá tháng'!G18</f>
        <v>1</v>
      </c>
      <c r="H37" s="150">
        <f>E35*F37*G37</f>
        <v>5.7645000000000008</v>
      </c>
      <c r="Q37" s="73">
        <f>'Cước VC'!AV18</f>
        <v>0</v>
      </c>
      <c r="R37" s="73">
        <f>'Cước bộ'!W18</f>
        <v>0</v>
      </c>
      <c r="S37" s="73">
        <v>1016</v>
      </c>
    </row>
    <row r="38" spans="1:19" ht="16.5" customHeight="1" x14ac:dyDescent="0.15">
      <c r="A38" s="84"/>
      <c r="B38" s="85" t="str">
        <f>'Giá tháng'!B16</f>
        <v>A24.0348</v>
      </c>
      <c r="C38" s="86" t="str">
        <f>'Giá tháng'!C16</f>
        <v>ống xói F150mm</v>
      </c>
      <c r="D38" s="85" t="str">
        <f>'Giá tháng'!D16</f>
        <v>m</v>
      </c>
      <c r="E38" s="150"/>
      <c r="F38" s="135">
        <v>5.0000000000000001E-3</v>
      </c>
      <c r="G38" s="136">
        <f>'Giá tháng'!G16</f>
        <v>1</v>
      </c>
      <c r="H38" s="150">
        <f>E35*F38*G38</f>
        <v>5.7645000000000008</v>
      </c>
      <c r="Q38" s="73">
        <f>'Cước VC'!AV16</f>
        <v>0</v>
      </c>
      <c r="R38" s="73">
        <f>'Cước bộ'!W16</f>
        <v>0</v>
      </c>
      <c r="S38" s="73">
        <v>1014</v>
      </c>
    </row>
    <row r="39" spans="1:19" ht="16.5" customHeight="1" x14ac:dyDescent="0.15">
      <c r="A39" s="84"/>
      <c r="B39" s="85" t="str">
        <f>'Giá tháng'!B17</f>
        <v>A24.0349</v>
      </c>
      <c r="C39" s="86" t="str">
        <f>'Giá tháng'!C17</f>
        <v>ống xói F250mm</v>
      </c>
      <c r="D39" s="85" t="str">
        <f>'Giá tháng'!D17</f>
        <v>m</v>
      </c>
      <c r="E39" s="150"/>
      <c r="F39" s="135">
        <v>5.0000000000000001E-3</v>
      </c>
      <c r="G39" s="136">
        <f>'Giá tháng'!G17</f>
        <v>1</v>
      </c>
      <c r="H39" s="150">
        <f>E35*F39*G39</f>
        <v>5.7645000000000008</v>
      </c>
      <c r="Q39" s="73">
        <f>'Cước VC'!AV17</f>
        <v>0</v>
      </c>
      <c r="R39" s="73">
        <f>'Cước bộ'!W17</f>
        <v>0</v>
      </c>
      <c r="S39" s="73">
        <v>1015</v>
      </c>
    </row>
    <row r="40" spans="1:19" ht="16.5" customHeight="1" x14ac:dyDescent="0.15">
      <c r="A40" s="84"/>
      <c r="B40" s="85" t="s">
        <v>478</v>
      </c>
      <c r="C40" s="86" t="s">
        <v>479</v>
      </c>
      <c r="D40" s="85" t="s">
        <v>480</v>
      </c>
      <c r="E40" s="150"/>
      <c r="F40" s="135">
        <v>5</v>
      </c>
      <c r="G40" s="136"/>
      <c r="H40" s="150"/>
      <c r="M40" s="73">
        <f>E35*F40*(F37*'Giá tháng'!E18*'Giá tháng'!G18+F38*'Giá tháng'!E16*'Giá tháng'!G16+F39*'Giá tháng'!E17*'Giá tháng'!G17)/100</f>
        <v>139789.125</v>
      </c>
      <c r="O40" s="73">
        <f>E35*F40*(F37*('Giá tháng'!F18+Q37+R37)*'Giá tháng'!G18+F38*('Giá tháng'!F16+Q38+R38)*'Giá tháng'!G16+F39*('Giá tháng'!F17+Q39+R39)*'Giá tháng'!G17)/100</f>
        <v>275254.875</v>
      </c>
    </row>
    <row r="41" spans="1:19" ht="16.5" customHeight="1" x14ac:dyDescent="0.15">
      <c r="A41" s="84"/>
      <c r="B41" s="85"/>
      <c r="C41" s="145" t="s">
        <v>481</v>
      </c>
      <c r="D41" s="146"/>
      <c r="E41" s="147"/>
      <c r="F41" s="148"/>
      <c r="G41" s="149"/>
      <c r="H41" s="147"/>
    </row>
    <row r="42" spans="1:19" ht="16.5" customHeight="1" x14ac:dyDescent="0.15">
      <c r="A42" s="84"/>
      <c r="B42" s="85" t="str">
        <f>'Giá tháng'!B27</f>
        <v>N1.30</v>
      </c>
      <c r="C42" s="86" t="str">
        <f>'Giá tháng'!C27</f>
        <v>Nhân công 3,0/7 - Nhóm 1</v>
      </c>
      <c r="D42" s="85" t="str">
        <f>'Giá tháng'!D27</f>
        <v>công</v>
      </c>
      <c r="E42" s="150"/>
      <c r="F42" s="135">
        <v>0.34</v>
      </c>
      <c r="G42" s="136">
        <f>'Giá tháng'!G27</f>
        <v>1</v>
      </c>
      <c r="H42" s="150">
        <f>E35*F42*G42</f>
        <v>391.98600000000005</v>
      </c>
      <c r="S42" s="73">
        <v>201</v>
      </c>
    </row>
    <row r="43" spans="1:19" ht="16.5" customHeight="1" x14ac:dyDescent="0.15">
      <c r="A43" s="84"/>
      <c r="B43" s="85"/>
      <c r="C43" s="145" t="s">
        <v>482</v>
      </c>
      <c r="D43" s="146"/>
      <c r="E43" s="147"/>
      <c r="F43" s="148"/>
      <c r="G43" s="149"/>
      <c r="H43" s="147"/>
    </row>
    <row r="44" spans="1:19" ht="28.5" customHeight="1" x14ac:dyDescent="0.15">
      <c r="A44" s="84"/>
      <c r="B44" s="85" t="str">
        <f>'Giá tháng'!B46</f>
        <v>M108.0308</v>
      </c>
      <c r="C44" s="86" t="str">
        <f>'Giá tháng'!C46</f>
        <v>Máy nén khí, động cơ diezel - năng suất : 1200,00 m3/h</v>
      </c>
      <c r="D44" s="85" t="str">
        <f>'Giá tháng'!D46</f>
        <v>ca</v>
      </c>
      <c r="E44" s="150"/>
      <c r="F44" s="135">
        <v>5.7000000000000002E-2</v>
      </c>
      <c r="G44" s="136">
        <f>'Giá tháng'!G46</f>
        <v>1</v>
      </c>
      <c r="H44" s="150">
        <f>E35*F44*G44</f>
        <v>65.715300000000013</v>
      </c>
      <c r="S44" s="73">
        <v>3016</v>
      </c>
    </row>
    <row r="45" spans="1:19" ht="16.5" customHeight="1" x14ac:dyDescent="0.15">
      <c r="A45" s="84"/>
      <c r="B45" s="85" t="str">
        <f>'Giá tháng'!B37</f>
        <v>M112.0402</v>
      </c>
      <c r="C45" s="86" t="str">
        <f>'Giá tháng'!C37</f>
        <v>Máy bơm xói 4MC (75 kW)</v>
      </c>
      <c r="D45" s="85" t="str">
        <f>'Giá tháng'!D37</f>
        <v>ca</v>
      </c>
      <c r="E45" s="150"/>
      <c r="F45" s="135">
        <v>5.7000000000000002E-2</v>
      </c>
      <c r="G45" s="136">
        <f>'Giá tháng'!G37</f>
        <v>1</v>
      </c>
      <c r="H45" s="150">
        <f>E35*F45*G45</f>
        <v>65.715300000000013</v>
      </c>
      <c r="S45" s="73">
        <v>307</v>
      </c>
    </row>
    <row r="46" spans="1:19" ht="16.5" customHeight="1" x14ac:dyDescent="0.15">
      <c r="A46" s="84"/>
      <c r="B46" s="85" t="str">
        <f>'Giá tháng'!B52</f>
        <v>M109.0104</v>
      </c>
      <c r="C46" s="86" t="str">
        <f>'Giá tháng'!C52</f>
        <v>Sà lan 400T</v>
      </c>
      <c r="D46" s="85" t="str">
        <f>'Giá tháng'!D52</f>
        <v>ca</v>
      </c>
      <c r="E46" s="150"/>
      <c r="F46" s="135">
        <v>5.7000000000000002E-2</v>
      </c>
      <c r="G46" s="136">
        <f>'Giá tháng'!G52</f>
        <v>1</v>
      </c>
      <c r="H46" s="150">
        <f>E35*F46*G46</f>
        <v>65.715300000000013</v>
      </c>
      <c r="S46" s="73">
        <v>3021</v>
      </c>
    </row>
    <row r="47" spans="1:19" ht="16.5" customHeight="1" x14ac:dyDescent="0.15">
      <c r="A47" s="84"/>
      <c r="B47" s="85" t="str">
        <f>'Giá tháng'!B32</f>
        <v>M109.0507</v>
      </c>
      <c r="C47" s="86" t="str">
        <f>'Giá tháng'!C32</f>
        <v>Ca nô 150 CV</v>
      </c>
      <c r="D47" s="85" t="str">
        <f>'Giá tháng'!D32</f>
        <v>ca</v>
      </c>
      <c r="E47" s="150"/>
      <c r="F47" s="135">
        <v>1E-3</v>
      </c>
      <c r="G47" s="136">
        <f>'Giá tháng'!G32</f>
        <v>1</v>
      </c>
      <c r="H47" s="150">
        <f>E35*F47*G47</f>
        <v>1.1529</v>
      </c>
      <c r="S47" s="73">
        <v>302</v>
      </c>
    </row>
    <row r="48" spans="1:19" ht="16.5" customHeight="1" x14ac:dyDescent="0.15">
      <c r="A48" s="84"/>
      <c r="B48" s="85" t="str">
        <f>'Giá tháng'!B34</f>
        <v>M102.0501</v>
      </c>
      <c r="C48" s="86" t="str">
        <f>'Giá tháng'!C34</f>
        <v>Cần cẩu nổi, kéo theo 30T</v>
      </c>
      <c r="D48" s="85" t="str">
        <f>'Giá tháng'!D34</f>
        <v>ca</v>
      </c>
      <c r="E48" s="150"/>
      <c r="F48" s="135">
        <v>5.7000000000000002E-2</v>
      </c>
      <c r="G48" s="136">
        <f>'Giá tháng'!G34</f>
        <v>1</v>
      </c>
      <c r="H48" s="150">
        <f>E35*F48*G48</f>
        <v>65.715300000000013</v>
      </c>
      <c r="S48" s="73">
        <v>304</v>
      </c>
    </row>
    <row r="49" spans="1:19" ht="28.5" customHeight="1" x14ac:dyDescent="0.15">
      <c r="A49" s="84"/>
      <c r="B49" s="85" t="str">
        <f>'Giá tháng'!B36</f>
        <v>M112.0105</v>
      </c>
      <c r="C49" s="86" t="str">
        <f>'Giá tháng'!C36</f>
        <v>Máy bơm nước, động cơ điện 14 kW</v>
      </c>
      <c r="D49" s="85" t="str">
        <f>'Giá tháng'!D36</f>
        <v>ca</v>
      </c>
      <c r="E49" s="150"/>
      <c r="F49" s="135">
        <v>5.7000000000000002E-2</v>
      </c>
      <c r="G49" s="136">
        <f>'Giá tháng'!G36</f>
        <v>1</v>
      </c>
      <c r="H49" s="150">
        <f>E35*F49*G49</f>
        <v>65.715300000000013</v>
      </c>
      <c r="S49" s="73">
        <v>306</v>
      </c>
    </row>
    <row r="50" spans="1:19" ht="40.5" customHeight="1" x14ac:dyDescent="0.15">
      <c r="A50" s="141">
        <f>'Công trình'!A49</f>
        <v>10</v>
      </c>
      <c r="B50" s="122" t="str">
        <f>'Công trình'!E49</f>
        <v>AB.25211</v>
      </c>
      <c r="C50" s="123" t="str">
        <f>'Công trình'!F49</f>
        <v>Đào móng công trình, chiều rộng móng &lt;= 10m, bằng máy đào 0,8m3, đất cấp I</v>
      </c>
      <c r="D50" s="122" t="str">
        <f>'Công trình'!G49</f>
        <v>100m3</v>
      </c>
      <c r="E50" s="142">
        <f>'Công trình'!P49</f>
        <v>4.8853</v>
      </c>
      <c r="F50" s="143"/>
      <c r="G50" s="144"/>
      <c r="H50" s="142"/>
    </row>
    <row r="51" spans="1:19" ht="16.5" customHeight="1" x14ac:dyDescent="0.15">
      <c r="A51" s="84"/>
      <c r="B51" s="85"/>
      <c r="C51" s="145" t="s">
        <v>481</v>
      </c>
      <c r="D51" s="146"/>
      <c r="E51" s="147"/>
      <c r="F51" s="148"/>
      <c r="G51" s="149"/>
      <c r="H51" s="147"/>
    </row>
    <row r="52" spans="1:19" ht="16.5" customHeight="1" x14ac:dyDescent="0.15">
      <c r="A52" s="84"/>
      <c r="B52" s="85" t="str">
        <f>'Giá tháng'!B27</f>
        <v>N1.30</v>
      </c>
      <c r="C52" s="86" t="str">
        <f>'Giá tháng'!C27</f>
        <v>Nhân công 3,0/7 - Nhóm 1</v>
      </c>
      <c r="D52" s="85" t="str">
        <f>'Giá tháng'!D27</f>
        <v>công</v>
      </c>
      <c r="E52" s="150"/>
      <c r="F52" s="135">
        <v>1.72</v>
      </c>
      <c r="G52" s="136">
        <f>'Giá tháng'!G27</f>
        <v>1</v>
      </c>
      <c r="H52" s="150">
        <f>E50*F52*G52</f>
        <v>8.4027159999999999</v>
      </c>
      <c r="S52" s="73">
        <v>201</v>
      </c>
    </row>
    <row r="53" spans="1:19" ht="16.5" customHeight="1" x14ac:dyDescent="0.15">
      <c r="A53" s="84"/>
      <c r="B53" s="85"/>
      <c r="C53" s="145" t="s">
        <v>482</v>
      </c>
      <c r="D53" s="146"/>
      <c r="E53" s="147"/>
      <c r="F53" s="148"/>
      <c r="G53" s="149"/>
      <c r="H53" s="147"/>
    </row>
    <row r="54" spans="1:19" ht="28.5" customHeight="1" x14ac:dyDescent="0.15">
      <c r="A54" s="84"/>
      <c r="B54" s="85" t="str">
        <f>'Giá tháng'!B40</f>
        <v>M101.0104</v>
      </c>
      <c r="C54" s="86" t="str">
        <f>'Giá tháng'!C40</f>
        <v>Máy đào một gầu, bánh xích - dung tích gầu : 0,80 m3</v>
      </c>
      <c r="D54" s="85" t="str">
        <f>'Giá tháng'!D40</f>
        <v>ca</v>
      </c>
      <c r="E54" s="150"/>
      <c r="F54" s="135">
        <v>0.30099999999999999</v>
      </c>
      <c r="G54" s="136">
        <f>'Giá tháng'!G40</f>
        <v>1</v>
      </c>
      <c r="H54" s="150">
        <f>E50*F54*G54</f>
        <v>1.4704752999999999</v>
      </c>
      <c r="S54" s="73">
        <v>3010</v>
      </c>
    </row>
    <row r="55" spans="1:19" ht="28.5" customHeight="1" x14ac:dyDescent="0.15">
      <c r="A55" s="141">
        <f>'Công trình'!A51</f>
        <v>11</v>
      </c>
      <c r="B55" s="122" t="str">
        <f>'Công trình'!E51</f>
        <v>AB.24131</v>
      </c>
      <c r="C55" s="123" t="str">
        <f>'Công trình'!F51</f>
        <v>Đào xúc đất bằng máy đào 1,25m3, đất cấp I</v>
      </c>
      <c r="D55" s="122" t="str">
        <f>'Công trình'!G51</f>
        <v>100m3</v>
      </c>
      <c r="E55" s="142">
        <f>'Công trình'!P51</f>
        <v>16.414300000000001</v>
      </c>
      <c r="F55" s="143"/>
      <c r="G55" s="144"/>
      <c r="H55" s="142"/>
    </row>
    <row r="56" spans="1:19" ht="16.5" customHeight="1" x14ac:dyDescent="0.15">
      <c r="A56" s="84"/>
      <c r="B56" s="85"/>
      <c r="C56" s="145" t="s">
        <v>481</v>
      </c>
      <c r="D56" s="146"/>
      <c r="E56" s="147"/>
      <c r="F56" s="148"/>
      <c r="G56" s="149"/>
      <c r="H56" s="147"/>
    </row>
    <row r="57" spans="1:19" ht="16.5" customHeight="1" x14ac:dyDescent="0.15">
      <c r="A57" s="84"/>
      <c r="B57" s="85" t="str">
        <f>'Giá tháng'!B27</f>
        <v>N1.30</v>
      </c>
      <c r="C57" s="86" t="str">
        <f>'Giá tháng'!C27</f>
        <v>Nhân công 3,0/7 - Nhóm 1</v>
      </c>
      <c r="D57" s="85" t="str">
        <f>'Giá tháng'!D27</f>
        <v>công</v>
      </c>
      <c r="E57" s="150"/>
      <c r="F57" s="135">
        <v>0.37</v>
      </c>
      <c r="G57" s="136">
        <f>'Giá tháng'!G27</f>
        <v>1</v>
      </c>
      <c r="H57" s="150">
        <f>E55*F57*G57</f>
        <v>6.0732910000000002</v>
      </c>
      <c r="S57" s="73">
        <v>201</v>
      </c>
    </row>
    <row r="58" spans="1:19" ht="16.5" customHeight="1" x14ac:dyDescent="0.15">
      <c r="A58" s="84"/>
      <c r="B58" s="85"/>
      <c r="C58" s="145" t="s">
        <v>482</v>
      </c>
      <c r="D58" s="146"/>
      <c r="E58" s="147"/>
      <c r="F58" s="148"/>
      <c r="G58" s="149"/>
      <c r="H58" s="147"/>
    </row>
    <row r="59" spans="1:19" ht="28.5" customHeight="1" x14ac:dyDescent="0.15">
      <c r="A59" s="84"/>
      <c r="B59" s="85" t="str">
        <f>'Giá tháng'!B41</f>
        <v>M101.0105</v>
      </c>
      <c r="C59" s="86" t="str">
        <f>'Giá tháng'!C41</f>
        <v>Máy đào một gầu, bánh xích - dung tích gầu : 1,25 m3</v>
      </c>
      <c r="D59" s="85" t="str">
        <f>'Giá tháng'!D41</f>
        <v>ca</v>
      </c>
      <c r="E59" s="150"/>
      <c r="F59" s="135">
        <v>0.17199999999999999</v>
      </c>
      <c r="G59" s="136">
        <f>'Giá tháng'!G41</f>
        <v>1</v>
      </c>
      <c r="H59" s="150">
        <f>E55*F59*G59</f>
        <v>2.8232596000000001</v>
      </c>
      <c r="S59" s="73">
        <v>3011</v>
      </c>
    </row>
    <row r="60" spans="1:19" ht="16.5" customHeight="1" x14ac:dyDescent="0.15">
      <c r="A60" s="84"/>
      <c r="B60" s="85" t="str">
        <f>'Giá tháng'!B48</f>
        <v>M101.0503</v>
      </c>
      <c r="C60" s="86" t="str">
        <f>'Giá tháng'!C48</f>
        <v>Máy ủi - công suất : 110,0 CV</v>
      </c>
      <c r="D60" s="85" t="str">
        <f>'Giá tháng'!D48</f>
        <v>ca</v>
      </c>
      <c r="E60" s="150"/>
      <c r="F60" s="135">
        <v>0.02</v>
      </c>
      <c r="G60" s="136">
        <f>'Giá tháng'!G48</f>
        <v>1</v>
      </c>
      <c r="H60" s="150">
        <f>E55*F60*G60</f>
        <v>0.32828600000000002</v>
      </c>
      <c r="S60" s="73">
        <v>3018</v>
      </c>
    </row>
    <row r="61" spans="1:19" ht="40.5" customHeight="1" x14ac:dyDescent="0.15">
      <c r="A61" s="141">
        <f>'Công trình'!A53</f>
        <v>12</v>
      </c>
      <c r="B61" s="122" t="str">
        <f>'Công trình'!E53</f>
        <v>AB.41411</v>
      </c>
      <c r="C61" s="123" t="str">
        <f>'Công trình'!F53</f>
        <v>Vận chuyển đất bằng ôtô tự đổ 5 tấn trong phạm vi &lt;= 1000m, đất cấp I</v>
      </c>
      <c r="D61" s="122" t="str">
        <f>'Công trình'!G53</f>
        <v>100m3</v>
      </c>
      <c r="E61" s="142">
        <f>'Công trình'!P53</f>
        <v>16.414000000000001</v>
      </c>
      <c r="F61" s="143"/>
      <c r="G61" s="144"/>
      <c r="H61" s="142"/>
    </row>
    <row r="62" spans="1:19" ht="16.5" customHeight="1" x14ac:dyDescent="0.15">
      <c r="A62" s="84"/>
      <c r="B62" s="85"/>
      <c r="C62" s="145" t="s">
        <v>482</v>
      </c>
      <c r="D62" s="146"/>
      <c r="E62" s="147"/>
      <c r="F62" s="148"/>
      <c r="G62" s="149"/>
      <c r="H62" s="147"/>
    </row>
    <row r="63" spans="1:19" ht="16.5" customHeight="1" x14ac:dyDescent="0.15">
      <c r="A63" s="84"/>
      <c r="B63" s="85" t="str">
        <f>'Giá tháng'!B50</f>
        <v>M106.0202</v>
      </c>
      <c r="C63" s="86" t="str">
        <f>'Giá tháng'!C50</f>
        <v>Ô tô tự đổ - trọng tải : 5,0 T</v>
      </c>
      <c r="D63" s="85" t="str">
        <f>'Giá tháng'!D50</f>
        <v>ca</v>
      </c>
      <c r="E63" s="150"/>
      <c r="F63" s="135">
        <v>1.1499999999999999</v>
      </c>
      <c r="G63" s="136">
        <f>'Giá tháng'!G50</f>
        <v>1</v>
      </c>
      <c r="H63" s="150">
        <f>E61*F63*G63</f>
        <v>18.876100000000001</v>
      </c>
      <c r="S63" s="73">
        <v>3020</v>
      </c>
    </row>
    <row r="64" spans="1:19" ht="40.5" customHeight="1" x14ac:dyDescent="0.15">
      <c r="A64" s="141">
        <f>'Công trình'!A55</f>
        <v>13</v>
      </c>
      <c r="B64" s="122" t="str">
        <f>'Công trình'!E55</f>
        <v>AB.42111</v>
      </c>
      <c r="C64" s="123" t="str">
        <f>'Công trình'!F55</f>
        <v>Vận chuyển đất bằng ô tô tự đổ 5T 1km tiếp theo trong phạm vi &lt;= 5km, đất cấp I</v>
      </c>
      <c r="D64" s="122" t="str">
        <f>'Công trình'!G55</f>
        <v>100m3</v>
      </c>
      <c r="E64" s="142">
        <f>'Công trình'!P55</f>
        <v>16.414000000000001</v>
      </c>
      <c r="F64" s="143"/>
      <c r="G64" s="144"/>
      <c r="H64" s="142"/>
    </row>
    <row r="65" spans="1:19" ht="16.5" customHeight="1" x14ac:dyDescent="0.15">
      <c r="A65" s="84"/>
      <c r="B65" s="85"/>
      <c r="C65" s="145" t="s">
        <v>482</v>
      </c>
      <c r="D65" s="146"/>
      <c r="E65" s="147"/>
      <c r="F65" s="148"/>
      <c r="G65" s="149"/>
      <c r="H65" s="147"/>
    </row>
    <row r="66" spans="1:19" ht="16.5" customHeight="1" x14ac:dyDescent="0.15">
      <c r="A66" s="84"/>
      <c r="B66" s="85" t="str">
        <f>'Giá tháng'!B51</f>
        <v>M106.0202</v>
      </c>
      <c r="C66" s="86" t="str">
        <f>'Giá tháng'!C51</f>
        <v>Ô tô tự đổ - trọng tải : 5,0 T</v>
      </c>
      <c r="D66" s="85" t="str">
        <f>'Giá tháng'!D51</f>
        <v>ca</v>
      </c>
      <c r="E66" s="150"/>
      <c r="F66" s="135">
        <v>0.53</v>
      </c>
      <c r="G66" s="136">
        <f>'Giá tháng'!G51</f>
        <v>4</v>
      </c>
      <c r="H66" s="150">
        <f>E64*F66*G66</f>
        <v>34.797680000000007</v>
      </c>
      <c r="S66" s="73">
        <v>3020</v>
      </c>
    </row>
    <row r="67" spans="1:19" ht="40.5" customHeight="1" x14ac:dyDescent="0.15">
      <c r="A67" s="141">
        <f>'Công trình'!A57</f>
        <v>14</v>
      </c>
      <c r="B67" s="122" t="str">
        <f>'Công trình'!E57</f>
        <v>AC.11121</v>
      </c>
      <c r="C67" s="123" t="str">
        <f>'Công trình'!F57</f>
        <v>Đóng cọc tre bằng thủ công, chiều dài cọc &gt; 2,5m vào đất cấp I</v>
      </c>
      <c r="D67" s="122" t="str">
        <f>'Công trình'!G57</f>
        <v>100m</v>
      </c>
      <c r="E67" s="142">
        <f>'Công trình'!P57</f>
        <v>456.875</v>
      </c>
      <c r="F67" s="143"/>
      <c r="G67" s="144"/>
      <c r="H67" s="142"/>
    </row>
    <row r="68" spans="1:19" ht="16.5" customHeight="1" x14ac:dyDescent="0.15">
      <c r="A68" s="84"/>
      <c r="B68" s="85"/>
      <c r="C68" s="145" t="s">
        <v>477</v>
      </c>
      <c r="D68" s="146"/>
      <c r="E68" s="147"/>
      <c r="F68" s="148"/>
      <c r="G68" s="149"/>
      <c r="H68" s="147"/>
    </row>
    <row r="69" spans="1:19" ht="16.5" customHeight="1" x14ac:dyDescent="0.15">
      <c r="A69" s="84"/>
      <c r="B69" s="85" t="str">
        <f>'Giá tháng'!B9</f>
        <v>A24.0227</v>
      </c>
      <c r="C69" s="86" t="str">
        <f>'Giá tháng'!C9</f>
        <v>Cọc tre &gt;2,5m</v>
      </c>
      <c r="D69" s="85" t="str">
        <f>'Giá tháng'!D9</f>
        <v>m</v>
      </c>
      <c r="E69" s="150"/>
      <c r="F69" s="135">
        <v>105</v>
      </c>
      <c r="G69" s="136">
        <f>'Giá tháng'!G9</f>
        <v>1</v>
      </c>
      <c r="H69" s="150">
        <f>E67*F69*G69</f>
        <v>47971.875</v>
      </c>
      <c r="Q69" s="73">
        <f>'Cước VC'!AV9</f>
        <v>0</v>
      </c>
      <c r="R69" s="73">
        <f>'Cước bộ'!W9</f>
        <v>0</v>
      </c>
      <c r="S69" s="73">
        <v>107</v>
      </c>
    </row>
    <row r="70" spans="1:19" ht="16.5" customHeight="1" x14ac:dyDescent="0.15">
      <c r="A70" s="84"/>
      <c r="B70" s="85" t="str">
        <f>'Giá tháng'!B8</f>
        <v>A24.0183</v>
      </c>
      <c r="C70" s="86" t="str">
        <f>'Giá tháng'!C8</f>
        <v>Cây chống</v>
      </c>
      <c r="D70" s="85" t="str">
        <f>'Giá tháng'!D8</f>
        <v>cây</v>
      </c>
      <c r="E70" s="150"/>
      <c r="F70" s="135">
        <v>1.65</v>
      </c>
      <c r="G70" s="136">
        <f>'Giá tháng'!G8</f>
        <v>1</v>
      </c>
      <c r="H70" s="150">
        <f>E67*F70*G70</f>
        <v>753.84375</v>
      </c>
      <c r="Q70" s="73">
        <f>'Cước VC'!AV8</f>
        <v>0</v>
      </c>
      <c r="R70" s="73">
        <f>'Cước bộ'!W8</f>
        <v>0</v>
      </c>
      <c r="S70" s="73">
        <v>106</v>
      </c>
    </row>
    <row r="71" spans="1:19" ht="16.5" customHeight="1" x14ac:dyDescent="0.15">
      <c r="A71" s="84"/>
      <c r="B71" s="85" t="str">
        <f>'Giá tháng'!B14</f>
        <v>A24.0418</v>
      </c>
      <c r="C71" s="86" t="str">
        <f>'Giá tháng'!C14</f>
        <v>Gỗ ván</v>
      </c>
      <c r="D71" s="85" t="str">
        <f>'Giá tháng'!D14</f>
        <v>m3</v>
      </c>
      <c r="E71" s="150"/>
      <c r="F71" s="135">
        <v>0.01</v>
      </c>
      <c r="G71" s="136">
        <f>'Giá tháng'!G14</f>
        <v>1</v>
      </c>
      <c r="H71" s="150">
        <f>E67*F71*G71</f>
        <v>4.5687500000000005</v>
      </c>
      <c r="Q71" s="73">
        <f>'Cước VC'!AV14</f>
        <v>0</v>
      </c>
      <c r="R71" s="73">
        <f>'Cước bộ'!W14</f>
        <v>0</v>
      </c>
      <c r="S71" s="73">
        <v>1012</v>
      </c>
    </row>
    <row r="72" spans="1:19" ht="16.5" customHeight="1" x14ac:dyDescent="0.15">
      <c r="A72" s="84"/>
      <c r="B72" s="85" t="s">
        <v>478</v>
      </c>
      <c r="C72" s="86" t="s">
        <v>479</v>
      </c>
      <c r="D72" s="85" t="s">
        <v>480</v>
      </c>
      <c r="E72" s="150"/>
      <c r="F72" s="135">
        <v>3</v>
      </c>
      <c r="G72" s="136"/>
      <c r="H72" s="150"/>
      <c r="M72" s="73">
        <f>E67*F72*(F69*'Giá tháng'!E9*'Giá tháng'!G9+F70*'Giá tháng'!E8*'Giá tháng'!G8+F71*'Giá tháng'!E14*'Giá tháng'!G14)/100</f>
        <v>5502249.4726875005</v>
      </c>
      <c r="O72" s="73">
        <f>E67*F72*(F69*('Giá tháng'!F9+Q69+R69)*'Giá tháng'!G9+F70*('Giá tháng'!F8+Q70+R70)*'Giá tháng'!G8+F71*('Giá tháng'!F14+Q71+R71)*'Giá tháng'!G14)/100</f>
        <v>7857793.125</v>
      </c>
    </row>
    <row r="73" spans="1:19" ht="16.5" customHeight="1" x14ac:dyDescent="0.15">
      <c r="A73" s="84"/>
      <c r="B73" s="85"/>
      <c r="C73" s="145" t="s">
        <v>481</v>
      </c>
      <c r="D73" s="146"/>
      <c r="E73" s="147"/>
      <c r="F73" s="148"/>
      <c r="G73" s="149"/>
      <c r="H73" s="147"/>
    </row>
    <row r="74" spans="1:19" ht="16.5" customHeight="1" x14ac:dyDescent="0.15">
      <c r="A74" s="84"/>
      <c r="B74" s="85" t="str">
        <f>'Giá tháng'!B28</f>
        <v>N2.30</v>
      </c>
      <c r="C74" s="86" t="str">
        <f>'Giá tháng'!C28</f>
        <v>Nhân công 3,0/7 - Nhóm 2</v>
      </c>
      <c r="D74" s="85" t="str">
        <f>'Giá tháng'!D28</f>
        <v>công</v>
      </c>
      <c r="E74" s="150"/>
      <c r="F74" s="135">
        <v>2.02</v>
      </c>
      <c r="G74" s="136">
        <f>'Giá tháng'!G28</f>
        <v>1</v>
      </c>
      <c r="H74" s="150">
        <f>E67*F74*G74</f>
        <v>922.88750000000005</v>
      </c>
      <c r="S74" s="73">
        <v>202</v>
      </c>
    </row>
    <row r="75" spans="1:19" ht="40.5" customHeight="1" x14ac:dyDescent="0.15">
      <c r="A75" s="141">
        <f>'Công trình'!A59</f>
        <v>15</v>
      </c>
      <c r="B75" s="122" t="str">
        <f>'Công trình'!E59</f>
        <v>AB.13411</v>
      </c>
      <c r="C75" s="123" t="str">
        <f>'Công trình'!F59</f>
        <v>Đắp cát công trình bằng thủ công, đắp nền móng công trình</v>
      </c>
      <c r="D75" s="122" t="str">
        <f>'Công trình'!G59</f>
        <v>m3</v>
      </c>
      <c r="E75" s="142">
        <f>'Công trình'!P59</f>
        <v>73.099999999999994</v>
      </c>
      <c r="F75" s="143"/>
      <c r="G75" s="144"/>
      <c r="H75" s="142"/>
    </row>
    <row r="76" spans="1:19" ht="16.5" customHeight="1" x14ac:dyDescent="0.15">
      <c r="A76" s="84"/>
      <c r="B76" s="85"/>
      <c r="C76" s="145" t="s">
        <v>477</v>
      </c>
      <c r="D76" s="146"/>
      <c r="E76" s="147"/>
      <c r="F76" s="148"/>
      <c r="G76" s="149"/>
      <c r="H76" s="147"/>
    </row>
    <row r="77" spans="1:19" ht="16.5" customHeight="1" x14ac:dyDescent="0.15">
      <c r="A77" s="84"/>
      <c r="B77" s="85" t="str">
        <f>'Giá tháng'!B6</f>
        <v>A24.1042</v>
      </c>
      <c r="C77" s="86" t="str">
        <f>'Giá tháng'!C6</f>
        <v>Cát</v>
      </c>
      <c r="D77" s="85" t="str">
        <f>'Giá tháng'!D6</f>
        <v>m3</v>
      </c>
      <c r="E77" s="150"/>
      <c r="F77" s="135">
        <v>1.22</v>
      </c>
      <c r="G77" s="136">
        <f>'Giá tháng'!G6</f>
        <v>1</v>
      </c>
      <c r="H77" s="150">
        <f>E75*F77*G77</f>
        <v>89.181999999999988</v>
      </c>
      <c r="Q77" s="73">
        <f>'Cước VC'!AV6</f>
        <v>0</v>
      </c>
      <c r="R77" s="73">
        <f>'Cước bộ'!W6</f>
        <v>0</v>
      </c>
      <c r="S77" s="73">
        <v>104</v>
      </c>
    </row>
    <row r="78" spans="1:19" ht="16.5" customHeight="1" x14ac:dyDescent="0.15">
      <c r="A78" s="84"/>
      <c r="B78" s="85" t="s">
        <v>478</v>
      </c>
      <c r="C78" s="86" t="s">
        <v>479</v>
      </c>
      <c r="D78" s="85" t="s">
        <v>480</v>
      </c>
      <c r="E78" s="150"/>
      <c r="F78" s="135">
        <v>2</v>
      </c>
      <c r="G78" s="136"/>
      <c r="H78" s="150"/>
      <c r="M78" s="73">
        <f>E75*F78*(F77*'Giá tháng'!E6*'Giá tháng'!G6)/100</f>
        <v>249709.59999999998</v>
      </c>
      <c r="O78" s="73">
        <f>E75*F78*(F77*('Giá tháng'!F6+Q77+R77)*'Giá tháng'!G6)/100</f>
        <v>499419.19999999995</v>
      </c>
    </row>
    <row r="79" spans="1:19" ht="16.5" customHeight="1" x14ac:dyDescent="0.15">
      <c r="A79" s="84"/>
      <c r="B79" s="85"/>
      <c r="C79" s="145" t="s">
        <v>481</v>
      </c>
      <c r="D79" s="146"/>
      <c r="E79" s="147"/>
      <c r="F79" s="148"/>
      <c r="G79" s="149"/>
      <c r="H79" s="147"/>
    </row>
    <row r="80" spans="1:19" ht="16.5" customHeight="1" x14ac:dyDescent="0.15">
      <c r="A80" s="84"/>
      <c r="B80" s="85" t="str">
        <f>'Giá tháng'!B27</f>
        <v>N1.30</v>
      </c>
      <c r="C80" s="86" t="str">
        <f>'Giá tháng'!C27</f>
        <v>Nhân công 3,0/7 - Nhóm 1</v>
      </c>
      <c r="D80" s="85" t="str">
        <f>'Giá tháng'!D27</f>
        <v>công</v>
      </c>
      <c r="E80" s="150"/>
      <c r="F80" s="135">
        <v>0.45</v>
      </c>
      <c r="G80" s="136">
        <f>'Giá tháng'!G27</f>
        <v>1</v>
      </c>
      <c r="H80" s="150">
        <f>E75*F80*G80</f>
        <v>32.894999999999996</v>
      </c>
      <c r="S80" s="73">
        <v>201</v>
      </c>
    </row>
    <row r="81" spans="1:19" ht="28.5" customHeight="1" x14ac:dyDescent="0.15">
      <c r="A81" s="141">
        <f>'Công trình'!A61</f>
        <v>16</v>
      </c>
      <c r="B81" s="122" t="str">
        <f>'Công trình'!E61</f>
        <v>AF.82511</v>
      </c>
      <c r="C81" s="123" t="str">
        <f>'Công trình'!F61</f>
        <v>Ván khuôn thép. Ván khuôn móng dài</v>
      </c>
      <c r="D81" s="122" t="str">
        <f>'Công trình'!G61</f>
        <v>100m2</v>
      </c>
      <c r="E81" s="142">
        <f>'Công trình'!P61</f>
        <v>0.46400000000000002</v>
      </c>
      <c r="F81" s="143"/>
      <c r="G81" s="144"/>
      <c r="H81" s="142"/>
    </row>
    <row r="82" spans="1:19" ht="16.5" customHeight="1" x14ac:dyDescent="0.15">
      <c r="A82" s="84"/>
      <c r="B82" s="85"/>
      <c r="C82" s="145" t="s">
        <v>477</v>
      </c>
      <c r="D82" s="146"/>
      <c r="E82" s="147"/>
      <c r="F82" s="148"/>
      <c r="G82" s="149"/>
      <c r="H82" s="147"/>
    </row>
    <row r="83" spans="1:19" ht="16.5" customHeight="1" x14ac:dyDescent="0.15">
      <c r="A83" s="84"/>
      <c r="B83" s="85" t="str">
        <f>'Giá tháng'!B21</f>
        <v>A24.0726</v>
      </c>
      <c r="C83" s="86" t="str">
        <f>'Giá tháng'!C21</f>
        <v>Thép tấm</v>
      </c>
      <c r="D83" s="85" t="str">
        <f>'Giá tháng'!D21</f>
        <v>kg</v>
      </c>
      <c r="E83" s="150"/>
      <c r="F83" s="135">
        <v>51.81</v>
      </c>
      <c r="G83" s="136">
        <f>'Giá tháng'!G21</f>
        <v>1</v>
      </c>
      <c r="H83" s="150">
        <f>E81*F83*G83</f>
        <v>24.039840000000002</v>
      </c>
      <c r="Q83" s="73">
        <f>'Cước VC'!AV21</f>
        <v>0</v>
      </c>
      <c r="R83" s="73">
        <f>'Cước bộ'!W21</f>
        <v>0</v>
      </c>
      <c r="S83" s="73">
        <v>1019</v>
      </c>
    </row>
    <row r="84" spans="1:19" ht="16.5" customHeight="1" x14ac:dyDescent="0.15">
      <c r="A84" s="84"/>
      <c r="B84" s="85" t="str">
        <f>'Giá tháng'!B20</f>
        <v>A24.0712</v>
      </c>
      <c r="C84" s="86" t="str">
        <f>'Giá tháng'!C20</f>
        <v>Thép hình</v>
      </c>
      <c r="D84" s="85" t="str">
        <f>'Giá tháng'!D20</f>
        <v>kg</v>
      </c>
      <c r="E84" s="150"/>
      <c r="F84" s="135">
        <v>32.020000000000003</v>
      </c>
      <c r="G84" s="136">
        <f>'Giá tháng'!G20</f>
        <v>1</v>
      </c>
      <c r="H84" s="150">
        <f>E81*F84*G84</f>
        <v>14.857280000000003</v>
      </c>
      <c r="Q84" s="73">
        <f>'Cước VC'!AV20</f>
        <v>0</v>
      </c>
      <c r="R84" s="73">
        <f>'Cước bộ'!W20</f>
        <v>0</v>
      </c>
      <c r="S84" s="73">
        <v>1018</v>
      </c>
    </row>
    <row r="85" spans="1:19" ht="16.5" customHeight="1" x14ac:dyDescent="0.15">
      <c r="A85" s="84"/>
      <c r="B85" s="85" t="str">
        <f>'Giá tháng'!B19</f>
        <v>A24.0543</v>
      </c>
      <c r="C85" s="86" t="str">
        <f>'Giá tháng'!C19</f>
        <v>Que hàn</v>
      </c>
      <c r="D85" s="85" t="str">
        <f>'Giá tháng'!D19</f>
        <v>kg</v>
      </c>
      <c r="E85" s="150"/>
      <c r="F85" s="135">
        <v>3.26</v>
      </c>
      <c r="G85" s="136">
        <f>'Giá tháng'!G19</f>
        <v>1</v>
      </c>
      <c r="H85" s="150">
        <f>E81*F85*G85</f>
        <v>1.51264</v>
      </c>
      <c r="Q85" s="73">
        <f>'Cước VC'!AV19</f>
        <v>0</v>
      </c>
      <c r="R85" s="73">
        <f>'Cước bộ'!W19</f>
        <v>0</v>
      </c>
      <c r="S85" s="73">
        <v>1017</v>
      </c>
    </row>
    <row r="86" spans="1:19" ht="16.5" customHeight="1" x14ac:dyDescent="0.15">
      <c r="A86" s="84"/>
      <c r="B86" s="85" t="s">
        <v>478</v>
      </c>
      <c r="C86" s="86" t="s">
        <v>479</v>
      </c>
      <c r="D86" s="85" t="s">
        <v>480</v>
      </c>
      <c r="E86" s="150"/>
      <c r="F86" s="135">
        <v>5</v>
      </c>
      <c r="G86" s="136"/>
      <c r="H86" s="150"/>
      <c r="M86" s="73">
        <f>E81*F86*(F83*'Giá tháng'!E21*'Giá tháng'!G21+F84*'Giá tháng'!E20*'Giá tháng'!G20+F85*'Giá tháng'!E19*'Giá tháng'!G19)/100</f>
        <v>39329.278000000006</v>
      </c>
      <c r="O86" s="73">
        <f>E81*F86*(F83*('Giá tháng'!F21+Q83+R83)*'Giá tháng'!G21+F84*('Giá tháng'!F20+Q84+R84)*'Giá tháng'!G20+F85*('Giá tháng'!F19+Q85+R85)*'Giá tháng'!G19)/100</f>
        <v>38454.092800000006</v>
      </c>
    </row>
    <row r="87" spans="1:19" ht="16.5" customHeight="1" x14ac:dyDescent="0.15">
      <c r="A87" s="84"/>
      <c r="B87" s="85"/>
      <c r="C87" s="145" t="s">
        <v>481</v>
      </c>
      <c r="D87" s="146"/>
      <c r="E87" s="147"/>
      <c r="F87" s="148"/>
      <c r="G87" s="149"/>
      <c r="H87" s="147"/>
    </row>
    <row r="88" spans="1:19" ht="16.5" customHeight="1" x14ac:dyDescent="0.15">
      <c r="A88" s="84"/>
      <c r="B88" s="85" t="str">
        <f>'Giá tháng'!B30</f>
        <v>N2.40</v>
      </c>
      <c r="C88" s="86" t="str">
        <f>'Giá tháng'!C30</f>
        <v>Nhân công 4,0/7 - Nhóm 2</v>
      </c>
      <c r="D88" s="85" t="str">
        <f>'Giá tháng'!D30</f>
        <v>công</v>
      </c>
      <c r="E88" s="150"/>
      <c r="F88" s="135">
        <v>12.25</v>
      </c>
      <c r="G88" s="136">
        <f>'Giá tháng'!G30</f>
        <v>1</v>
      </c>
      <c r="H88" s="150">
        <f>E81*F88*G88</f>
        <v>5.6840000000000002</v>
      </c>
      <c r="S88" s="73">
        <v>204</v>
      </c>
    </row>
    <row r="89" spans="1:19" ht="16.5" customHeight="1" x14ac:dyDescent="0.15">
      <c r="A89" s="84"/>
      <c r="B89" s="85"/>
      <c r="C89" s="145" t="s">
        <v>482</v>
      </c>
      <c r="D89" s="146"/>
      <c r="E89" s="147"/>
      <c r="F89" s="148"/>
      <c r="G89" s="149"/>
      <c r="H89" s="147"/>
    </row>
    <row r="90" spans="1:19" ht="28.5" customHeight="1" x14ac:dyDescent="0.15">
      <c r="A90" s="84"/>
      <c r="B90" s="85" t="str">
        <f>'Giá tháng'!B45</f>
        <v>M112.4003</v>
      </c>
      <c r="C90" s="86" t="str">
        <f>'Giá tháng'!C45</f>
        <v>Máy hàn xoay chiều - công suất : 23,0 kW</v>
      </c>
      <c r="D90" s="85" t="str">
        <f>'Giá tháng'!D45</f>
        <v>ca</v>
      </c>
      <c r="E90" s="150"/>
      <c r="F90" s="135">
        <v>0.82</v>
      </c>
      <c r="G90" s="136">
        <f>'Giá tháng'!G45</f>
        <v>1</v>
      </c>
      <c r="H90" s="150">
        <f>E81*F90*G90</f>
        <v>0.38047999999999998</v>
      </c>
      <c r="S90" s="73">
        <v>3015</v>
      </c>
    </row>
    <row r="91" spans="1:19" ht="16.5" customHeight="1" x14ac:dyDescent="0.15">
      <c r="A91" s="84"/>
      <c r="B91" s="85" t="s">
        <v>483</v>
      </c>
      <c r="C91" s="86" t="s">
        <v>484</v>
      </c>
      <c r="D91" s="85" t="s">
        <v>480</v>
      </c>
      <c r="E91" s="150"/>
      <c r="F91" s="135">
        <v>2</v>
      </c>
      <c r="G91" s="136"/>
      <c r="H91" s="150"/>
      <c r="N91" s="73">
        <f>E81*F91*(F90*'Giá tháng'!E45*'Giá tháng'!G45)/100</f>
        <v>3132.8723200000004</v>
      </c>
      <c r="P91" s="73">
        <f>E81*F91*(F90*'Giá tháng'!F45*'Giá tháng'!G45)/100</f>
        <v>3405.1818559999997</v>
      </c>
    </row>
    <row r="92" spans="1:19" ht="53.25" customHeight="1" x14ac:dyDescent="0.15">
      <c r="A92" s="141">
        <f>'Công trình'!A63</f>
        <v>17</v>
      </c>
      <c r="B92" s="122" t="str">
        <f>'Công trình'!E63</f>
        <v>AF.11211A</v>
      </c>
      <c r="C92" s="123" t="str">
        <f>'Công trình'!F63</f>
        <v>Đổ bê tông thủ công bằng máy trộn, bê tông móng, chiều rộng &lt;= 250 cm, đá 1x2, mác 100, PCB30</v>
      </c>
      <c r="D92" s="122" t="str">
        <f>'Công trình'!G63</f>
        <v>m3</v>
      </c>
      <c r="E92" s="142">
        <f>'Công trình'!P63</f>
        <v>73.099999999999994</v>
      </c>
      <c r="F92" s="143"/>
      <c r="G92" s="144"/>
      <c r="H92" s="142"/>
    </row>
    <row r="93" spans="1:19" ht="16.5" customHeight="1" x14ac:dyDescent="0.15">
      <c r="A93" s="84"/>
      <c r="B93" s="85"/>
      <c r="C93" s="145" t="s">
        <v>477</v>
      </c>
      <c r="D93" s="146"/>
      <c r="E93" s="147"/>
      <c r="F93" s="148"/>
      <c r="G93" s="149"/>
      <c r="H93" s="147"/>
    </row>
    <row r="94" spans="1:19" ht="16.5" customHeight="1" x14ac:dyDescent="0.15">
      <c r="A94" s="84"/>
      <c r="B94" s="85" t="str">
        <f>'Giá tháng'!B25</f>
        <v>A24.0797A</v>
      </c>
      <c r="C94" s="86" t="str">
        <f>'Giá tháng'!C25</f>
        <v>Xi măng PCB30</v>
      </c>
      <c r="D94" s="85" t="str">
        <f>'Giá tháng'!D25</f>
        <v>kg</v>
      </c>
      <c r="E94" s="150"/>
      <c r="F94" s="135">
        <v>222.42500000000001</v>
      </c>
      <c r="G94" s="136">
        <f>'Giá tháng'!G25</f>
        <v>1</v>
      </c>
      <c r="H94" s="150">
        <f>E92*F94*G94</f>
        <v>16259.2675</v>
      </c>
      <c r="Q94" s="73">
        <f>'Cước VC'!AV25</f>
        <v>0</v>
      </c>
      <c r="R94" s="73">
        <f>'Cước bộ'!W25</f>
        <v>0</v>
      </c>
      <c r="S94" s="73">
        <v>1023</v>
      </c>
    </row>
    <row r="95" spans="1:19" ht="16.5" customHeight="1" x14ac:dyDescent="0.15">
      <c r="A95" s="84"/>
      <c r="B95" s="85" t="str">
        <f>'Giá tháng'!B7</f>
        <v>A24.0180</v>
      </c>
      <c r="C95" s="86" t="str">
        <f>'Giá tháng'!C7</f>
        <v>Cát vàng</v>
      </c>
      <c r="D95" s="85" t="str">
        <f>'Giá tháng'!D7</f>
        <v>m3</v>
      </c>
      <c r="E95" s="150"/>
      <c r="F95" s="135">
        <v>0.55247500000000005</v>
      </c>
      <c r="G95" s="136">
        <f>'Giá tháng'!G7</f>
        <v>1</v>
      </c>
      <c r="H95" s="150">
        <f>E92*F95*G95</f>
        <v>40.3859225</v>
      </c>
      <c r="Q95" s="73">
        <f>'Cước VC'!AV7</f>
        <v>0</v>
      </c>
      <c r="R95" s="73">
        <f>'Cước bộ'!W7</f>
        <v>0</v>
      </c>
      <c r="S95" s="73">
        <v>105</v>
      </c>
    </row>
    <row r="96" spans="1:19" ht="16.5" customHeight="1" x14ac:dyDescent="0.15">
      <c r="A96" s="84"/>
      <c r="B96" s="85" t="str">
        <f>'Giá tháng'!B13</f>
        <v>A24.0008</v>
      </c>
      <c r="C96" s="86" t="str">
        <f>'Giá tháng'!C13</f>
        <v>Đá 1x2</v>
      </c>
      <c r="D96" s="85" t="str">
        <f>'Giá tháng'!D13</f>
        <v>m3</v>
      </c>
      <c r="E96" s="150"/>
      <c r="F96" s="135">
        <v>0.90917499999999996</v>
      </c>
      <c r="G96" s="136">
        <f>'Giá tháng'!G13</f>
        <v>1</v>
      </c>
      <c r="H96" s="150">
        <f>E92*F96*G96</f>
        <v>66.460692499999993</v>
      </c>
      <c r="Q96" s="73">
        <f>'Cước VC'!AV13</f>
        <v>0</v>
      </c>
      <c r="R96" s="73">
        <f>'Cước bộ'!W13</f>
        <v>0</v>
      </c>
      <c r="S96" s="73">
        <v>1011</v>
      </c>
    </row>
    <row r="97" spans="1:19" ht="16.5" customHeight="1" x14ac:dyDescent="0.15">
      <c r="A97" s="84"/>
      <c r="B97" s="85" t="str">
        <f>'Giá tháng'!B15</f>
        <v>A24.0524</v>
      </c>
      <c r="C97" s="86" t="str">
        <f>'Giá tháng'!C15</f>
        <v>Nước</v>
      </c>
      <c r="D97" s="85" t="str">
        <f>'Giá tháng'!D15</f>
        <v>lít</v>
      </c>
      <c r="E97" s="150"/>
      <c r="F97" s="135">
        <v>187.57499999999999</v>
      </c>
      <c r="G97" s="136">
        <f>'Giá tháng'!G15</f>
        <v>1</v>
      </c>
      <c r="H97" s="150">
        <f>E92*F97*G97</f>
        <v>13711.732499999998</v>
      </c>
      <c r="Q97" s="73">
        <f>'Cước VC'!AV15</f>
        <v>0</v>
      </c>
      <c r="R97" s="73">
        <f>'Cước bộ'!W15</f>
        <v>0</v>
      </c>
      <c r="S97" s="73">
        <v>1013</v>
      </c>
    </row>
    <row r="98" spans="1:19" ht="16.5" customHeight="1" x14ac:dyDescent="0.15">
      <c r="A98" s="84"/>
      <c r="B98" s="85" t="s">
        <v>478</v>
      </c>
      <c r="C98" s="86" t="s">
        <v>479</v>
      </c>
      <c r="D98" s="85" t="s">
        <v>480</v>
      </c>
      <c r="E98" s="150"/>
      <c r="F98" s="135">
        <v>1</v>
      </c>
      <c r="G98" s="136"/>
      <c r="H98" s="150"/>
      <c r="M98" s="73">
        <f>E92*F98*(F94*'Giá tháng'!E25*'Giá tháng'!G25+F95*'Giá tháng'!E7*'Giá tháng'!G7+F96*'Giá tháng'!E13*'Giá tháng'!G13+F97*'Giá tháng'!E15*'Giá tháng'!G15)/100</f>
        <v>620434.16665000003</v>
      </c>
      <c r="O98" s="73">
        <f>E92*F98*(F94*('Giá tháng'!F25+Q94+R94)*'Giá tháng'!G25+F95*('Giá tháng'!F7+Q95+R95)*'Giá tháng'!G7+F96*('Giá tháng'!F13+Q96+R96)*'Giá tháng'!G13+F97*('Giá tháng'!F15+Q97+R97)*'Giá tháng'!G15)/100</f>
        <v>876565.58337499993</v>
      </c>
    </row>
    <row r="99" spans="1:19" ht="16.5" customHeight="1" x14ac:dyDescent="0.15">
      <c r="A99" s="84"/>
      <c r="B99" s="85"/>
      <c r="C99" s="145" t="s">
        <v>481</v>
      </c>
      <c r="D99" s="146"/>
      <c r="E99" s="147"/>
      <c r="F99" s="148"/>
      <c r="G99" s="149"/>
      <c r="H99" s="147"/>
    </row>
    <row r="100" spans="1:19" ht="16.5" customHeight="1" x14ac:dyDescent="0.15">
      <c r="A100" s="84"/>
      <c r="B100" s="85" t="str">
        <f>'Giá tháng'!B28</f>
        <v>N2.30</v>
      </c>
      <c r="C100" s="86" t="str">
        <f>'Giá tháng'!C28</f>
        <v>Nhân công 3,0/7 - Nhóm 2</v>
      </c>
      <c r="D100" s="85" t="str">
        <f>'Giá tháng'!D28</f>
        <v>công</v>
      </c>
      <c r="E100" s="150"/>
      <c r="F100" s="135">
        <v>1.23</v>
      </c>
      <c r="G100" s="136">
        <f>'Giá tháng'!G28</f>
        <v>1</v>
      </c>
      <c r="H100" s="150">
        <f>E92*F100*G100</f>
        <v>89.912999999999997</v>
      </c>
      <c r="S100" s="73">
        <v>202</v>
      </c>
    </row>
    <row r="101" spans="1:19" ht="16.5" customHeight="1" x14ac:dyDescent="0.15">
      <c r="A101" s="84"/>
      <c r="B101" s="85"/>
      <c r="C101" s="145" t="s">
        <v>482</v>
      </c>
      <c r="D101" s="146"/>
      <c r="E101" s="147"/>
      <c r="F101" s="148"/>
      <c r="G101" s="149"/>
      <c r="H101" s="147"/>
    </row>
    <row r="102" spans="1:19" ht="28.5" customHeight="1" x14ac:dyDescent="0.15">
      <c r="A102" s="84"/>
      <c r="B102" s="85" t="str">
        <f>'Giá tháng'!B47</f>
        <v>M104.0102</v>
      </c>
      <c r="C102" s="86" t="str">
        <f>'Giá tháng'!C47</f>
        <v>Máy trộn bê tông - dung tích : 250,0 lít</v>
      </c>
      <c r="D102" s="85" t="str">
        <f>'Giá tháng'!D47</f>
        <v>ca</v>
      </c>
      <c r="E102" s="150"/>
      <c r="F102" s="135">
        <v>9.5000000000000001E-2</v>
      </c>
      <c r="G102" s="136">
        <f>'Giá tháng'!G47</f>
        <v>1</v>
      </c>
      <c r="H102" s="150">
        <f>E92*F102*G102</f>
        <v>6.9444999999999997</v>
      </c>
      <c r="S102" s="73">
        <v>3017</v>
      </c>
    </row>
    <row r="103" spans="1:19" ht="28.5" customHeight="1" x14ac:dyDescent="0.15">
      <c r="A103" s="84"/>
      <c r="B103" s="85" t="str">
        <f>'Giá tháng'!B42</f>
        <v>M112.1301</v>
      </c>
      <c r="C103" s="86" t="str">
        <f>'Giá tháng'!C42</f>
        <v>Máy đầm bê tông, dầm dùi - công suất : 1,5 kW</v>
      </c>
      <c r="D103" s="85" t="str">
        <f>'Giá tháng'!D42</f>
        <v>ca</v>
      </c>
      <c r="E103" s="150"/>
      <c r="F103" s="135">
        <v>8.8999999999999996E-2</v>
      </c>
      <c r="G103" s="136">
        <f>'Giá tháng'!G42</f>
        <v>1</v>
      </c>
      <c r="H103" s="150">
        <f>E92*F103*G103</f>
        <v>6.5058999999999996</v>
      </c>
      <c r="S103" s="73">
        <v>3012</v>
      </c>
    </row>
    <row r="104" spans="1:19" ht="53.25" customHeight="1" x14ac:dyDescent="0.15">
      <c r="A104" s="141">
        <f>'Công trình'!A65</f>
        <v>18</v>
      </c>
      <c r="B104" s="122" t="str">
        <f>'Công trình'!E65</f>
        <v>AF.61120</v>
      </c>
      <c r="C104" s="123" t="str">
        <f>'Công trình'!F65</f>
        <v>Công tác gia công lắp dựng cốt thép. Cốt thép móng, đường kính cốt thép &lt;= 18mm</v>
      </c>
      <c r="D104" s="122" t="str">
        <f>'Công trình'!G65</f>
        <v>tấn</v>
      </c>
      <c r="E104" s="142">
        <f>'Công trình'!P65</f>
        <v>10.3291</v>
      </c>
      <c r="F104" s="143"/>
      <c r="G104" s="144"/>
      <c r="H104" s="142"/>
    </row>
    <row r="105" spans="1:19" ht="16.5" customHeight="1" x14ac:dyDescent="0.15">
      <c r="A105" s="84"/>
      <c r="B105" s="85"/>
      <c r="C105" s="145" t="s">
        <v>477</v>
      </c>
      <c r="D105" s="146"/>
      <c r="E105" s="147"/>
      <c r="F105" s="148"/>
      <c r="G105" s="149"/>
      <c r="H105" s="147"/>
    </row>
    <row r="106" spans="1:19" ht="16.5" customHeight="1" x14ac:dyDescent="0.15">
      <c r="A106" s="84"/>
      <c r="B106" s="85" t="str">
        <f>'Giá tháng'!B23</f>
        <v>A24.0739</v>
      </c>
      <c r="C106" s="86" t="str">
        <f>'Giá tháng'!C23</f>
        <v>Thép tròn D&lt;=18mm</v>
      </c>
      <c r="D106" s="85" t="str">
        <f>'Giá tháng'!D23</f>
        <v>kg</v>
      </c>
      <c r="E106" s="150"/>
      <c r="F106" s="135">
        <v>1020</v>
      </c>
      <c r="G106" s="136">
        <f>'Giá tháng'!G23</f>
        <v>1</v>
      </c>
      <c r="H106" s="150">
        <f>E104*F106*G106</f>
        <v>10535.682000000001</v>
      </c>
      <c r="S106" s="73">
        <v>1021</v>
      </c>
    </row>
    <row r="107" spans="1:19" ht="16.5" customHeight="1" x14ac:dyDescent="0.15">
      <c r="A107" s="84"/>
      <c r="B107" s="85" t="str">
        <f>'Giá tháng'!B12</f>
        <v>A24.0293</v>
      </c>
      <c r="C107" s="86" t="str">
        <f>'Giá tháng'!C12</f>
        <v>Dây thép</v>
      </c>
      <c r="D107" s="85" t="str">
        <f>'Giá tháng'!D12</f>
        <v>kg</v>
      </c>
      <c r="E107" s="150"/>
      <c r="F107" s="135">
        <v>9.2799999999999994</v>
      </c>
      <c r="G107" s="136">
        <f>'Giá tháng'!G12</f>
        <v>1</v>
      </c>
      <c r="H107" s="150">
        <f>E104*F107*G107</f>
        <v>95.854047999999992</v>
      </c>
      <c r="S107" s="73">
        <v>1010</v>
      </c>
    </row>
    <row r="108" spans="1:19" ht="16.5" customHeight="1" x14ac:dyDescent="0.15">
      <c r="A108" s="84"/>
      <c r="B108" s="85" t="str">
        <f>'Giá tháng'!B19</f>
        <v>A24.0543</v>
      </c>
      <c r="C108" s="86" t="str">
        <f>'Giá tháng'!C19</f>
        <v>Que hàn</v>
      </c>
      <c r="D108" s="85" t="str">
        <f>'Giá tháng'!D19</f>
        <v>kg</v>
      </c>
      <c r="E108" s="150"/>
      <c r="F108" s="135">
        <v>4.6399999999999997</v>
      </c>
      <c r="G108" s="136">
        <f>'Giá tháng'!G19</f>
        <v>1</v>
      </c>
      <c r="H108" s="150">
        <f>E104*F108*G108</f>
        <v>47.927023999999996</v>
      </c>
      <c r="S108" s="73">
        <v>1017</v>
      </c>
    </row>
    <row r="109" spans="1:19" ht="16.5" customHeight="1" x14ac:dyDescent="0.15">
      <c r="A109" s="84"/>
      <c r="B109" s="85"/>
      <c r="C109" s="145" t="s">
        <v>481</v>
      </c>
      <c r="D109" s="146"/>
      <c r="E109" s="147"/>
      <c r="F109" s="148"/>
      <c r="G109" s="149"/>
      <c r="H109" s="147"/>
    </row>
    <row r="110" spans="1:19" ht="16.5" customHeight="1" x14ac:dyDescent="0.15">
      <c r="A110" s="84"/>
      <c r="B110" s="85" t="str">
        <f>'Giá tháng'!B29</f>
        <v>N2.35</v>
      </c>
      <c r="C110" s="86" t="str">
        <f>'Giá tháng'!C29</f>
        <v>Nhân công 3,5/7 - Nhóm 2</v>
      </c>
      <c r="D110" s="85" t="str">
        <f>'Giá tháng'!D29</f>
        <v>công</v>
      </c>
      <c r="E110" s="150"/>
      <c r="F110" s="135">
        <v>7.67</v>
      </c>
      <c r="G110" s="136">
        <f>'Giá tháng'!G29</f>
        <v>1</v>
      </c>
      <c r="H110" s="150">
        <f>E104*F110*G110</f>
        <v>79.224197000000004</v>
      </c>
      <c r="S110" s="73">
        <v>203</v>
      </c>
    </row>
    <row r="111" spans="1:19" ht="16.5" customHeight="1" x14ac:dyDescent="0.15">
      <c r="A111" s="84"/>
      <c r="B111" s="85"/>
      <c r="C111" s="145" t="s">
        <v>482</v>
      </c>
      <c r="D111" s="146"/>
      <c r="E111" s="147"/>
      <c r="F111" s="148"/>
      <c r="G111" s="149"/>
      <c r="H111" s="147"/>
    </row>
    <row r="112" spans="1:19" ht="28.5" customHeight="1" x14ac:dyDescent="0.15">
      <c r="A112" s="84"/>
      <c r="B112" s="85" t="str">
        <f>'Giá tháng'!B45</f>
        <v>M112.4003</v>
      </c>
      <c r="C112" s="86" t="str">
        <f>'Giá tháng'!C45</f>
        <v>Máy hàn xoay chiều - công suất : 23,0 kW</v>
      </c>
      <c r="D112" s="85" t="str">
        <f>'Giá tháng'!D45</f>
        <v>ca</v>
      </c>
      <c r="E112" s="150"/>
      <c r="F112" s="135">
        <v>1.1200000000000001</v>
      </c>
      <c r="G112" s="136">
        <f>'Giá tháng'!G45</f>
        <v>1</v>
      </c>
      <c r="H112" s="150">
        <f>E104*F112*G112</f>
        <v>11.568592000000001</v>
      </c>
      <c r="S112" s="73">
        <v>3015</v>
      </c>
    </row>
    <row r="113" spans="1:19" ht="28.5" customHeight="1" x14ac:dyDescent="0.15">
      <c r="A113" s="84"/>
      <c r="B113" s="85" t="str">
        <f>'Giá tháng'!B38</f>
        <v>M112.2601</v>
      </c>
      <c r="C113" s="86" t="str">
        <f>'Giá tháng'!C38</f>
        <v>Máy cắt uốn cốt thép - công suất : 5,0 kW</v>
      </c>
      <c r="D113" s="85" t="str">
        <f>'Giá tháng'!D38</f>
        <v>ca</v>
      </c>
      <c r="E113" s="150"/>
      <c r="F113" s="135">
        <v>0.32</v>
      </c>
      <c r="G113" s="136">
        <f>'Giá tháng'!G38</f>
        <v>1</v>
      </c>
      <c r="H113" s="150">
        <f>E104*F113*G113</f>
        <v>3.3053120000000002</v>
      </c>
      <c r="S113" s="73">
        <v>308</v>
      </c>
    </row>
    <row r="114" spans="1:19" ht="28.5" customHeight="1" x14ac:dyDescent="0.15">
      <c r="A114" s="141">
        <f>'Công trình'!A67</f>
        <v>19</v>
      </c>
      <c r="B114" s="122" t="str">
        <f>'Công trình'!E67</f>
        <v>AF.82511</v>
      </c>
      <c r="C114" s="123" t="str">
        <f>'Công trình'!F67</f>
        <v>Ván khuôn thép. Ván khuôn móng dài</v>
      </c>
      <c r="D114" s="122" t="str">
        <f>'Công trình'!G67</f>
        <v>100m2</v>
      </c>
      <c r="E114" s="142">
        <f>'Công trình'!P67</f>
        <v>1.1599999999999999</v>
      </c>
      <c r="F114" s="143"/>
      <c r="G114" s="144"/>
      <c r="H114" s="142"/>
    </row>
    <row r="115" spans="1:19" ht="16.5" customHeight="1" x14ac:dyDescent="0.15">
      <c r="A115" s="84"/>
      <c r="B115" s="85"/>
      <c r="C115" s="145" t="s">
        <v>477</v>
      </c>
      <c r="D115" s="146"/>
      <c r="E115" s="147"/>
      <c r="F115" s="148"/>
      <c r="G115" s="149"/>
      <c r="H115" s="147"/>
    </row>
    <row r="116" spans="1:19" ht="16.5" customHeight="1" x14ac:dyDescent="0.15">
      <c r="A116" s="84"/>
      <c r="B116" s="85" t="str">
        <f>'Giá tháng'!B21</f>
        <v>A24.0726</v>
      </c>
      <c r="C116" s="86" t="str">
        <f>'Giá tháng'!C21</f>
        <v>Thép tấm</v>
      </c>
      <c r="D116" s="85" t="str">
        <f>'Giá tháng'!D21</f>
        <v>kg</v>
      </c>
      <c r="E116" s="150"/>
      <c r="F116" s="135">
        <v>51.81</v>
      </c>
      <c r="G116" s="136">
        <f>'Giá tháng'!G21</f>
        <v>1</v>
      </c>
      <c r="H116" s="150">
        <f>E114*F116*G116</f>
        <v>60.099599999999995</v>
      </c>
      <c r="Q116" s="73">
        <f>'Cước VC'!AV21</f>
        <v>0</v>
      </c>
      <c r="R116" s="73">
        <f>'Cước bộ'!W21</f>
        <v>0</v>
      </c>
      <c r="S116" s="73">
        <v>1019</v>
      </c>
    </row>
    <row r="117" spans="1:19" ht="16.5" customHeight="1" x14ac:dyDescent="0.15">
      <c r="A117" s="84"/>
      <c r="B117" s="85" t="str">
        <f>'Giá tháng'!B20</f>
        <v>A24.0712</v>
      </c>
      <c r="C117" s="86" t="str">
        <f>'Giá tháng'!C20</f>
        <v>Thép hình</v>
      </c>
      <c r="D117" s="85" t="str">
        <f>'Giá tháng'!D20</f>
        <v>kg</v>
      </c>
      <c r="E117" s="150"/>
      <c r="F117" s="135">
        <v>32.020000000000003</v>
      </c>
      <c r="G117" s="136">
        <f>'Giá tháng'!G20</f>
        <v>1</v>
      </c>
      <c r="H117" s="150">
        <f>E114*F117*G117</f>
        <v>37.1432</v>
      </c>
      <c r="Q117" s="73">
        <f>'Cước VC'!AV20</f>
        <v>0</v>
      </c>
      <c r="R117" s="73">
        <f>'Cước bộ'!W20</f>
        <v>0</v>
      </c>
      <c r="S117" s="73">
        <v>1018</v>
      </c>
    </row>
    <row r="118" spans="1:19" ht="16.5" customHeight="1" x14ac:dyDescent="0.15">
      <c r="A118" s="84"/>
      <c r="B118" s="85" t="str">
        <f>'Giá tháng'!B19</f>
        <v>A24.0543</v>
      </c>
      <c r="C118" s="86" t="str">
        <f>'Giá tháng'!C19</f>
        <v>Que hàn</v>
      </c>
      <c r="D118" s="85" t="str">
        <f>'Giá tháng'!D19</f>
        <v>kg</v>
      </c>
      <c r="E118" s="150"/>
      <c r="F118" s="135">
        <v>3.26</v>
      </c>
      <c r="G118" s="136">
        <f>'Giá tháng'!G19</f>
        <v>1</v>
      </c>
      <c r="H118" s="150">
        <f>E114*F118*G118</f>
        <v>3.7815999999999996</v>
      </c>
      <c r="Q118" s="73">
        <f>'Cước VC'!AV19</f>
        <v>0</v>
      </c>
      <c r="R118" s="73">
        <f>'Cước bộ'!W19</f>
        <v>0</v>
      </c>
      <c r="S118" s="73">
        <v>1017</v>
      </c>
    </row>
    <row r="119" spans="1:19" ht="16.5" customHeight="1" x14ac:dyDescent="0.15">
      <c r="A119" s="84"/>
      <c r="B119" s="85" t="s">
        <v>478</v>
      </c>
      <c r="C119" s="86" t="s">
        <v>479</v>
      </c>
      <c r="D119" s="85" t="s">
        <v>480</v>
      </c>
      <c r="E119" s="150"/>
      <c r="F119" s="135">
        <v>5</v>
      </c>
      <c r="G119" s="136"/>
      <c r="H119" s="150"/>
      <c r="M119" s="73">
        <f>E114*F119*(F116*'Giá tháng'!E21*'Giá tháng'!G21+F117*'Giá tháng'!E20*'Giá tháng'!G20+F118*'Giá tháng'!E19*'Giá tháng'!G19)/100</f>
        <v>98323.195000000007</v>
      </c>
      <c r="O119" s="73">
        <f>E114*F119*(F116*('Giá tháng'!F21+Q116+R116)*'Giá tháng'!G21+F117*('Giá tháng'!F20+Q117+R117)*'Giá tháng'!G20+F118*('Giá tháng'!F19+Q118+R118)*'Giá tháng'!G19)/100</f>
        <v>96135.231999999989</v>
      </c>
    </row>
    <row r="120" spans="1:19" ht="16.5" customHeight="1" x14ac:dyDescent="0.15">
      <c r="A120" s="84"/>
      <c r="B120" s="85"/>
      <c r="C120" s="145" t="s">
        <v>481</v>
      </c>
      <c r="D120" s="146"/>
      <c r="E120" s="147"/>
      <c r="F120" s="148"/>
      <c r="G120" s="149"/>
      <c r="H120" s="147"/>
    </row>
    <row r="121" spans="1:19" ht="16.5" customHeight="1" x14ac:dyDescent="0.15">
      <c r="A121" s="84"/>
      <c r="B121" s="85" t="str">
        <f>'Giá tháng'!B30</f>
        <v>N2.40</v>
      </c>
      <c r="C121" s="86" t="str">
        <f>'Giá tháng'!C30</f>
        <v>Nhân công 4,0/7 - Nhóm 2</v>
      </c>
      <c r="D121" s="85" t="str">
        <f>'Giá tháng'!D30</f>
        <v>công</v>
      </c>
      <c r="E121" s="150"/>
      <c r="F121" s="135">
        <v>12.25</v>
      </c>
      <c r="G121" s="136">
        <f>'Giá tháng'!G30</f>
        <v>1</v>
      </c>
      <c r="H121" s="150">
        <f>E114*F121*G121</f>
        <v>14.209999999999999</v>
      </c>
      <c r="S121" s="73">
        <v>204</v>
      </c>
    </row>
    <row r="122" spans="1:19" ht="16.5" customHeight="1" x14ac:dyDescent="0.15">
      <c r="A122" s="84"/>
      <c r="B122" s="85"/>
      <c r="C122" s="145" t="s">
        <v>482</v>
      </c>
      <c r="D122" s="146"/>
      <c r="E122" s="147"/>
      <c r="F122" s="148"/>
      <c r="G122" s="149"/>
      <c r="H122" s="147"/>
    </row>
    <row r="123" spans="1:19" ht="28.5" customHeight="1" x14ac:dyDescent="0.15">
      <c r="A123" s="84"/>
      <c r="B123" s="85" t="str">
        <f>'Giá tháng'!B45</f>
        <v>M112.4003</v>
      </c>
      <c r="C123" s="86" t="str">
        <f>'Giá tháng'!C45</f>
        <v>Máy hàn xoay chiều - công suất : 23,0 kW</v>
      </c>
      <c r="D123" s="85" t="str">
        <f>'Giá tháng'!D45</f>
        <v>ca</v>
      </c>
      <c r="E123" s="150"/>
      <c r="F123" s="135">
        <v>0.82</v>
      </c>
      <c r="G123" s="136">
        <f>'Giá tháng'!G45</f>
        <v>1</v>
      </c>
      <c r="H123" s="150">
        <f>E114*F123*G123</f>
        <v>0.95119999999999982</v>
      </c>
      <c r="S123" s="73">
        <v>3015</v>
      </c>
    </row>
    <row r="124" spans="1:19" ht="16.5" customHeight="1" x14ac:dyDescent="0.15">
      <c r="A124" s="84"/>
      <c r="B124" s="85" t="s">
        <v>483</v>
      </c>
      <c r="C124" s="86" t="s">
        <v>484</v>
      </c>
      <c r="D124" s="85" t="s">
        <v>480</v>
      </c>
      <c r="E124" s="150"/>
      <c r="F124" s="135">
        <v>2</v>
      </c>
      <c r="G124" s="136"/>
      <c r="H124" s="150"/>
      <c r="N124" s="73">
        <f>E114*F124*(F123*'Giá tháng'!E45*'Giá tháng'!G45)/100</f>
        <v>7832.1807999999992</v>
      </c>
      <c r="P124" s="73">
        <f>E114*F124*(F123*'Giá tháng'!F45*'Giá tháng'!G45)/100</f>
        <v>8512.9546399999981</v>
      </c>
    </row>
    <row r="125" spans="1:19" ht="53.25" customHeight="1" x14ac:dyDescent="0.15">
      <c r="A125" s="141">
        <f>'Công trình'!A69</f>
        <v>20</v>
      </c>
      <c r="B125" s="122" t="str">
        <f>'Công trình'!E69</f>
        <v>AF.11214A</v>
      </c>
      <c r="C125" s="123" t="str">
        <f>'Công trình'!F69</f>
        <v>Đổ bê tông thủ công bằng máy trộn, bê tông móng, chiều rộng &lt;= 250 cm, đá 1x2, mác 250, PCB30</v>
      </c>
      <c r="D125" s="122" t="str">
        <f>'Công trình'!G69</f>
        <v>m3</v>
      </c>
      <c r="E125" s="142">
        <f>'Công trình'!P69</f>
        <v>182.75</v>
      </c>
      <c r="F125" s="143"/>
      <c r="G125" s="144"/>
      <c r="H125" s="142"/>
    </row>
    <row r="126" spans="1:19" ht="16.5" customHeight="1" x14ac:dyDescent="0.15">
      <c r="A126" s="84"/>
      <c r="B126" s="85"/>
      <c r="C126" s="145" t="s">
        <v>477</v>
      </c>
      <c r="D126" s="146"/>
      <c r="E126" s="147"/>
      <c r="F126" s="148"/>
      <c r="G126" s="149"/>
      <c r="H126" s="147"/>
    </row>
    <row r="127" spans="1:19" ht="16.5" customHeight="1" x14ac:dyDescent="0.15">
      <c r="A127" s="84"/>
      <c r="B127" s="85" t="str">
        <f>'Giá tháng'!B25</f>
        <v>A24.0797A</v>
      </c>
      <c r="C127" s="86" t="str">
        <f>'Giá tháng'!C25</f>
        <v>Xi măng PCB30</v>
      </c>
      <c r="D127" s="85" t="str">
        <f>'Giá tháng'!D25</f>
        <v>kg</v>
      </c>
      <c r="E127" s="150"/>
      <c r="F127" s="135">
        <v>369</v>
      </c>
      <c r="G127" s="136">
        <f>'Giá tháng'!G25</f>
        <v>1</v>
      </c>
      <c r="H127" s="150">
        <f>E125*F127*G127</f>
        <v>67434.75</v>
      </c>
      <c r="Q127" s="73">
        <f>'Cước VC'!AV25</f>
        <v>0</v>
      </c>
      <c r="R127" s="73">
        <f>'Cước bộ'!W25</f>
        <v>0</v>
      </c>
      <c r="S127" s="73">
        <v>1023</v>
      </c>
    </row>
    <row r="128" spans="1:19" ht="16.5" customHeight="1" x14ac:dyDescent="0.15">
      <c r="A128" s="84"/>
      <c r="B128" s="85" t="str">
        <f>'Giá tháng'!B7</f>
        <v>A24.0180</v>
      </c>
      <c r="C128" s="86" t="str">
        <f>'Giá tháng'!C7</f>
        <v>Cát vàng</v>
      </c>
      <c r="D128" s="85" t="str">
        <f>'Giá tháng'!D7</f>
        <v>m3</v>
      </c>
      <c r="E128" s="150"/>
      <c r="F128" s="135">
        <v>0.517625</v>
      </c>
      <c r="G128" s="136">
        <f>'Giá tháng'!G7</f>
        <v>1</v>
      </c>
      <c r="H128" s="150">
        <f>E125*F128*G128</f>
        <v>94.595968749999997</v>
      </c>
      <c r="Q128" s="73">
        <f>'Cước VC'!AV7</f>
        <v>0</v>
      </c>
      <c r="R128" s="73">
        <f>'Cước bộ'!W7</f>
        <v>0</v>
      </c>
      <c r="S128" s="73">
        <v>105</v>
      </c>
    </row>
    <row r="129" spans="1:19" ht="16.5" customHeight="1" x14ac:dyDescent="0.15">
      <c r="A129" s="84"/>
      <c r="B129" s="85" t="str">
        <f>'Giá tháng'!B13</f>
        <v>A24.0008</v>
      </c>
      <c r="C129" s="86" t="str">
        <f>'Giá tháng'!C13</f>
        <v>Đá 1x2</v>
      </c>
      <c r="D129" s="85" t="str">
        <f>'Giá tháng'!D13</f>
        <v>m3</v>
      </c>
      <c r="E129" s="150"/>
      <c r="F129" s="135">
        <v>0.8528</v>
      </c>
      <c r="G129" s="136">
        <f>'Giá tháng'!G13</f>
        <v>1</v>
      </c>
      <c r="H129" s="150">
        <f>E125*F129*G129</f>
        <v>155.8492</v>
      </c>
      <c r="Q129" s="73">
        <f>'Cước VC'!AV13</f>
        <v>0</v>
      </c>
      <c r="R129" s="73">
        <f>'Cước bộ'!W13</f>
        <v>0</v>
      </c>
      <c r="S129" s="73">
        <v>1011</v>
      </c>
    </row>
    <row r="130" spans="1:19" ht="16.5" customHeight="1" x14ac:dyDescent="0.15">
      <c r="A130" s="84"/>
      <c r="B130" s="85" t="str">
        <f>'Giá tháng'!B15</f>
        <v>A24.0524</v>
      </c>
      <c r="C130" s="86" t="str">
        <f>'Giá tháng'!C15</f>
        <v>Nước</v>
      </c>
      <c r="D130" s="85" t="str">
        <f>'Giá tháng'!D15</f>
        <v>lít</v>
      </c>
      <c r="E130" s="150"/>
      <c r="F130" s="135">
        <v>187.57499999999999</v>
      </c>
      <c r="G130" s="136">
        <f>'Giá tháng'!G15</f>
        <v>1</v>
      </c>
      <c r="H130" s="150">
        <f>E125*F130*G130</f>
        <v>34279.331249999996</v>
      </c>
      <c r="Q130" s="73">
        <f>'Cước VC'!AV15</f>
        <v>0</v>
      </c>
      <c r="R130" s="73">
        <f>'Cước bộ'!W15</f>
        <v>0</v>
      </c>
      <c r="S130" s="73">
        <v>1013</v>
      </c>
    </row>
    <row r="131" spans="1:19" ht="16.5" customHeight="1" x14ac:dyDescent="0.15">
      <c r="A131" s="84"/>
      <c r="B131" s="85" t="s">
        <v>478</v>
      </c>
      <c r="C131" s="86" t="s">
        <v>479</v>
      </c>
      <c r="D131" s="85" t="s">
        <v>480</v>
      </c>
      <c r="E131" s="150"/>
      <c r="F131" s="135">
        <v>1</v>
      </c>
      <c r="G131" s="136"/>
      <c r="H131" s="150"/>
      <c r="M131" s="73">
        <f>E125*F131*(F127*'Giá tháng'!E25*'Giá tháng'!G25+F128*'Giá tháng'!E7*'Giá tháng'!G7+F129*'Giá tháng'!E13*'Giá tháng'!G13+F130*'Giá tháng'!E15*'Giá tháng'!G15)/100</f>
        <v>1859112.369125</v>
      </c>
      <c r="O131" s="73">
        <f>E125*F131*(F127*('Giá tháng'!F25+Q127+R127)*'Giá tháng'!G25+F128*('Giá tháng'!F7+Q128+R128)*'Giá tháng'!G7+F129*('Giá tháng'!F13+Q129+R129)*'Giá tháng'!G13+F130*('Giá tháng'!F15+Q130+R130)*'Giá tháng'!G15)/100</f>
        <v>2523007.4828749998</v>
      </c>
    </row>
    <row r="132" spans="1:19" ht="16.5" customHeight="1" x14ac:dyDescent="0.15">
      <c r="A132" s="84"/>
      <c r="B132" s="85"/>
      <c r="C132" s="145" t="s">
        <v>481</v>
      </c>
      <c r="D132" s="146"/>
      <c r="E132" s="147"/>
      <c r="F132" s="148"/>
      <c r="G132" s="149"/>
      <c r="H132" s="147"/>
    </row>
    <row r="133" spans="1:19" ht="16.5" customHeight="1" x14ac:dyDescent="0.15">
      <c r="A133" s="84"/>
      <c r="B133" s="85" t="str">
        <f>'Giá tháng'!B28</f>
        <v>N2.30</v>
      </c>
      <c r="C133" s="86" t="str">
        <f>'Giá tháng'!C28</f>
        <v>Nhân công 3,0/7 - Nhóm 2</v>
      </c>
      <c r="D133" s="85" t="str">
        <f>'Giá tháng'!D28</f>
        <v>công</v>
      </c>
      <c r="E133" s="150"/>
      <c r="F133" s="135">
        <v>1.23</v>
      </c>
      <c r="G133" s="136">
        <f>'Giá tháng'!G28</f>
        <v>1</v>
      </c>
      <c r="H133" s="150">
        <f>E125*F133*G133</f>
        <v>224.7825</v>
      </c>
      <c r="S133" s="73">
        <v>202</v>
      </c>
    </row>
    <row r="134" spans="1:19" ht="16.5" customHeight="1" x14ac:dyDescent="0.15">
      <c r="A134" s="84"/>
      <c r="B134" s="85"/>
      <c r="C134" s="145" t="s">
        <v>482</v>
      </c>
      <c r="D134" s="146"/>
      <c r="E134" s="147"/>
      <c r="F134" s="148"/>
      <c r="G134" s="149"/>
      <c r="H134" s="147"/>
    </row>
    <row r="135" spans="1:19" ht="28.5" customHeight="1" x14ac:dyDescent="0.15">
      <c r="A135" s="84"/>
      <c r="B135" s="85" t="str">
        <f>'Giá tháng'!B47</f>
        <v>M104.0102</v>
      </c>
      <c r="C135" s="86" t="str">
        <f>'Giá tháng'!C47</f>
        <v>Máy trộn bê tông - dung tích : 250,0 lít</v>
      </c>
      <c r="D135" s="85" t="str">
        <f>'Giá tháng'!D47</f>
        <v>ca</v>
      </c>
      <c r="E135" s="150"/>
      <c r="F135" s="135">
        <v>9.5000000000000001E-2</v>
      </c>
      <c r="G135" s="136">
        <f>'Giá tháng'!G47</f>
        <v>1</v>
      </c>
      <c r="H135" s="150">
        <f>E125*F135*G135</f>
        <v>17.361250000000002</v>
      </c>
      <c r="S135" s="73">
        <v>3017</v>
      </c>
    </row>
    <row r="136" spans="1:19" ht="28.5" customHeight="1" x14ac:dyDescent="0.15">
      <c r="A136" s="84"/>
      <c r="B136" s="85" t="str">
        <f>'Giá tháng'!B42</f>
        <v>M112.1301</v>
      </c>
      <c r="C136" s="86" t="str">
        <f>'Giá tháng'!C42</f>
        <v>Máy đầm bê tông, dầm dùi - công suất : 1,5 kW</v>
      </c>
      <c r="D136" s="85" t="str">
        <f>'Giá tháng'!D42</f>
        <v>ca</v>
      </c>
      <c r="E136" s="150"/>
      <c r="F136" s="135">
        <v>8.8999999999999996E-2</v>
      </c>
      <c r="G136" s="136">
        <f>'Giá tháng'!G42</f>
        <v>1</v>
      </c>
      <c r="H136" s="150">
        <f>E125*F136*G136</f>
        <v>16.264749999999999</v>
      </c>
      <c r="S136" s="73">
        <v>3012</v>
      </c>
    </row>
    <row r="137" spans="1:19" ht="53.25" customHeight="1" x14ac:dyDescent="0.15">
      <c r="A137" s="141">
        <f>'Công trình'!A72</f>
        <v>21</v>
      </c>
      <c r="B137" s="122" t="str">
        <f>'Công trình'!E72</f>
        <v>AF.61311</v>
      </c>
      <c r="C137" s="123" t="str">
        <f>'Công trình'!F72</f>
        <v>Công tác gia công lắp dựng cốt thép. Cốt thép tường, đường kính cốt thép &lt;= 10mm, chiều cao &lt;= 6m</v>
      </c>
      <c r="D137" s="122" t="str">
        <f>'Công trình'!G72</f>
        <v>tấn</v>
      </c>
      <c r="E137" s="142">
        <f>'Công trình'!P72</f>
        <v>22.322500000000002</v>
      </c>
      <c r="F137" s="143"/>
      <c r="G137" s="144"/>
      <c r="H137" s="142"/>
    </row>
    <row r="138" spans="1:19" ht="16.5" customHeight="1" x14ac:dyDescent="0.15">
      <c r="A138" s="84"/>
      <c r="B138" s="85"/>
      <c r="C138" s="145" t="s">
        <v>477</v>
      </c>
      <c r="D138" s="146"/>
      <c r="E138" s="147"/>
      <c r="F138" s="148"/>
      <c r="G138" s="149"/>
      <c r="H138" s="147"/>
    </row>
    <row r="139" spans="1:19" ht="16.5" customHeight="1" x14ac:dyDescent="0.15">
      <c r="A139" s="84"/>
      <c r="B139" s="85" t="str">
        <f>'Giá tháng'!B22</f>
        <v>A24.0738</v>
      </c>
      <c r="C139" s="86" t="str">
        <f>'Giá tháng'!C22</f>
        <v>Thép tròn D&lt;=10mm</v>
      </c>
      <c r="D139" s="85" t="str">
        <f>'Giá tháng'!D22</f>
        <v>kg</v>
      </c>
      <c r="E139" s="150"/>
      <c r="F139" s="135">
        <v>1005</v>
      </c>
      <c r="G139" s="136">
        <f>'Giá tháng'!G22</f>
        <v>1</v>
      </c>
      <c r="H139" s="150">
        <f>E137*F139*G139</f>
        <v>22434.112500000003</v>
      </c>
      <c r="S139" s="73">
        <v>1020</v>
      </c>
    </row>
    <row r="140" spans="1:19" ht="16.5" customHeight="1" x14ac:dyDescent="0.15">
      <c r="A140" s="84"/>
      <c r="B140" s="85" t="str">
        <f>'Giá tháng'!B12</f>
        <v>A24.0293</v>
      </c>
      <c r="C140" s="86" t="str">
        <f>'Giá tháng'!C12</f>
        <v>Dây thép</v>
      </c>
      <c r="D140" s="85" t="str">
        <f>'Giá tháng'!D12</f>
        <v>kg</v>
      </c>
      <c r="E140" s="150"/>
      <c r="F140" s="135">
        <v>16.07</v>
      </c>
      <c r="G140" s="136">
        <f>'Giá tháng'!G12</f>
        <v>1</v>
      </c>
      <c r="H140" s="150">
        <f>E137*F140*G140</f>
        <v>358.72257500000001</v>
      </c>
      <c r="S140" s="73">
        <v>1010</v>
      </c>
    </row>
    <row r="141" spans="1:19" ht="16.5" customHeight="1" x14ac:dyDescent="0.15">
      <c r="A141" s="84"/>
      <c r="B141" s="85"/>
      <c r="C141" s="145" t="s">
        <v>481</v>
      </c>
      <c r="D141" s="146"/>
      <c r="E141" s="147"/>
      <c r="F141" s="148"/>
      <c r="G141" s="149"/>
      <c r="H141" s="147"/>
    </row>
    <row r="142" spans="1:19" ht="16.5" customHeight="1" x14ac:dyDescent="0.15">
      <c r="A142" s="84"/>
      <c r="B142" s="85" t="str">
        <f>'Giá tháng'!B29</f>
        <v>N2.35</v>
      </c>
      <c r="C142" s="86" t="str">
        <f>'Giá tháng'!C29</f>
        <v>Nhân công 3,5/7 - Nhóm 2</v>
      </c>
      <c r="D142" s="85" t="str">
        <f>'Giá tháng'!D29</f>
        <v>công</v>
      </c>
      <c r="E142" s="150"/>
      <c r="F142" s="135">
        <v>12.95</v>
      </c>
      <c r="G142" s="136">
        <f>'Giá tháng'!G29</f>
        <v>1</v>
      </c>
      <c r="H142" s="150">
        <f>E137*F142*G142</f>
        <v>289.07637499999998</v>
      </c>
      <c r="S142" s="73">
        <v>203</v>
      </c>
    </row>
    <row r="143" spans="1:19" ht="16.5" customHeight="1" x14ac:dyDescent="0.15">
      <c r="A143" s="84"/>
      <c r="B143" s="85"/>
      <c r="C143" s="145" t="s">
        <v>482</v>
      </c>
      <c r="D143" s="146"/>
      <c r="E143" s="147"/>
      <c r="F143" s="148"/>
      <c r="G143" s="149"/>
      <c r="H143" s="147"/>
    </row>
    <row r="144" spans="1:19" ht="28.5" customHeight="1" x14ac:dyDescent="0.15">
      <c r="A144" s="84"/>
      <c r="B144" s="85" t="str">
        <f>'Giá tháng'!B38</f>
        <v>M112.2601</v>
      </c>
      <c r="C144" s="86" t="str">
        <f>'Giá tháng'!C38</f>
        <v>Máy cắt uốn cốt thép - công suất : 5,0 kW</v>
      </c>
      <c r="D144" s="85" t="str">
        <f>'Giá tháng'!D38</f>
        <v>ca</v>
      </c>
      <c r="E144" s="150"/>
      <c r="F144" s="135">
        <v>0.4</v>
      </c>
      <c r="G144" s="136">
        <f>'Giá tháng'!G38</f>
        <v>1</v>
      </c>
      <c r="H144" s="150">
        <f>E137*F144*G144</f>
        <v>8.9290000000000003</v>
      </c>
      <c r="S144" s="73">
        <v>308</v>
      </c>
    </row>
    <row r="145" spans="1:19" ht="53.25" customHeight="1" x14ac:dyDescent="0.15">
      <c r="A145" s="141">
        <f>'Công trình'!A74</f>
        <v>22</v>
      </c>
      <c r="B145" s="122" t="str">
        <f>'Công trình'!E74</f>
        <v>AF.86211</v>
      </c>
      <c r="C145" s="123" t="str">
        <f>'Công trình'!F74</f>
        <v>Ván khuôn thép, khung xương thép, cột chống bằng thép ống. Ván khuôn tường, chiều cao &lt;= 28m</v>
      </c>
      <c r="D145" s="122" t="str">
        <f>'Công trình'!G74</f>
        <v>100m2</v>
      </c>
      <c r="E145" s="142">
        <f>'Công trình'!P74</f>
        <v>21.625</v>
      </c>
      <c r="F145" s="143"/>
      <c r="G145" s="144"/>
      <c r="H145" s="142"/>
    </row>
    <row r="146" spans="1:19" ht="16.5" customHeight="1" x14ac:dyDescent="0.15">
      <c r="A146" s="84"/>
      <c r="B146" s="85"/>
      <c r="C146" s="145" t="s">
        <v>477</v>
      </c>
      <c r="D146" s="146"/>
      <c r="E146" s="147"/>
      <c r="F146" s="148"/>
      <c r="G146" s="149"/>
      <c r="H146" s="147"/>
    </row>
    <row r="147" spans="1:19" ht="16.5" customHeight="1" x14ac:dyDescent="0.15">
      <c r="A147" s="84"/>
      <c r="B147" s="85" t="str">
        <f>'Giá tháng'!B21</f>
        <v>A24.0726</v>
      </c>
      <c r="C147" s="86" t="str">
        <f>'Giá tháng'!C21</f>
        <v>Thép tấm</v>
      </c>
      <c r="D147" s="85" t="str">
        <f>'Giá tháng'!D21</f>
        <v>kg</v>
      </c>
      <c r="E147" s="150"/>
      <c r="F147" s="135">
        <v>51.81</v>
      </c>
      <c r="G147" s="136">
        <f>'Giá tháng'!G21</f>
        <v>1</v>
      </c>
      <c r="H147" s="150">
        <f>E145*F147*G147</f>
        <v>1120.3912500000001</v>
      </c>
      <c r="Q147" s="73">
        <f>'Cước VC'!AV21</f>
        <v>0</v>
      </c>
      <c r="R147" s="73">
        <f>'Cước bộ'!W21</f>
        <v>0</v>
      </c>
      <c r="S147" s="73">
        <v>1019</v>
      </c>
    </row>
    <row r="148" spans="1:19" ht="16.5" customHeight="1" x14ac:dyDescent="0.15">
      <c r="A148" s="84"/>
      <c r="B148" s="85" t="str">
        <f>'Giá tháng'!B20</f>
        <v>A24.0712</v>
      </c>
      <c r="C148" s="86" t="str">
        <f>'Giá tháng'!C20</f>
        <v>Thép hình</v>
      </c>
      <c r="D148" s="85" t="str">
        <f>'Giá tháng'!D20</f>
        <v>kg</v>
      </c>
      <c r="E148" s="150"/>
      <c r="F148" s="135">
        <v>48.84</v>
      </c>
      <c r="G148" s="136">
        <f>'Giá tháng'!G20</f>
        <v>1</v>
      </c>
      <c r="H148" s="150">
        <f>E145*F148*G148</f>
        <v>1056.165</v>
      </c>
      <c r="Q148" s="73">
        <f>'Cước VC'!AV20</f>
        <v>0</v>
      </c>
      <c r="R148" s="73">
        <f>'Cước bộ'!W20</f>
        <v>0</v>
      </c>
      <c r="S148" s="73">
        <v>1018</v>
      </c>
    </row>
    <row r="149" spans="1:19" ht="16.5" customHeight="1" x14ac:dyDescent="0.15">
      <c r="A149" s="84"/>
      <c r="B149" s="85" t="str">
        <f>'Giá tháng'!B11</f>
        <v>A24.0262</v>
      </c>
      <c r="C149" s="86" t="str">
        <f>'Giá tháng'!C11</f>
        <v>Cột chống thép ống</v>
      </c>
      <c r="D149" s="85" t="str">
        <f>'Giá tháng'!D11</f>
        <v>kg</v>
      </c>
      <c r="E149" s="150"/>
      <c r="F149" s="135">
        <v>38.130000000000003</v>
      </c>
      <c r="G149" s="136">
        <f>'Giá tháng'!G11</f>
        <v>1</v>
      </c>
      <c r="H149" s="150">
        <f>E145*F149*G149</f>
        <v>824.56125000000009</v>
      </c>
      <c r="Q149" s="73">
        <f>'Cước VC'!AV11</f>
        <v>0</v>
      </c>
      <c r="R149" s="73">
        <f>'Cước bộ'!W11</f>
        <v>0</v>
      </c>
      <c r="S149" s="73">
        <v>109</v>
      </c>
    </row>
    <row r="150" spans="1:19" ht="16.5" customHeight="1" x14ac:dyDescent="0.15">
      <c r="A150" s="84"/>
      <c r="B150" s="85" t="str">
        <f>'Giá tháng'!B19</f>
        <v>A24.0543</v>
      </c>
      <c r="C150" s="86" t="str">
        <f>'Giá tháng'!C19</f>
        <v>Que hàn</v>
      </c>
      <c r="D150" s="85" t="str">
        <f>'Giá tháng'!D19</f>
        <v>kg</v>
      </c>
      <c r="E150" s="150"/>
      <c r="F150" s="135">
        <v>5.6</v>
      </c>
      <c r="G150" s="136">
        <f>'Giá tháng'!G19</f>
        <v>1</v>
      </c>
      <c r="H150" s="150">
        <f>E145*F150*G150</f>
        <v>121.1</v>
      </c>
      <c r="Q150" s="73">
        <f>'Cước VC'!AV19</f>
        <v>0</v>
      </c>
      <c r="R150" s="73">
        <f>'Cước bộ'!W19</f>
        <v>0</v>
      </c>
      <c r="S150" s="73">
        <v>1017</v>
      </c>
    </row>
    <row r="151" spans="1:19" ht="16.5" customHeight="1" x14ac:dyDescent="0.15">
      <c r="A151" s="84"/>
      <c r="B151" s="85" t="s">
        <v>478</v>
      </c>
      <c r="C151" s="86" t="s">
        <v>479</v>
      </c>
      <c r="D151" s="85" t="s">
        <v>480</v>
      </c>
      <c r="E151" s="150"/>
      <c r="F151" s="135">
        <v>5</v>
      </c>
      <c r="G151" s="136"/>
      <c r="H151" s="150"/>
      <c r="M151" s="73">
        <f>E145*F151*(F147*'Giá tháng'!E21*'Giá tháng'!G21+F148*'Giá tháng'!E20*'Giá tháng'!G20+F149*'Giá tháng'!E11*'Giá tháng'!G11+F150*'Giá tháng'!E19*'Giá tháng'!G19)/100</f>
        <v>2766897.1358124996</v>
      </c>
      <c r="O151" s="73">
        <f>E145*F151*(F147*('Giá tháng'!F21+Q147+R147)*'Giá tháng'!G21+F148*('Giá tháng'!F20+Q148+R148)*'Giá tháng'!G20+F149*('Giá tháng'!F11+Q149+R149)*'Giá tháng'!G11+F150*('Giá tháng'!F19+Q150+R150)*'Giá tháng'!G19)/100</f>
        <v>2717924.6201874996</v>
      </c>
    </row>
    <row r="152" spans="1:19" ht="16.5" customHeight="1" x14ac:dyDescent="0.15">
      <c r="A152" s="84"/>
      <c r="B152" s="85"/>
      <c r="C152" s="145" t="s">
        <v>481</v>
      </c>
      <c r="D152" s="146"/>
      <c r="E152" s="147"/>
      <c r="F152" s="148"/>
      <c r="G152" s="149"/>
      <c r="H152" s="147"/>
    </row>
    <row r="153" spans="1:19" ht="16.5" customHeight="1" x14ac:dyDescent="0.15">
      <c r="A153" s="84"/>
      <c r="B153" s="85" t="str">
        <f>'Giá tháng'!B30</f>
        <v>N2.40</v>
      </c>
      <c r="C153" s="86" t="str">
        <f>'Giá tháng'!C30</f>
        <v>Nhân công 4,0/7 - Nhóm 2</v>
      </c>
      <c r="D153" s="85" t="str">
        <f>'Giá tháng'!D30</f>
        <v>công</v>
      </c>
      <c r="E153" s="150"/>
      <c r="F153" s="135">
        <v>28.5</v>
      </c>
      <c r="G153" s="136">
        <f>'Giá tháng'!G30</f>
        <v>1</v>
      </c>
      <c r="H153" s="150">
        <f>E145*F153*G153</f>
        <v>616.3125</v>
      </c>
      <c r="S153" s="73">
        <v>204</v>
      </c>
    </row>
    <row r="154" spans="1:19" ht="16.5" customHeight="1" x14ac:dyDescent="0.15">
      <c r="A154" s="84"/>
      <c r="B154" s="85"/>
      <c r="C154" s="145" t="s">
        <v>482</v>
      </c>
      <c r="D154" s="146"/>
      <c r="E154" s="147"/>
      <c r="F154" s="148"/>
      <c r="G154" s="149"/>
      <c r="H154" s="147"/>
    </row>
    <row r="155" spans="1:19" ht="28.5" customHeight="1" x14ac:dyDescent="0.15">
      <c r="A155" s="84"/>
      <c r="B155" s="85" t="str">
        <f>'Giá tháng'!B45</f>
        <v>M112.4003</v>
      </c>
      <c r="C155" s="86" t="str">
        <f>'Giá tháng'!C45</f>
        <v>Máy hàn xoay chiều - công suất : 23,0 kW</v>
      </c>
      <c r="D155" s="85" t="str">
        <f>'Giá tháng'!D45</f>
        <v>ca</v>
      </c>
      <c r="E155" s="150"/>
      <c r="F155" s="135">
        <v>1.5</v>
      </c>
      <c r="G155" s="136">
        <f>'Giá tháng'!G45</f>
        <v>1</v>
      </c>
      <c r="H155" s="150">
        <f>E145*F155*G155</f>
        <v>32.4375</v>
      </c>
      <c r="S155" s="73">
        <v>3015</v>
      </c>
    </row>
    <row r="156" spans="1:19" ht="28.5" customHeight="1" x14ac:dyDescent="0.15">
      <c r="A156" s="84"/>
      <c r="B156" s="85" t="str">
        <f>'Giá tháng'!B49</f>
        <v>M102.1001</v>
      </c>
      <c r="C156" s="86" t="str">
        <f>'Giá tháng'!C49</f>
        <v>Máy vận thăng lồng - sức nâng : 3,0 T</v>
      </c>
      <c r="D156" s="85" t="str">
        <f>'Giá tháng'!D49</f>
        <v>ca</v>
      </c>
      <c r="E156" s="150"/>
      <c r="F156" s="135">
        <v>0.12</v>
      </c>
      <c r="G156" s="136">
        <f>'Giá tháng'!G49</f>
        <v>1</v>
      </c>
      <c r="H156" s="150">
        <f>E145*F156*G156</f>
        <v>2.5949999999999998</v>
      </c>
      <c r="S156" s="73">
        <v>3019</v>
      </c>
    </row>
    <row r="157" spans="1:19" ht="28.5" customHeight="1" x14ac:dyDescent="0.15">
      <c r="A157" s="84"/>
      <c r="B157" s="85" t="str">
        <f>'Giá tháng'!B35</f>
        <v>M102.0406</v>
      </c>
      <c r="C157" s="86" t="str">
        <f>'Giá tháng'!C35</f>
        <v>Cần trục tháp - sức nâng : 25,0 T</v>
      </c>
      <c r="D157" s="85" t="str">
        <f>'Giá tháng'!D35</f>
        <v>ca</v>
      </c>
      <c r="E157" s="150"/>
      <c r="F157" s="135">
        <v>0.12</v>
      </c>
      <c r="G157" s="136">
        <f>'Giá tháng'!G35</f>
        <v>1</v>
      </c>
      <c r="H157" s="150">
        <f>E145*F157*G157</f>
        <v>2.5949999999999998</v>
      </c>
      <c r="S157" s="73">
        <v>305</v>
      </c>
    </row>
    <row r="158" spans="1:19" ht="16.5" customHeight="1" x14ac:dyDescent="0.15">
      <c r="A158" s="84"/>
      <c r="B158" s="85" t="s">
        <v>483</v>
      </c>
      <c r="C158" s="86" t="s">
        <v>484</v>
      </c>
      <c r="D158" s="85" t="s">
        <v>480</v>
      </c>
      <c r="E158" s="150"/>
      <c r="F158" s="135">
        <v>2</v>
      </c>
      <c r="G158" s="136"/>
      <c r="H158" s="150"/>
      <c r="N158" s="73">
        <f>E145*F158*(F155*'Giá tháng'!E45*'Giá tháng'!G45+F156*'Giá tháng'!E49*'Giá tháng'!G49+F157*'Giá tháng'!E35*'Giá tháng'!G35)/100</f>
        <v>467660.3642999999</v>
      </c>
      <c r="P158" s="73">
        <f>E145*F158*(F155*'Giá tháng'!F45*'Giá tháng'!G45+F156*'Giá tháng'!F49*'Giá tháng'!G49+F157*'Giá tháng'!F35*'Giá tháng'!G35)/100</f>
        <v>496731.34484999999</v>
      </c>
    </row>
    <row r="159" spans="1:19" ht="66" customHeight="1" x14ac:dyDescent="0.15">
      <c r="A159" s="141">
        <f>'Công trình'!A76</f>
        <v>23</v>
      </c>
      <c r="B159" s="122" t="str">
        <f>'Công trình'!E76</f>
        <v>AF.12114A</v>
      </c>
      <c r="C159" s="123" t="str">
        <f>'Công trình'!F76</f>
        <v>Đổ bê tông thủ công bằng máy trộn, bê tông tường chiều dày &lt;= 45cm, chiều cao &lt;= 6m, đá 1x2, mác 250, PCB30</v>
      </c>
      <c r="D159" s="122" t="str">
        <f>'Công trình'!G76</f>
        <v>m3</v>
      </c>
      <c r="E159" s="142">
        <f>'Công trình'!P76</f>
        <v>280.1925</v>
      </c>
      <c r="F159" s="143"/>
      <c r="G159" s="144"/>
      <c r="H159" s="142"/>
    </row>
    <row r="160" spans="1:19" ht="16.5" customHeight="1" x14ac:dyDescent="0.15">
      <c r="A160" s="84"/>
      <c r="B160" s="85"/>
      <c r="C160" s="145" t="s">
        <v>477</v>
      </c>
      <c r="D160" s="146"/>
      <c r="E160" s="147"/>
      <c r="F160" s="148"/>
      <c r="G160" s="149"/>
      <c r="H160" s="147"/>
    </row>
    <row r="161" spans="1:19" ht="16.5" customHeight="1" x14ac:dyDescent="0.15">
      <c r="A161" s="84"/>
      <c r="B161" s="85" t="str">
        <f>'Giá tháng'!B25</f>
        <v>A24.0797A</v>
      </c>
      <c r="C161" s="86" t="str">
        <f>'Giá tháng'!C25</f>
        <v>Xi măng PCB30</v>
      </c>
      <c r="D161" s="85" t="str">
        <f>'Giá tháng'!D25</f>
        <v>kg</v>
      </c>
      <c r="E161" s="150"/>
      <c r="F161" s="135">
        <v>369</v>
      </c>
      <c r="G161" s="136">
        <f>'Giá tháng'!G25</f>
        <v>1</v>
      </c>
      <c r="H161" s="150">
        <f>E159*F161*G161</f>
        <v>103391.0325</v>
      </c>
      <c r="Q161" s="73">
        <f>'Cước VC'!AV25</f>
        <v>0</v>
      </c>
      <c r="R161" s="73">
        <f>'Cước bộ'!W25</f>
        <v>0</v>
      </c>
      <c r="S161" s="73">
        <v>1023</v>
      </c>
    </row>
    <row r="162" spans="1:19" ht="16.5" customHeight="1" x14ac:dyDescent="0.15">
      <c r="A162" s="84"/>
      <c r="B162" s="85" t="str">
        <f>'Giá tháng'!B7</f>
        <v>A24.0180</v>
      </c>
      <c r="C162" s="86" t="str">
        <f>'Giá tháng'!C7</f>
        <v>Cát vàng</v>
      </c>
      <c r="D162" s="85" t="str">
        <f>'Giá tháng'!D7</f>
        <v>m3</v>
      </c>
      <c r="E162" s="150"/>
      <c r="F162" s="135">
        <v>0.517625</v>
      </c>
      <c r="G162" s="136">
        <f>'Giá tháng'!G7</f>
        <v>1</v>
      </c>
      <c r="H162" s="150">
        <f>E159*F162*G162</f>
        <v>145.03464281250001</v>
      </c>
      <c r="Q162" s="73">
        <f>'Cước VC'!AV7</f>
        <v>0</v>
      </c>
      <c r="R162" s="73">
        <f>'Cước bộ'!W7</f>
        <v>0</v>
      </c>
      <c r="S162" s="73">
        <v>105</v>
      </c>
    </row>
    <row r="163" spans="1:19" ht="16.5" customHeight="1" x14ac:dyDescent="0.15">
      <c r="A163" s="84"/>
      <c r="B163" s="85" t="str">
        <f>'Giá tháng'!B13</f>
        <v>A24.0008</v>
      </c>
      <c r="C163" s="86" t="str">
        <f>'Giá tháng'!C13</f>
        <v>Đá 1x2</v>
      </c>
      <c r="D163" s="85" t="str">
        <f>'Giá tháng'!D13</f>
        <v>m3</v>
      </c>
      <c r="E163" s="150"/>
      <c r="F163" s="135">
        <v>0.8528</v>
      </c>
      <c r="G163" s="136">
        <f>'Giá tháng'!G13</f>
        <v>1</v>
      </c>
      <c r="H163" s="150">
        <f>E159*F163*G163</f>
        <v>238.94816399999999</v>
      </c>
      <c r="Q163" s="73">
        <f>'Cước VC'!AV13</f>
        <v>0</v>
      </c>
      <c r="R163" s="73">
        <f>'Cước bộ'!W13</f>
        <v>0</v>
      </c>
      <c r="S163" s="73">
        <v>1011</v>
      </c>
    </row>
    <row r="164" spans="1:19" ht="16.5" customHeight="1" x14ac:dyDescent="0.15">
      <c r="A164" s="84"/>
      <c r="B164" s="85" t="str">
        <f>'Giá tháng'!B15</f>
        <v>A24.0524</v>
      </c>
      <c r="C164" s="86" t="str">
        <f>'Giá tháng'!C15</f>
        <v>Nước</v>
      </c>
      <c r="D164" s="85" t="str">
        <f>'Giá tháng'!D15</f>
        <v>lít</v>
      </c>
      <c r="E164" s="150"/>
      <c r="F164" s="135">
        <v>187.57499999999999</v>
      </c>
      <c r="G164" s="136">
        <f>'Giá tháng'!G15</f>
        <v>1</v>
      </c>
      <c r="H164" s="150">
        <f>E159*F164*G164</f>
        <v>52557.108187499995</v>
      </c>
      <c r="Q164" s="73">
        <f>'Cước VC'!AV15</f>
        <v>0</v>
      </c>
      <c r="R164" s="73">
        <f>'Cước bộ'!W15</f>
        <v>0</v>
      </c>
      <c r="S164" s="73">
        <v>1013</v>
      </c>
    </row>
    <row r="165" spans="1:19" ht="16.5" customHeight="1" x14ac:dyDescent="0.15">
      <c r="A165" s="84"/>
      <c r="B165" s="85" t="s">
        <v>478</v>
      </c>
      <c r="C165" s="86" t="s">
        <v>479</v>
      </c>
      <c r="D165" s="85" t="s">
        <v>480</v>
      </c>
      <c r="E165" s="150"/>
      <c r="F165" s="135">
        <v>5</v>
      </c>
      <c r="G165" s="136"/>
      <c r="H165" s="150"/>
      <c r="M165" s="73">
        <f>E159*F165*(F161*'Giá tháng'!E25*'Giá tháng'!G25+F162*'Giá tháng'!E7*'Giá tháng'!G7+F163*'Giá tháng'!E13*'Giá tháng'!G13+F164*'Giá tháng'!E15*'Giá tháng'!G15)/100</f>
        <v>14251965.594693752</v>
      </c>
      <c r="O165" s="73">
        <f>E159*F165*(F161*('Giá tháng'!F25+Q161+R161)*'Giá tháng'!G25+F162*('Giá tháng'!F7+Q162+R162)*'Giá tháng'!G7+F163*('Giá tháng'!F13+Q163+R163)*'Giá tháng'!G13+F164*('Giá tháng'!F15+Q164+R164)*'Giá tháng'!G15)/100</f>
        <v>19341389.169506248</v>
      </c>
    </row>
    <row r="166" spans="1:19" ht="16.5" customHeight="1" x14ac:dyDescent="0.15">
      <c r="A166" s="84"/>
      <c r="B166" s="85"/>
      <c r="C166" s="145" t="s">
        <v>481</v>
      </c>
      <c r="D166" s="146"/>
      <c r="E166" s="147"/>
      <c r="F166" s="148"/>
      <c r="G166" s="149"/>
      <c r="H166" s="147"/>
    </row>
    <row r="167" spans="1:19" ht="16.5" customHeight="1" x14ac:dyDescent="0.15">
      <c r="A167" s="84"/>
      <c r="B167" s="85" t="str">
        <f>'Giá tháng'!B29</f>
        <v>N2.35</v>
      </c>
      <c r="C167" s="86" t="str">
        <f>'Giá tháng'!C29</f>
        <v>Nhân công 3,5/7 - Nhóm 2</v>
      </c>
      <c r="D167" s="85" t="str">
        <f>'Giá tháng'!D29</f>
        <v>công</v>
      </c>
      <c r="E167" s="150"/>
      <c r="F167" s="135">
        <v>2.4900000000000002</v>
      </c>
      <c r="G167" s="136">
        <f>'Giá tháng'!G29</f>
        <v>1</v>
      </c>
      <c r="H167" s="150">
        <f>E159*F167*G167</f>
        <v>697.67932500000006</v>
      </c>
      <c r="S167" s="73">
        <v>203</v>
      </c>
    </row>
    <row r="168" spans="1:19" ht="16.5" customHeight="1" x14ac:dyDescent="0.15">
      <c r="A168" s="84"/>
      <c r="B168" s="85"/>
      <c r="C168" s="145" t="s">
        <v>482</v>
      </c>
      <c r="D168" s="146"/>
      <c r="E168" s="147"/>
      <c r="F168" s="148"/>
      <c r="G168" s="149"/>
      <c r="H168" s="147"/>
    </row>
    <row r="169" spans="1:19" ht="28.5" customHeight="1" x14ac:dyDescent="0.15">
      <c r="A169" s="84"/>
      <c r="B169" s="85" t="str">
        <f>'Giá tháng'!B47</f>
        <v>M104.0102</v>
      </c>
      <c r="C169" s="86" t="str">
        <f>'Giá tháng'!C47</f>
        <v>Máy trộn bê tông - dung tích : 250,0 lít</v>
      </c>
      <c r="D169" s="85" t="str">
        <f>'Giá tháng'!D47</f>
        <v>ca</v>
      </c>
      <c r="E169" s="150"/>
      <c r="F169" s="135">
        <v>9.5000000000000001E-2</v>
      </c>
      <c r="G169" s="136">
        <f>'Giá tháng'!G47</f>
        <v>1</v>
      </c>
      <c r="H169" s="150">
        <f>E159*F169*G169</f>
        <v>26.618287500000001</v>
      </c>
      <c r="S169" s="73">
        <v>3017</v>
      </c>
    </row>
    <row r="170" spans="1:19" ht="28.5" customHeight="1" x14ac:dyDescent="0.15">
      <c r="A170" s="84"/>
      <c r="B170" s="85" t="str">
        <f>'Giá tháng'!B42</f>
        <v>M112.1301</v>
      </c>
      <c r="C170" s="86" t="str">
        <f>'Giá tháng'!C42</f>
        <v>Máy đầm bê tông, dầm dùi - công suất : 1,5 kW</v>
      </c>
      <c r="D170" s="85" t="str">
        <f>'Giá tháng'!D42</f>
        <v>ca</v>
      </c>
      <c r="E170" s="150"/>
      <c r="F170" s="135">
        <v>0.18</v>
      </c>
      <c r="G170" s="136">
        <f>'Giá tháng'!G42</f>
        <v>1</v>
      </c>
      <c r="H170" s="150">
        <f>E159*F170*G170</f>
        <v>50.434649999999998</v>
      </c>
      <c r="S170" s="73">
        <v>3012</v>
      </c>
    </row>
    <row r="171" spans="1:19" ht="53.25" customHeight="1" x14ac:dyDescent="0.15">
      <c r="A171" s="141">
        <f>'Công trình'!A81</f>
        <v>25</v>
      </c>
      <c r="B171" s="122" t="str">
        <f>'Công trình'!E81</f>
        <v>AF.86111</v>
      </c>
      <c r="C171" s="123" t="str">
        <f>'Công trình'!F81</f>
        <v>Ván khuôn thép, khung xương thép, cột chống bằng thép ống. Ván khuôn sàn mái, chiều cao &lt;= 28m</v>
      </c>
      <c r="D171" s="122" t="str">
        <f>'Công trình'!G81</f>
        <v>100m2</v>
      </c>
      <c r="E171" s="142">
        <f>'Công trình'!P81</f>
        <v>6.5350000000000001</v>
      </c>
      <c r="F171" s="143"/>
      <c r="G171" s="144"/>
      <c r="H171" s="142"/>
    </row>
    <row r="172" spans="1:19" ht="16.5" customHeight="1" x14ac:dyDescent="0.15">
      <c r="A172" s="84"/>
      <c r="B172" s="85"/>
      <c r="C172" s="145" t="s">
        <v>477</v>
      </c>
      <c r="D172" s="146"/>
      <c r="E172" s="147"/>
      <c r="F172" s="148"/>
      <c r="G172" s="149"/>
      <c r="H172" s="147"/>
    </row>
    <row r="173" spans="1:19" ht="16.5" customHeight="1" x14ac:dyDescent="0.15">
      <c r="A173" s="84"/>
      <c r="B173" s="85" t="str">
        <f>'Giá tháng'!B21</f>
        <v>A24.0726</v>
      </c>
      <c r="C173" s="86" t="str">
        <f>'Giá tháng'!C21</f>
        <v>Thép tấm</v>
      </c>
      <c r="D173" s="85" t="str">
        <f>'Giá tháng'!D21</f>
        <v>kg</v>
      </c>
      <c r="E173" s="150"/>
      <c r="F173" s="135">
        <v>51.81</v>
      </c>
      <c r="G173" s="136">
        <f>'Giá tháng'!G21</f>
        <v>1</v>
      </c>
      <c r="H173" s="150">
        <f>E171*F173*G173</f>
        <v>338.57835</v>
      </c>
      <c r="Q173" s="73">
        <f>'Cước VC'!AV21</f>
        <v>0</v>
      </c>
      <c r="R173" s="73">
        <f>'Cước bộ'!W21</f>
        <v>0</v>
      </c>
      <c r="S173" s="73">
        <v>1019</v>
      </c>
    </row>
    <row r="174" spans="1:19" ht="16.5" customHeight="1" x14ac:dyDescent="0.15">
      <c r="A174" s="84"/>
      <c r="B174" s="85" t="str">
        <f>'Giá tháng'!B20</f>
        <v>A24.0712</v>
      </c>
      <c r="C174" s="86" t="str">
        <f>'Giá tháng'!C20</f>
        <v>Thép hình</v>
      </c>
      <c r="D174" s="85" t="str">
        <f>'Giá tháng'!D20</f>
        <v>kg</v>
      </c>
      <c r="E174" s="150"/>
      <c r="F174" s="135">
        <v>40.700000000000003</v>
      </c>
      <c r="G174" s="136">
        <f>'Giá tháng'!G20</f>
        <v>1</v>
      </c>
      <c r="H174" s="150">
        <f>E171*F174*G174</f>
        <v>265.97450000000003</v>
      </c>
      <c r="Q174" s="73">
        <f>'Cước VC'!AV20</f>
        <v>0</v>
      </c>
      <c r="R174" s="73">
        <f>'Cước bộ'!W20</f>
        <v>0</v>
      </c>
      <c r="S174" s="73">
        <v>1018</v>
      </c>
    </row>
    <row r="175" spans="1:19" ht="16.5" customHeight="1" x14ac:dyDescent="0.15">
      <c r="A175" s="84"/>
      <c r="B175" s="85" t="str">
        <f>'Giá tháng'!B11</f>
        <v>A24.0262</v>
      </c>
      <c r="C175" s="86" t="str">
        <f>'Giá tháng'!C11</f>
        <v>Cột chống thép ống</v>
      </c>
      <c r="D175" s="85" t="str">
        <f>'Giá tháng'!D11</f>
        <v>kg</v>
      </c>
      <c r="E175" s="150"/>
      <c r="F175" s="135">
        <v>36.15</v>
      </c>
      <c r="G175" s="136">
        <f>'Giá tháng'!G11</f>
        <v>1</v>
      </c>
      <c r="H175" s="150">
        <f>E171*F175*G175</f>
        <v>236.24025</v>
      </c>
      <c r="Q175" s="73">
        <f>'Cước VC'!AV11</f>
        <v>0</v>
      </c>
      <c r="R175" s="73">
        <f>'Cước bộ'!W11</f>
        <v>0</v>
      </c>
      <c r="S175" s="73">
        <v>109</v>
      </c>
    </row>
    <row r="176" spans="1:19" ht="16.5" customHeight="1" x14ac:dyDescent="0.15">
      <c r="A176" s="84"/>
      <c r="B176" s="85" t="str">
        <f>'Giá tháng'!B19</f>
        <v>A24.0543</v>
      </c>
      <c r="C176" s="86" t="str">
        <f>'Giá tháng'!C19</f>
        <v>Que hàn</v>
      </c>
      <c r="D176" s="85" t="str">
        <f>'Giá tháng'!D19</f>
        <v>kg</v>
      </c>
      <c r="E176" s="150"/>
      <c r="F176" s="135">
        <v>5.5</v>
      </c>
      <c r="G176" s="136">
        <f>'Giá tháng'!G19</f>
        <v>1</v>
      </c>
      <c r="H176" s="150">
        <f>E171*F176*G176</f>
        <v>35.942500000000003</v>
      </c>
      <c r="Q176" s="73">
        <f>'Cước VC'!AV19</f>
        <v>0</v>
      </c>
      <c r="R176" s="73">
        <f>'Cước bộ'!W19</f>
        <v>0</v>
      </c>
      <c r="S176" s="73">
        <v>1017</v>
      </c>
    </row>
    <row r="177" spans="1:19" ht="16.5" customHeight="1" x14ac:dyDescent="0.15">
      <c r="A177" s="84"/>
      <c r="B177" s="85" t="s">
        <v>478</v>
      </c>
      <c r="C177" s="86" t="s">
        <v>479</v>
      </c>
      <c r="D177" s="85" t="s">
        <v>480</v>
      </c>
      <c r="E177" s="150"/>
      <c r="F177" s="135">
        <v>5</v>
      </c>
      <c r="G177" s="136"/>
      <c r="H177" s="150"/>
      <c r="M177" s="73">
        <f>E171*F177*(F173*'Giá tháng'!E21*'Giá tháng'!G21+F174*'Giá tháng'!E20*'Giá tháng'!G20+F175*'Giá tháng'!E11*'Giá tháng'!G11+F176*'Giá tháng'!E19*'Giá tháng'!G19)/100</f>
        <v>775960.52496249985</v>
      </c>
      <c r="O177" s="73">
        <f>E171*F177*(F173*('Giá tháng'!F21+Q173+R173)*'Giá tháng'!G21+F174*('Giá tháng'!F20+Q174+R174)*'Giá tháng'!G20+F175*('Giá tháng'!F11+Q175+R175)*'Giá tháng'!G11+F176*('Giá tháng'!F19+Q176+R176)*'Giá tháng'!G19)/100</f>
        <v>762358.08583749994</v>
      </c>
    </row>
    <row r="178" spans="1:19" ht="16.5" customHeight="1" x14ac:dyDescent="0.15">
      <c r="A178" s="84"/>
      <c r="B178" s="85"/>
      <c r="C178" s="145" t="s">
        <v>481</v>
      </c>
      <c r="D178" s="146"/>
      <c r="E178" s="147"/>
      <c r="F178" s="148"/>
      <c r="G178" s="149"/>
      <c r="H178" s="147"/>
    </row>
    <row r="179" spans="1:19" ht="16.5" customHeight="1" x14ac:dyDescent="0.15">
      <c r="A179" s="84"/>
      <c r="B179" s="85" t="str">
        <f>'Giá tháng'!B30</f>
        <v>N2.40</v>
      </c>
      <c r="C179" s="86" t="str">
        <f>'Giá tháng'!C30</f>
        <v>Nhân công 4,0/7 - Nhóm 2</v>
      </c>
      <c r="D179" s="85" t="str">
        <f>'Giá tháng'!D30</f>
        <v>công</v>
      </c>
      <c r="E179" s="150"/>
      <c r="F179" s="135">
        <v>20</v>
      </c>
      <c r="G179" s="136">
        <f>'Giá tháng'!G30</f>
        <v>1</v>
      </c>
      <c r="H179" s="150">
        <f>E171*F179*G179</f>
        <v>130.69999999999999</v>
      </c>
      <c r="S179" s="73">
        <v>204</v>
      </c>
    </row>
    <row r="180" spans="1:19" ht="16.5" customHeight="1" x14ac:dyDescent="0.15">
      <c r="A180" s="84"/>
      <c r="B180" s="85"/>
      <c r="C180" s="145" t="s">
        <v>482</v>
      </c>
      <c r="D180" s="146"/>
      <c r="E180" s="147"/>
      <c r="F180" s="148"/>
      <c r="G180" s="149"/>
      <c r="H180" s="147"/>
    </row>
    <row r="181" spans="1:19" ht="28.5" customHeight="1" x14ac:dyDescent="0.15">
      <c r="A181" s="84"/>
      <c r="B181" s="85" t="str">
        <f>'Giá tháng'!B45</f>
        <v>M112.4003</v>
      </c>
      <c r="C181" s="86" t="str">
        <f>'Giá tháng'!C45</f>
        <v>Máy hàn xoay chiều - công suất : 23,0 kW</v>
      </c>
      <c r="D181" s="85" t="str">
        <f>'Giá tháng'!D45</f>
        <v>ca</v>
      </c>
      <c r="E181" s="150"/>
      <c r="F181" s="135">
        <v>1.5</v>
      </c>
      <c r="G181" s="136">
        <f>'Giá tháng'!G45</f>
        <v>1</v>
      </c>
      <c r="H181" s="150">
        <f>E171*F181*G181</f>
        <v>9.8025000000000002</v>
      </c>
      <c r="S181" s="73">
        <v>3015</v>
      </c>
    </row>
    <row r="182" spans="1:19" ht="28.5" customHeight="1" x14ac:dyDescent="0.15">
      <c r="A182" s="84"/>
      <c r="B182" s="85" t="str">
        <f>'Giá tháng'!B49</f>
        <v>M102.1001</v>
      </c>
      <c r="C182" s="86" t="str">
        <f>'Giá tháng'!C49</f>
        <v>Máy vận thăng lồng - sức nâng : 3,0 T</v>
      </c>
      <c r="D182" s="85" t="str">
        <f>'Giá tháng'!D49</f>
        <v>ca</v>
      </c>
      <c r="E182" s="150"/>
      <c r="F182" s="135">
        <v>0.12</v>
      </c>
      <c r="G182" s="136">
        <f>'Giá tháng'!G49</f>
        <v>1</v>
      </c>
      <c r="H182" s="150">
        <f>E171*F182*G182</f>
        <v>0.78420000000000001</v>
      </c>
      <c r="S182" s="73">
        <v>3019</v>
      </c>
    </row>
    <row r="183" spans="1:19" ht="28.5" customHeight="1" x14ac:dyDescent="0.15">
      <c r="A183" s="84"/>
      <c r="B183" s="85" t="str">
        <f>'Giá tháng'!B35</f>
        <v>M102.0406</v>
      </c>
      <c r="C183" s="86" t="str">
        <f>'Giá tháng'!C35</f>
        <v>Cần trục tháp - sức nâng : 25,0 T</v>
      </c>
      <c r="D183" s="85" t="str">
        <f>'Giá tháng'!D35</f>
        <v>ca</v>
      </c>
      <c r="E183" s="150"/>
      <c r="F183" s="135">
        <v>0.12</v>
      </c>
      <c r="G183" s="136">
        <f>'Giá tháng'!G35</f>
        <v>1</v>
      </c>
      <c r="H183" s="150">
        <f>E171*F183*G183</f>
        <v>0.78420000000000001</v>
      </c>
      <c r="S183" s="73">
        <v>305</v>
      </c>
    </row>
    <row r="184" spans="1:19" ht="16.5" customHeight="1" x14ac:dyDescent="0.15">
      <c r="A184" s="84"/>
      <c r="B184" s="85" t="s">
        <v>483</v>
      </c>
      <c r="C184" s="86" t="s">
        <v>484</v>
      </c>
      <c r="D184" s="85" t="s">
        <v>480</v>
      </c>
      <c r="E184" s="150"/>
      <c r="F184" s="135">
        <v>2</v>
      </c>
      <c r="G184" s="136"/>
      <c r="H184" s="150"/>
      <c r="N184" s="73">
        <f>E171*F184*(F181*'Giá tháng'!E45*'Giá tháng'!G45+F182*'Giá tháng'!E49*'Giá tháng'!G49+F183*'Giá tháng'!E35*'Giá tháng'!G35)/100</f>
        <v>141325.34014799999</v>
      </c>
      <c r="P184" s="73">
        <f>E171*F184*(F181*'Giá tháng'!F45*'Giá tháng'!G45+F182*'Giá tháng'!F49*'Giá tháng'!G49+F183*'Giá tháng'!F35*'Giá tháng'!G35)/100</f>
        <v>150110.489646</v>
      </c>
    </row>
    <row r="185" spans="1:19" ht="53.25" customHeight="1" x14ac:dyDescent="0.15">
      <c r="A185" s="141">
        <f>'Công trình'!A83</f>
        <v>26</v>
      </c>
      <c r="B185" s="122" t="str">
        <f>'Công trình'!E83</f>
        <v>AF.61711</v>
      </c>
      <c r="C185" s="123" t="str">
        <f>'Công trình'!F83</f>
        <v>Công tác gia công lắp dựng cốt thép. Cốt thép sàn mái, đường kính cốt thép &lt;=10mm, chiều cao &lt;= 28m</v>
      </c>
      <c r="D185" s="122" t="str">
        <f>'Công trình'!G83</f>
        <v>tấn</v>
      </c>
      <c r="E185" s="142">
        <f>'Công trình'!P83</f>
        <v>9.3035999999999994</v>
      </c>
      <c r="F185" s="143"/>
      <c r="G185" s="144"/>
      <c r="H185" s="142"/>
    </row>
    <row r="186" spans="1:19" ht="16.5" customHeight="1" x14ac:dyDescent="0.15">
      <c r="A186" s="84"/>
      <c r="B186" s="85"/>
      <c r="C186" s="145" t="s">
        <v>477</v>
      </c>
      <c r="D186" s="146"/>
      <c r="E186" s="147"/>
      <c r="F186" s="148"/>
      <c r="G186" s="149"/>
      <c r="H186" s="147"/>
    </row>
    <row r="187" spans="1:19" ht="16.5" customHeight="1" x14ac:dyDescent="0.15">
      <c r="A187" s="84"/>
      <c r="B187" s="85" t="str">
        <f>'Giá tháng'!B22</f>
        <v>A24.0738</v>
      </c>
      <c r="C187" s="86" t="str">
        <f>'Giá tháng'!C22</f>
        <v>Thép tròn D&lt;=10mm</v>
      </c>
      <c r="D187" s="85" t="str">
        <f>'Giá tháng'!D22</f>
        <v>kg</v>
      </c>
      <c r="E187" s="150"/>
      <c r="F187" s="135">
        <v>1005</v>
      </c>
      <c r="G187" s="136">
        <f>'Giá tháng'!G22</f>
        <v>1</v>
      </c>
      <c r="H187" s="150">
        <f>E185*F187*G187</f>
        <v>9350.1179999999986</v>
      </c>
      <c r="S187" s="73">
        <v>1020</v>
      </c>
    </row>
    <row r="188" spans="1:19" ht="16.5" customHeight="1" x14ac:dyDescent="0.15">
      <c r="A188" s="84"/>
      <c r="B188" s="85" t="str">
        <f>'Giá tháng'!B12</f>
        <v>A24.0293</v>
      </c>
      <c r="C188" s="86" t="str">
        <f>'Giá tháng'!C12</f>
        <v>Dây thép</v>
      </c>
      <c r="D188" s="85" t="str">
        <f>'Giá tháng'!D12</f>
        <v>kg</v>
      </c>
      <c r="E188" s="150"/>
      <c r="F188" s="135">
        <v>16.07</v>
      </c>
      <c r="G188" s="136">
        <f>'Giá tháng'!G12</f>
        <v>1</v>
      </c>
      <c r="H188" s="150">
        <f>E185*F188*G188</f>
        <v>149.50885199999999</v>
      </c>
      <c r="S188" s="73">
        <v>1010</v>
      </c>
    </row>
    <row r="189" spans="1:19" ht="16.5" customHeight="1" x14ac:dyDescent="0.15">
      <c r="A189" s="84"/>
      <c r="B189" s="85"/>
      <c r="C189" s="145" t="s">
        <v>481</v>
      </c>
      <c r="D189" s="146"/>
      <c r="E189" s="147"/>
      <c r="F189" s="148"/>
      <c r="G189" s="149"/>
      <c r="H189" s="147"/>
    </row>
    <row r="190" spans="1:19" ht="16.5" customHeight="1" x14ac:dyDescent="0.15">
      <c r="A190" s="84"/>
      <c r="B190" s="85" t="str">
        <f>'Giá tháng'!B29</f>
        <v>N2.35</v>
      </c>
      <c r="C190" s="86" t="str">
        <f>'Giá tháng'!C29</f>
        <v>Nhân công 3,5/7 - Nhóm 2</v>
      </c>
      <c r="D190" s="85" t="str">
        <f>'Giá tháng'!D29</f>
        <v>công</v>
      </c>
      <c r="E190" s="150"/>
      <c r="F190" s="135">
        <v>13.9</v>
      </c>
      <c r="G190" s="136">
        <f>'Giá tháng'!G29</f>
        <v>1</v>
      </c>
      <c r="H190" s="150">
        <f>E185*F190*G190</f>
        <v>129.32004000000001</v>
      </c>
      <c r="S190" s="73">
        <v>203</v>
      </c>
    </row>
    <row r="191" spans="1:19" ht="16.5" customHeight="1" x14ac:dyDescent="0.15">
      <c r="A191" s="84"/>
      <c r="B191" s="85"/>
      <c r="C191" s="145" t="s">
        <v>482</v>
      </c>
      <c r="D191" s="146"/>
      <c r="E191" s="147"/>
      <c r="F191" s="148"/>
      <c r="G191" s="149"/>
      <c r="H191" s="147"/>
    </row>
    <row r="192" spans="1:19" ht="28.5" customHeight="1" x14ac:dyDescent="0.15">
      <c r="A192" s="84"/>
      <c r="B192" s="85" t="str">
        <f>'Giá tháng'!B38</f>
        <v>M112.2601</v>
      </c>
      <c r="C192" s="86" t="str">
        <f>'Giá tháng'!C38</f>
        <v>Máy cắt uốn cốt thép - công suất : 5,0 kW</v>
      </c>
      <c r="D192" s="85" t="str">
        <f>'Giá tháng'!D38</f>
        <v>ca</v>
      </c>
      <c r="E192" s="150"/>
      <c r="F192" s="135">
        <v>0.4</v>
      </c>
      <c r="G192" s="136">
        <f>'Giá tháng'!G38</f>
        <v>1</v>
      </c>
      <c r="H192" s="150">
        <f>E185*F192*G192</f>
        <v>3.7214399999999999</v>
      </c>
      <c r="S192" s="73">
        <v>308</v>
      </c>
    </row>
    <row r="193" spans="1:19" ht="28.5" customHeight="1" x14ac:dyDescent="0.15">
      <c r="A193" s="84"/>
      <c r="B193" s="85" t="str">
        <f>'Giá tháng'!B49</f>
        <v>M102.1001</v>
      </c>
      <c r="C193" s="86" t="str">
        <f>'Giá tháng'!C49</f>
        <v>Máy vận thăng lồng - sức nâng : 3,0 T</v>
      </c>
      <c r="D193" s="85" t="str">
        <f>'Giá tháng'!D49</f>
        <v>ca</v>
      </c>
      <c r="E193" s="150"/>
      <c r="F193" s="135">
        <v>1.7000000000000001E-2</v>
      </c>
      <c r="G193" s="136">
        <f>'Giá tháng'!G49</f>
        <v>1</v>
      </c>
      <c r="H193" s="150">
        <f>E185*F193*G193</f>
        <v>0.1581612</v>
      </c>
      <c r="S193" s="73">
        <v>3019</v>
      </c>
    </row>
    <row r="194" spans="1:19" ht="28.5" customHeight="1" x14ac:dyDescent="0.15">
      <c r="A194" s="84"/>
      <c r="B194" s="85" t="str">
        <f>'Giá tháng'!B35</f>
        <v>M102.0406</v>
      </c>
      <c r="C194" s="86" t="str">
        <f>'Giá tháng'!C35</f>
        <v>Cần trục tháp - sức nâng : 25,0 T</v>
      </c>
      <c r="D194" s="85" t="str">
        <f>'Giá tháng'!D35</f>
        <v>ca</v>
      </c>
      <c r="E194" s="150"/>
      <c r="F194" s="135">
        <v>1.7000000000000001E-2</v>
      </c>
      <c r="G194" s="136">
        <f>'Giá tháng'!G35</f>
        <v>1</v>
      </c>
      <c r="H194" s="150">
        <f>E185*F194*G194</f>
        <v>0.1581612</v>
      </c>
      <c r="S194" s="73">
        <v>305</v>
      </c>
    </row>
    <row r="195" spans="1:19" ht="16.5" customHeight="1" x14ac:dyDescent="0.15">
      <c r="A195" s="84"/>
      <c r="B195" s="85" t="s">
        <v>483</v>
      </c>
      <c r="C195" s="86" t="s">
        <v>484</v>
      </c>
      <c r="D195" s="85" t="s">
        <v>480</v>
      </c>
      <c r="E195" s="150"/>
      <c r="F195" s="135">
        <v>2</v>
      </c>
      <c r="G195" s="136"/>
      <c r="H195" s="150"/>
      <c r="N195" s="73">
        <f>E185*F195*(F192*'Giá tháng'!E38*'Giá tháng'!G38+F193*'Giá tháng'!E49*'Giá tháng'!G49+F194*'Giá tháng'!E35*'Giá tháng'!G35)/100</f>
        <v>33160.207256328002</v>
      </c>
      <c r="P195" s="73">
        <f>E185*F195*(F192*'Giá tháng'!F38*'Giá tháng'!G38+F193*'Giá tháng'!F49*'Giá tháng'!G49+F194*'Giá tháng'!F35*'Giá tháng'!G35)/100</f>
        <v>35463.401634456</v>
      </c>
    </row>
    <row r="196" spans="1:19" ht="66" customHeight="1" x14ac:dyDescent="0.15">
      <c r="A196" s="141">
        <f>'Công trình'!A85</f>
        <v>27</v>
      </c>
      <c r="B196" s="122" t="str">
        <f>'Công trình'!E85</f>
        <v>AF.22314A</v>
      </c>
      <c r="C196" s="123" t="str">
        <f>'Công trình'!F85</f>
        <v>Đổ bê tông bằng máy, đổ bằng cần cẩu, bê tông xà dầm, giằng, sàn mái, chiều cao &lt;= 6m, đá 1x2, mác 250, PCB30</v>
      </c>
      <c r="D196" s="122" t="str">
        <f>'Công trình'!G85</f>
        <v>m3</v>
      </c>
      <c r="E196" s="142">
        <f>'Công trình'!P85</f>
        <v>134.375</v>
      </c>
      <c r="F196" s="143"/>
      <c r="G196" s="144"/>
      <c r="H196" s="142"/>
    </row>
    <row r="197" spans="1:19" ht="16.5" customHeight="1" x14ac:dyDescent="0.15">
      <c r="A197" s="84"/>
      <c r="B197" s="85"/>
      <c r="C197" s="145" t="s">
        <v>477</v>
      </c>
      <c r="D197" s="146"/>
      <c r="E197" s="147"/>
      <c r="F197" s="148"/>
      <c r="G197" s="149"/>
      <c r="H197" s="147"/>
    </row>
    <row r="198" spans="1:19" ht="16.5" customHeight="1" x14ac:dyDescent="0.15">
      <c r="A198" s="84"/>
      <c r="B198" s="85" t="str">
        <f>'Giá tháng'!B25</f>
        <v>A24.0797A</v>
      </c>
      <c r="C198" s="86" t="str">
        <f>'Giá tháng'!C25</f>
        <v>Xi măng PCB30</v>
      </c>
      <c r="D198" s="85" t="str">
        <f>'Giá tháng'!D25</f>
        <v>kg</v>
      </c>
      <c r="E198" s="150"/>
      <c r="F198" s="135">
        <v>385.4</v>
      </c>
      <c r="G198" s="136">
        <f>'Giá tháng'!G25</f>
        <v>1</v>
      </c>
      <c r="H198" s="150">
        <f>E196*F198*G198</f>
        <v>51788.125</v>
      </c>
      <c r="Q198" s="73">
        <f>'Cước VC'!AV25</f>
        <v>0</v>
      </c>
      <c r="R198" s="73">
        <f>'Cước bộ'!W25</f>
        <v>0</v>
      </c>
      <c r="S198" s="73">
        <v>1023</v>
      </c>
    </row>
    <row r="199" spans="1:19" ht="16.5" customHeight="1" x14ac:dyDescent="0.15">
      <c r="A199" s="84"/>
      <c r="B199" s="85" t="str">
        <f>'Giá tháng'!B7</f>
        <v>A24.0180</v>
      </c>
      <c r="C199" s="86" t="str">
        <f>'Giá tháng'!C7</f>
        <v>Cát vàng</v>
      </c>
      <c r="D199" s="85" t="str">
        <f>'Giá tháng'!D7</f>
        <v>m3</v>
      </c>
      <c r="E199" s="150"/>
      <c r="F199" s="135">
        <v>0.50839999999999996</v>
      </c>
      <c r="G199" s="136">
        <f>'Giá tháng'!G7</f>
        <v>1</v>
      </c>
      <c r="H199" s="150">
        <f>E196*F199*G199</f>
        <v>68.316249999999997</v>
      </c>
      <c r="Q199" s="73">
        <f>'Cước VC'!AV7</f>
        <v>0</v>
      </c>
      <c r="R199" s="73">
        <f>'Cước bộ'!W7</f>
        <v>0</v>
      </c>
      <c r="S199" s="73">
        <v>105</v>
      </c>
    </row>
    <row r="200" spans="1:19" ht="16.5" customHeight="1" x14ac:dyDescent="0.15">
      <c r="A200" s="84"/>
      <c r="B200" s="85" t="str">
        <f>'Giá tháng'!B13</f>
        <v>A24.0008</v>
      </c>
      <c r="C200" s="86" t="str">
        <f>'Giá tháng'!C13</f>
        <v>Đá 1x2</v>
      </c>
      <c r="D200" s="85" t="str">
        <f>'Giá tháng'!D13</f>
        <v>m3</v>
      </c>
      <c r="E200" s="150"/>
      <c r="F200" s="135">
        <v>0.83742499999999997</v>
      </c>
      <c r="G200" s="136">
        <f>'Giá tháng'!G13</f>
        <v>1</v>
      </c>
      <c r="H200" s="150">
        <f>E196*F200*G200</f>
        <v>112.52898437499999</v>
      </c>
      <c r="Q200" s="73">
        <f>'Cước VC'!AV13</f>
        <v>0</v>
      </c>
      <c r="R200" s="73">
        <f>'Cước bộ'!W13</f>
        <v>0</v>
      </c>
      <c r="S200" s="73">
        <v>1011</v>
      </c>
    </row>
    <row r="201" spans="1:19" ht="16.5" customHeight="1" x14ac:dyDescent="0.15">
      <c r="A201" s="84"/>
      <c r="B201" s="85" t="str">
        <f>'Giá tháng'!B15</f>
        <v>A24.0524</v>
      </c>
      <c r="C201" s="86" t="str">
        <f>'Giá tháng'!C15</f>
        <v>Nước</v>
      </c>
      <c r="D201" s="85" t="str">
        <f>'Giá tháng'!D15</f>
        <v>lít</v>
      </c>
      <c r="E201" s="150"/>
      <c r="F201" s="135">
        <v>195.77500000000001</v>
      </c>
      <c r="G201" s="136">
        <f>'Giá tháng'!G15</f>
        <v>1</v>
      </c>
      <c r="H201" s="150">
        <f>E196*F201*G201</f>
        <v>26307.265625</v>
      </c>
      <c r="Q201" s="73">
        <f>'Cước VC'!AV15</f>
        <v>0</v>
      </c>
      <c r="R201" s="73">
        <f>'Cước bộ'!W15</f>
        <v>0</v>
      </c>
      <c r="S201" s="73">
        <v>1013</v>
      </c>
    </row>
    <row r="202" spans="1:19" ht="16.5" customHeight="1" x14ac:dyDescent="0.15">
      <c r="A202" s="84"/>
      <c r="B202" s="85" t="s">
        <v>478</v>
      </c>
      <c r="C202" s="86" t="s">
        <v>479</v>
      </c>
      <c r="D202" s="85" t="s">
        <v>480</v>
      </c>
      <c r="E202" s="150"/>
      <c r="F202" s="135">
        <v>1</v>
      </c>
      <c r="G202" s="136"/>
      <c r="H202" s="150"/>
      <c r="M202" s="73">
        <f>E196*F202*(F198*'Giá tháng'!E25*'Giá tháng'!G25+F199*'Giá tháng'!E7*'Giá tháng'!G7+F200*'Giá tháng'!E13*'Giá tháng'!G13+F201*'Giá tháng'!E15*'Giá tháng'!G15)/100</f>
        <v>1385348.871875</v>
      </c>
      <c r="O202" s="73">
        <f>E196*F202*(F198*('Giá tháng'!F25+Q198+R198)*'Giá tháng'!G25+F199*('Giá tháng'!F7+Q199+R199)*'Giá tháng'!G7+F200*('Giá tháng'!F13+Q200+R200)*'Giá tháng'!G13+F201*('Giá tháng'!F15+Q201+R201)*'Giá tháng'!G15)/100</f>
        <v>1871471.3296874997</v>
      </c>
    </row>
    <row r="203" spans="1:19" ht="16.5" customHeight="1" x14ac:dyDescent="0.15">
      <c r="A203" s="84"/>
      <c r="B203" s="85"/>
      <c r="C203" s="145" t="s">
        <v>481</v>
      </c>
      <c r="D203" s="146"/>
      <c r="E203" s="147"/>
      <c r="F203" s="148"/>
      <c r="G203" s="149"/>
      <c r="H203" s="147"/>
    </row>
    <row r="204" spans="1:19" ht="16.5" customHeight="1" x14ac:dyDescent="0.15">
      <c r="A204" s="84"/>
      <c r="B204" s="85" t="str">
        <f>'Giá tháng'!B29</f>
        <v>N2.35</v>
      </c>
      <c r="C204" s="86" t="str">
        <f>'Giá tháng'!C29</f>
        <v>Nhân công 3,5/7 - Nhóm 2</v>
      </c>
      <c r="D204" s="85" t="str">
        <f>'Giá tháng'!D29</f>
        <v>công</v>
      </c>
      <c r="E204" s="150"/>
      <c r="F204" s="135">
        <v>1.66</v>
      </c>
      <c r="G204" s="136">
        <f>'Giá tháng'!G29</f>
        <v>1</v>
      </c>
      <c r="H204" s="150">
        <f>E196*F204*G204</f>
        <v>223.0625</v>
      </c>
      <c r="S204" s="73">
        <v>203</v>
      </c>
    </row>
    <row r="205" spans="1:19" ht="16.5" customHeight="1" x14ac:dyDescent="0.15">
      <c r="A205" s="84"/>
      <c r="B205" s="85"/>
      <c r="C205" s="145" t="s">
        <v>482</v>
      </c>
      <c r="D205" s="146"/>
      <c r="E205" s="147"/>
      <c r="F205" s="148"/>
      <c r="G205" s="149"/>
      <c r="H205" s="147"/>
    </row>
    <row r="206" spans="1:19" ht="16.5" customHeight="1" x14ac:dyDescent="0.15">
      <c r="A206" s="84"/>
      <c r="B206" s="85" t="str">
        <f>'Giá tháng'!B33</f>
        <v>M102.0302</v>
      </c>
      <c r="C206" s="86" t="str">
        <f>'Giá tháng'!C33</f>
        <v>Cần cẩu bánh xích 10T</v>
      </c>
      <c r="D206" s="85" t="str">
        <f>'Giá tháng'!D33</f>
        <v>ca</v>
      </c>
      <c r="E206" s="150"/>
      <c r="F206" s="135">
        <v>0.04</v>
      </c>
      <c r="G206" s="136">
        <f>'Giá tháng'!G33</f>
        <v>1</v>
      </c>
      <c r="H206" s="150">
        <f>E196*F206*G206</f>
        <v>5.375</v>
      </c>
      <c r="S206" s="73">
        <v>303</v>
      </c>
    </row>
    <row r="207" spans="1:19" ht="28.5" customHeight="1" x14ac:dyDescent="0.15">
      <c r="A207" s="84"/>
      <c r="B207" s="85" t="str">
        <f>'Giá tháng'!B42</f>
        <v>M112.1301</v>
      </c>
      <c r="C207" s="86" t="str">
        <f>'Giá tháng'!C42</f>
        <v>Máy đầm bê tông, dầm dùi - công suất : 1,5 kW</v>
      </c>
      <c r="D207" s="85" t="str">
        <f>'Giá tháng'!D42</f>
        <v>ca</v>
      </c>
      <c r="E207" s="150"/>
      <c r="F207" s="135">
        <v>0.18</v>
      </c>
      <c r="G207" s="136">
        <f>'Giá tháng'!G42</f>
        <v>1</v>
      </c>
      <c r="H207" s="150">
        <f>E196*F207*G207</f>
        <v>24.1875</v>
      </c>
      <c r="S207" s="73">
        <v>3012</v>
      </c>
    </row>
    <row r="208" spans="1:19" ht="16.5" customHeight="1" x14ac:dyDescent="0.15">
      <c r="A208" s="84"/>
      <c r="B208" s="85" t="s">
        <v>483</v>
      </c>
      <c r="C208" s="86" t="s">
        <v>484</v>
      </c>
      <c r="D208" s="85" t="s">
        <v>480</v>
      </c>
      <c r="E208" s="150"/>
      <c r="F208" s="135">
        <v>2</v>
      </c>
      <c r="G208" s="136"/>
      <c r="H208" s="150"/>
      <c r="N208" s="73">
        <f>E196*F208*(F206*'Giá tháng'!E33*'Giá tháng'!G33+F207*'Giá tháng'!E42*'Giá tháng'!G42)/100</f>
        <v>376450.16499999992</v>
      </c>
      <c r="P208" s="73">
        <f>E196*F208*(F206*'Giá tháng'!F33*'Giá tháng'!G33+F207*'Giá tháng'!F42*'Giá tháng'!G42)/100</f>
        <v>371100.15875</v>
      </c>
    </row>
    <row r="209" spans="1:19" ht="40.5" customHeight="1" x14ac:dyDescent="0.15">
      <c r="A209" s="141">
        <f>'Công trình'!A87</f>
        <v>28</v>
      </c>
      <c r="B209" s="122" t="str">
        <f>'Công trình'!E87</f>
        <v>AB.66142</v>
      </c>
      <c r="C209" s="123" t="str">
        <f>'Công trình'!F87</f>
        <v>Đắp cát công trình bằng máy đầm đất cầm tay 70kg, độ chặt yêu cầu K=0,90</v>
      </c>
      <c r="D209" s="122" t="str">
        <f>'Công trình'!G87</f>
        <v>100m3</v>
      </c>
      <c r="E209" s="142">
        <f>'Công trình'!P87</f>
        <v>8.1420999999999992</v>
      </c>
      <c r="F209" s="143"/>
      <c r="G209" s="144"/>
      <c r="H209" s="142"/>
    </row>
    <row r="210" spans="1:19" ht="16.5" customHeight="1" x14ac:dyDescent="0.15">
      <c r="A210" s="84"/>
      <c r="B210" s="85"/>
      <c r="C210" s="145" t="s">
        <v>477</v>
      </c>
      <c r="D210" s="146"/>
      <c r="E210" s="147"/>
      <c r="F210" s="148"/>
      <c r="G210" s="149"/>
      <c r="H210" s="147"/>
    </row>
    <row r="211" spans="1:19" ht="16.5" customHeight="1" x14ac:dyDescent="0.15">
      <c r="A211" s="84"/>
      <c r="B211" s="85" t="str">
        <f>'Giá tháng'!B6</f>
        <v>A24.1042</v>
      </c>
      <c r="C211" s="86" t="str">
        <f>'Giá tháng'!C6</f>
        <v>Cát</v>
      </c>
      <c r="D211" s="85" t="str">
        <f>'Giá tháng'!D6</f>
        <v>m3</v>
      </c>
      <c r="E211" s="150"/>
      <c r="F211" s="135">
        <v>122</v>
      </c>
      <c r="G211" s="136">
        <f>'Giá tháng'!G6</f>
        <v>1</v>
      </c>
      <c r="H211" s="150">
        <f>E209*F211*G211</f>
        <v>993.33619999999996</v>
      </c>
      <c r="S211" s="73">
        <v>104</v>
      </c>
    </row>
    <row r="212" spans="1:19" ht="16.5" customHeight="1" x14ac:dyDescent="0.15">
      <c r="A212" s="84"/>
      <c r="B212" s="85"/>
      <c r="C212" s="145" t="s">
        <v>481</v>
      </c>
      <c r="D212" s="146"/>
      <c r="E212" s="147"/>
      <c r="F212" s="148"/>
      <c r="G212" s="149"/>
      <c r="H212" s="147"/>
    </row>
    <row r="213" spans="1:19" ht="16.5" customHeight="1" x14ac:dyDescent="0.15">
      <c r="A213" s="84"/>
      <c r="B213" s="85" t="str">
        <f>'Giá tháng'!B27</f>
        <v>N1.30</v>
      </c>
      <c r="C213" s="86" t="str">
        <f>'Giá tháng'!C27</f>
        <v>Nhân công 3,0/7 - Nhóm 1</v>
      </c>
      <c r="D213" s="85" t="str">
        <f>'Giá tháng'!D27</f>
        <v>công</v>
      </c>
      <c r="E213" s="150"/>
      <c r="F213" s="135">
        <v>4.18</v>
      </c>
      <c r="G213" s="136">
        <f>'Giá tháng'!G27</f>
        <v>1</v>
      </c>
      <c r="H213" s="150">
        <f>E209*F213*G213</f>
        <v>34.033977999999998</v>
      </c>
      <c r="S213" s="73">
        <v>201</v>
      </c>
    </row>
    <row r="214" spans="1:19" ht="16.5" customHeight="1" x14ac:dyDescent="0.15">
      <c r="A214" s="84"/>
      <c r="B214" s="85"/>
      <c r="C214" s="145" t="s">
        <v>482</v>
      </c>
      <c r="D214" s="146"/>
      <c r="E214" s="147"/>
      <c r="F214" s="148"/>
      <c r="G214" s="149"/>
      <c r="H214" s="147"/>
    </row>
    <row r="215" spans="1:19" ht="28.5" customHeight="1" x14ac:dyDescent="0.15">
      <c r="A215" s="84"/>
      <c r="B215" s="85" t="str">
        <f>'Giá tháng'!B43</f>
        <v>M101.0803</v>
      </c>
      <c r="C215" s="86" t="str">
        <f>'Giá tháng'!C43</f>
        <v>Máy đầm đất cầm tay - trọng lượng : 70 kg</v>
      </c>
      <c r="D215" s="85" t="str">
        <f>'Giá tháng'!D43</f>
        <v>ca</v>
      </c>
      <c r="E215" s="150"/>
      <c r="F215" s="135">
        <v>2.0419999999999998</v>
      </c>
      <c r="G215" s="136">
        <f>'Giá tháng'!G43</f>
        <v>1</v>
      </c>
      <c r="H215" s="150">
        <f>E209*F215*G215</f>
        <v>16.626168199999999</v>
      </c>
      <c r="S215" s="73">
        <v>3013</v>
      </c>
    </row>
    <row r="216" spans="1:19" ht="16.5" customHeight="1" x14ac:dyDescent="0.15">
      <c r="A216" s="84"/>
      <c r="B216" s="85" t="s">
        <v>483</v>
      </c>
      <c r="C216" s="86" t="s">
        <v>484</v>
      </c>
      <c r="D216" s="85" t="s">
        <v>480</v>
      </c>
      <c r="E216" s="150"/>
      <c r="F216" s="135">
        <v>1.5</v>
      </c>
      <c r="G216" s="136"/>
      <c r="H216" s="150"/>
      <c r="N216" s="73">
        <f>E209*F216*(F215*'Giá tháng'!E43*'Giá tháng'!G43)/100</f>
        <v>98894.609855465984</v>
      </c>
      <c r="P216" s="73">
        <f>E209*F216*(F215*'Giá tháng'!F43*'Giá tháng'!G43)/100</f>
        <v>97301.241026018994</v>
      </c>
    </row>
    <row r="217" spans="1:19" ht="40.5" customHeight="1" x14ac:dyDescent="0.15">
      <c r="A217" s="141">
        <f>'Công trình'!A90</f>
        <v>29</v>
      </c>
      <c r="B217" s="122" t="str">
        <f>'Công trình'!E90</f>
        <v>AC.11122</v>
      </c>
      <c r="C217" s="123" t="str">
        <f>'Công trình'!F90</f>
        <v>Đóng cọc tre bằng thủ công, chiều dài cọc &gt; 2,5m vào đất cấp II</v>
      </c>
      <c r="D217" s="122" t="str">
        <f>'Công trình'!G90</f>
        <v>100m</v>
      </c>
      <c r="E217" s="142">
        <f>'Công trình'!P90</f>
        <v>15.744999999999999</v>
      </c>
      <c r="F217" s="143"/>
      <c r="G217" s="144"/>
      <c r="H217" s="142"/>
    </row>
    <row r="218" spans="1:19" ht="16.5" customHeight="1" x14ac:dyDescent="0.15">
      <c r="A218" s="84"/>
      <c r="B218" s="85"/>
      <c r="C218" s="145" t="s">
        <v>477</v>
      </c>
      <c r="D218" s="146"/>
      <c r="E218" s="147"/>
      <c r="F218" s="148"/>
      <c r="G218" s="149"/>
      <c r="H218" s="147"/>
    </row>
    <row r="219" spans="1:19" ht="16.5" customHeight="1" x14ac:dyDescent="0.15">
      <c r="A219" s="84"/>
      <c r="B219" s="85" t="str">
        <f>'Giá tháng'!B9</f>
        <v>A24.0227</v>
      </c>
      <c r="C219" s="86" t="str">
        <f>'Giá tháng'!C9</f>
        <v>Cọc tre &gt;2,5m</v>
      </c>
      <c r="D219" s="85" t="str">
        <f>'Giá tháng'!D9</f>
        <v>m</v>
      </c>
      <c r="E219" s="150"/>
      <c r="F219" s="135">
        <v>105</v>
      </c>
      <c r="G219" s="136">
        <f>'Giá tháng'!G9</f>
        <v>1</v>
      </c>
      <c r="H219" s="150">
        <f>E217*F219*G219</f>
        <v>1653.2249999999999</v>
      </c>
      <c r="Q219" s="73">
        <f>'Cước VC'!AV9</f>
        <v>0</v>
      </c>
      <c r="R219" s="73">
        <f>'Cước bộ'!W9</f>
        <v>0</v>
      </c>
      <c r="S219" s="73">
        <v>107</v>
      </c>
    </row>
    <row r="220" spans="1:19" ht="16.5" customHeight="1" x14ac:dyDescent="0.15">
      <c r="A220" s="84"/>
      <c r="B220" s="85" t="str">
        <f>'Giá tháng'!B8</f>
        <v>A24.0183</v>
      </c>
      <c r="C220" s="86" t="str">
        <f>'Giá tháng'!C8</f>
        <v>Cây chống</v>
      </c>
      <c r="D220" s="85" t="str">
        <f>'Giá tháng'!D8</f>
        <v>cây</v>
      </c>
      <c r="E220" s="150"/>
      <c r="F220" s="135">
        <v>1.65</v>
      </c>
      <c r="G220" s="136">
        <f>'Giá tháng'!G8</f>
        <v>1</v>
      </c>
      <c r="H220" s="150">
        <f>E217*F220*G220</f>
        <v>25.979249999999997</v>
      </c>
      <c r="Q220" s="73">
        <f>'Cước VC'!AV8</f>
        <v>0</v>
      </c>
      <c r="R220" s="73">
        <f>'Cước bộ'!W8</f>
        <v>0</v>
      </c>
      <c r="S220" s="73">
        <v>106</v>
      </c>
    </row>
    <row r="221" spans="1:19" ht="16.5" customHeight="1" x14ac:dyDescent="0.15">
      <c r="A221" s="84"/>
      <c r="B221" s="85" t="str">
        <f>'Giá tháng'!B14</f>
        <v>A24.0418</v>
      </c>
      <c r="C221" s="86" t="str">
        <f>'Giá tháng'!C14</f>
        <v>Gỗ ván</v>
      </c>
      <c r="D221" s="85" t="str">
        <f>'Giá tháng'!D14</f>
        <v>m3</v>
      </c>
      <c r="E221" s="150"/>
      <c r="F221" s="135">
        <v>0.01</v>
      </c>
      <c r="G221" s="136">
        <f>'Giá tháng'!G14</f>
        <v>1</v>
      </c>
      <c r="H221" s="150">
        <f>E217*F221*G221</f>
        <v>0.15745000000000001</v>
      </c>
      <c r="Q221" s="73">
        <f>'Cước VC'!AV14</f>
        <v>0</v>
      </c>
      <c r="R221" s="73">
        <f>'Cước bộ'!W14</f>
        <v>0</v>
      </c>
      <c r="S221" s="73">
        <v>1012</v>
      </c>
    </row>
    <row r="222" spans="1:19" ht="16.5" customHeight="1" x14ac:dyDescent="0.15">
      <c r="A222" s="84"/>
      <c r="B222" s="85" t="s">
        <v>478</v>
      </c>
      <c r="C222" s="86" t="s">
        <v>479</v>
      </c>
      <c r="D222" s="85" t="s">
        <v>480</v>
      </c>
      <c r="E222" s="150"/>
      <c r="F222" s="135">
        <v>3</v>
      </c>
      <c r="G222" s="136"/>
      <c r="H222" s="150"/>
      <c r="M222" s="73">
        <f>E217*F222*(F219*'Giá tháng'!E9*'Giá tháng'!G9+F220*'Giá tháng'!E8*'Giá tháng'!G8+F221*'Giá tháng'!E14*'Giá tháng'!G14)/100</f>
        <v>189620.61383849999</v>
      </c>
      <c r="O222" s="73">
        <f>E217*F222*(F219*('Giá tháng'!F9+Q219+R219)*'Giá tháng'!G9+F220*('Giá tháng'!F8+Q220+R220)*'Giá tháng'!G8+F221*('Giá tháng'!F14+Q221+R221)*'Giá tháng'!G14)/100</f>
        <v>270798.255</v>
      </c>
    </row>
    <row r="223" spans="1:19" ht="16.5" customHeight="1" x14ac:dyDescent="0.15">
      <c r="A223" s="84"/>
      <c r="B223" s="85"/>
      <c r="C223" s="145" t="s">
        <v>481</v>
      </c>
      <c r="D223" s="146"/>
      <c r="E223" s="147"/>
      <c r="F223" s="148"/>
      <c r="G223" s="149"/>
      <c r="H223" s="147"/>
    </row>
    <row r="224" spans="1:19" ht="16.5" customHeight="1" x14ac:dyDescent="0.15">
      <c r="A224" s="84"/>
      <c r="B224" s="85" t="str">
        <f>'Giá tháng'!B28</f>
        <v>N2.30</v>
      </c>
      <c r="C224" s="86" t="str">
        <f>'Giá tháng'!C28</f>
        <v>Nhân công 3,0/7 - Nhóm 2</v>
      </c>
      <c r="D224" s="85" t="str">
        <f>'Giá tháng'!D28</f>
        <v>công</v>
      </c>
      <c r="E224" s="150"/>
      <c r="F224" s="135">
        <v>2.25</v>
      </c>
      <c r="G224" s="136">
        <f>'Giá tháng'!G28</f>
        <v>1</v>
      </c>
      <c r="H224" s="150">
        <f>E217*F224*G224</f>
        <v>35.426249999999996</v>
      </c>
      <c r="S224" s="73">
        <v>202</v>
      </c>
    </row>
    <row r="225" spans="1:19" ht="40.5" customHeight="1" x14ac:dyDescent="0.15">
      <c r="A225" s="141">
        <f>'Công trình'!A92</f>
        <v>30</v>
      </c>
      <c r="B225" s="122" t="str">
        <f>'Công trình'!E92</f>
        <v>AB.13411</v>
      </c>
      <c r="C225" s="123" t="str">
        <f>'Công trình'!F92</f>
        <v>Đắp cát công trình bằng thủ công, đắp nền móng công trình</v>
      </c>
      <c r="D225" s="122" t="str">
        <f>'Công trình'!G92</f>
        <v>m3</v>
      </c>
      <c r="E225" s="142">
        <f>'Công trình'!P92</f>
        <v>2.5000000000000001E-2</v>
      </c>
      <c r="F225" s="143"/>
      <c r="G225" s="144"/>
      <c r="H225" s="142"/>
    </row>
    <row r="226" spans="1:19" ht="16.5" customHeight="1" x14ac:dyDescent="0.15">
      <c r="A226" s="84"/>
      <c r="B226" s="85"/>
      <c r="C226" s="145" t="s">
        <v>477</v>
      </c>
      <c r="D226" s="146"/>
      <c r="E226" s="147"/>
      <c r="F226" s="148"/>
      <c r="G226" s="149"/>
      <c r="H226" s="147"/>
    </row>
    <row r="227" spans="1:19" ht="16.5" customHeight="1" x14ac:dyDescent="0.15">
      <c r="A227" s="84"/>
      <c r="B227" s="85" t="str">
        <f>'Giá tháng'!B6</f>
        <v>A24.1042</v>
      </c>
      <c r="C227" s="86" t="str">
        <f>'Giá tháng'!C6</f>
        <v>Cát</v>
      </c>
      <c r="D227" s="85" t="str">
        <f>'Giá tháng'!D6</f>
        <v>m3</v>
      </c>
      <c r="E227" s="150"/>
      <c r="F227" s="135">
        <v>1.22</v>
      </c>
      <c r="G227" s="136">
        <f>'Giá tháng'!G6</f>
        <v>1</v>
      </c>
      <c r="H227" s="150">
        <f>E225*F227*G227</f>
        <v>3.0499999999999999E-2</v>
      </c>
      <c r="Q227" s="73">
        <f>'Cước VC'!AV6</f>
        <v>0</v>
      </c>
      <c r="R227" s="73">
        <f>'Cước bộ'!W6</f>
        <v>0</v>
      </c>
      <c r="S227" s="73">
        <v>104</v>
      </c>
    </row>
    <row r="228" spans="1:19" ht="16.5" customHeight="1" x14ac:dyDescent="0.15">
      <c r="A228" s="84"/>
      <c r="B228" s="85" t="s">
        <v>478</v>
      </c>
      <c r="C228" s="86" t="s">
        <v>479</v>
      </c>
      <c r="D228" s="85" t="s">
        <v>480</v>
      </c>
      <c r="E228" s="150"/>
      <c r="F228" s="135">
        <v>2</v>
      </c>
      <c r="G228" s="136"/>
      <c r="H228" s="150"/>
      <c r="M228" s="73">
        <f>E225*F228*(F227*'Giá tháng'!E6*'Giá tháng'!G6)/100</f>
        <v>85.4</v>
      </c>
      <c r="O228" s="73">
        <f>E225*F228*(F227*('Giá tháng'!F6+Q227+R227)*'Giá tháng'!G6)/100</f>
        <v>170.8</v>
      </c>
    </row>
    <row r="229" spans="1:19" ht="16.5" customHeight="1" x14ac:dyDescent="0.15">
      <c r="A229" s="84"/>
      <c r="B229" s="85"/>
      <c r="C229" s="145" t="s">
        <v>481</v>
      </c>
      <c r="D229" s="146"/>
      <c r="E229" s="147"/>
      <c r="F229" s="148"/>
      <c r="G229" s="149"/>
      <c r="H229" s="147"/>
    </row>
    <row r="230" spans="1:19" ht="16.5" customHeight="1" x14ac:dyDescent="0.15">
      <c r="A230" s="84"/>
      <c r="B230" s="85" t="str">
        <f>'Giá tháng'!B27</f>
        <v>N1.30</v>
      </c>
      <c r="C230" s="86" t="str">
        <f>'Giá tháng'!C27</f>
        <v>Nhân công 3,0/7 - Nhóm 1</v>
      </c>
      <c r="D230" s="85" t="str">
        <f>'Giá tháng'!D27</f>
        <v>công</v>
      </c>
      <c r="E230" s="150"/>
      <c r="F230" s="135">
        <v>0.45</v>
      </c>
      <c r="G230" s="136">
        <f>'Giá tháng'!G27</f>
        <v>1</v>
      </c>
      <c r="H230" s="150">
        <f>E225*F230*G230</f>
        <v>1.1250000000000001E-2</v>
      </c>
      <c r="S230" s="73">
        <v>201</v>
      </c>
    </row>
    <row r="231" spans="1:19" ht="28.5" customHeight="1" x14ac:dyDescent="0.15">
      <c r="A231" s="141">
        <f>'Công trình'!A94</f>
        <v>31</v>
      </c>
      <c r="B231" s="122" t="str">
        <f>'Công trình'!E94</f>
        <v>AF.82511</v>
      </c>
      <c r="C231" s="123" t="str">
        <f>'Công trình'!F94</f>
        <v>Ván khuôn thép. Ván khuôn móng dài</v>
      </c>
      <c r="D231" s="122" t="str">
        <f>'Công trình'!G94</f>
        <v>100m2</v>
      </c>
      <c r="E231" s="142">
        <f>'Công trình'!P94</f>
        <v>1.9E-2</v>
      </c>
      <c r="F231" s="143"/>
      <c r="G231" s="144"/>
      <c r="H231" s="142"/>
    </row>
    <row r="232" spans="1:19" ht="16.5" customHeight="1" x14ac:dyDescent="0.15">
      <c r="A232" s="84"/>
      <c r="B232" s="85"/>
      <c r="C232" s="145" t="s">
        <v>477</v>
      </c>
      <c r="D232" s="146"/>
      <c r="E232" s="147"/>
      <c r="F232" s="148"/>
      <c r="G232" s="149"/>
      <c r="H232" s="147"/>
    </row>
    <row r="233" spans="1:19" ht="16.5" customHeight="1" x14ac:dyDescent="0.15">
      <c r="A233" s="84"/>
      <c r="B233" s="85" t="str">
        <f>'Giá tháng'!B21</f>
        <v>A24.0726</v>
      </c>
      <c r="C233" s="86" t="str">
        <f>'Giá tháng'!C21</f>
        <v>Thép tấm</v>
      </c>
      <c r="D233" s="85" t="str">
        <f>'Giá tháng'!D21</f>
        <v>kg</v>
      </c>
      <c r="E233" s="150"/>
      <c r="F233" s="135">
        <v>51.81</v>
      </c>
      <c r="G233" s="136">
        <f>'Giá tháng'!G21</f>
        <v>1</v>
      </c>
      <c r="H233" s="150">
        <f>E231*F233*G233</f>
        <v>0.98438999999999999</v>
      </c>
      <c r="Q233" s="73">
        <f>'Cước VC'!AV21</f>
        <v>0</v>
      </c>
      <c r="R233" s="73">
        <f>'Cước bộ'!W21</f>
        <v>0</v>
      </c>
      <c r="S233" s="73">
        <v>1019</v>
      </c>
    </row>
    <row r="234" spans="1:19" ht="16.5" customHeight="1" x14ac:dyDescent="0.15">
      <c r="A234" s="84"/>
      <c r="B234" s="85" t="str">
        <f>'Giá tháng'!B20</f>
        <v>A24.0712</v>
      </c>
      <c r="C234" s="86" t="str">
        <f>'Giá tháng'!C20</f>
        <v>Thép hình</v>
      </c>
      <c r="D234" s="85" t="str">
        <f>'Giá tháng'!D20</f>
        <v>kg</v>
      </c>
      <c r="E234" s="150"/>
      <c r="F234" s="135">
        <v>32.020000000000003</v>
      </c>
      <c r="G234" s="136">
        <f>'Giá tháng'!G20</f>
        <v>1</v>
      </c>
      <c r="H234" s="150">
        <f>E231*F234*G234</f>
        <v>0.60838000000000003</v>
      </c>
      <c r="Q234" s="73">
        <f>'Cước VC'!AV20</f>
        <v>0</v>
      </c>
      <c r="R234" s="73">
        <f>'Cước bộ'!W20</f>
        <v>0</v>
      </c>
      <c r="S234" s="73">
        <v>1018</v>
      </c>
    </row>
    <row r="235" spans="1:19" ht="16.5" customHeight="1" x14ac:dyDescent="0.15">
      <c r="A235" s="84"/>
      <c r="B235" s="85" t="str">
        <f>'Giá tháng'!B19</f>
        <v>A24.0543</v>
      </c>
      <c r="C235" s="86" t="str">
        <f>'Giá tháng'!C19</f>
        <v>Que hàn</v>
      </c>
      <c r="D235" s="85" t="str">
        <f>'Giá tháng'!D19</f>
        <v>kg</v>
      </c>
      <c r="E235" s="150"/>
      <c r="F235" s="135">
        <v>3.26</v>
      </c>
      <c r="G235" s="136">
        <f>'Giá tháng'!G19</f>
        <v>1</v>
      </c>
      <c r="H235" s="150">
        <f>E231*F235*G235</f>
        <v>6.1939999999999995E-2</v>
      </c>
      <c r="Q235" s="73">
        <f>'Cước VC'!AV19</f>
        <v>0</v>
      </c>
      <c r="R235" s="73">
        <f>'Cước bộ'!W19</f>
        <v>0</v>
      </c>
      <c r="S235" s="73">
        <v>1017</v>
      </c>
    </row>
    <row r="236" spans="1:19" ht="16.5" customHeight="1" x14ac:dyDescent="0.15">
      <c r="A236" s="84"/>
      <c r="B236" s="85" t="s">
        <v>478</v>
      </c>
      <c r="C236" s="86" t="s">
        <v>479</v>
      </c>
      <c r="D236" s="85" t="s">
        <v>480</v>
      </c>
      <c r="E236" s="150"/>
      <c r="F236" s="135">
        <v>5</v>
      </c>
      <c r="G236" s="136"/>
      <c r="H236" s="150"/>
      <c r="M236" s="73">
        <f>E231*F236*(F233*'Giá tháng'!E21*'Giá tháng'!G21+F234*'Giá tháng'!E20*'Giá tháng'!G20+F235*'Giá tháng'!E19*'Giá tháng'!G19)/100</f>
        <v>1610.4661249999999</v>
      </c>
      <c r="O236" s="73">
        <f>E231*F236*(F233*('Giá tháng'!F21+Q233+R233)*'Giá tháng'!G21+F234*('Giá tháng'!F20+Q234+R234)*'Giá tháng'!G20+F235*('Giá tháng'!F19+Q235+R235)*'Giá tháng'!G19)/100</f>
        <v>1574.6288</v>
      </c>
    </row>
    <row r="237" spans="1:19" ht="16.5" customHeight="1" x14ac:dyDescent="0.15">
      <c r="A237" s="84"/>
      <c r="B237" s="85"/>
      <c r="C237" s="145" t="s">
        <v>481</v>
      </c>
      <c r="D237" s="146"/>
      <c r="E237" s="147"/>
      <c r="F237" s="148"/>
      <c r="G237" s="149"/>
      <c r="H237" s="147"/>
    </row>
    <row r="238" spans="1:19" ht="16.5" customHeight="1" x14ac:dyDescent="0.15">
      <c r="A238" s="84"/>
      <c r="B238" s="85" t="str">
        <f>'Giá tháng'!B30</f>
        <v>N2.40</v>
      </c>
      <c r="C238" s="86" t="str">
        <f>'Giá tháng'!C30</f>
        <v>Nhân công 4,0/7 - Nhóm 2</v>
      </c>
      <c r="D238" s="85" t="str">
        <f>'Giá tháng'!D30</f>
        <v>công</v>
      </c>
      <c r="E238" s="150"/>
      <c r="F238" s="135">
        <v>12.25</v>
      </c>
      <c r="G238" s="136">
        <f>'Giá tháng'!G30</f>
        <v>1</v>
      </c>
      <c r="H238" s="150">
        <f>E231*F238*G238</f>
        <v>0.23274999999999998</v>
      </c>
      <c r="S238" s="73">
        <v>204</v>
      </c>
    </row>
    <row r="239" spans="1:19" ht="16.5" customHeight="1" x14ac:dyDescent="0.15">
      <c r="A239" s="84"/>
      <c r="B239" s="85"/>
      <c r="C239" s="145" t="s">
        <v>482</v>
      </c>
      <c r="D239" s="146"/>
      <c r="E239" s="147"/>
      <c r="F239" s="148"/>
      <c r="G239" s="149"/>
      <c r="H239" s="147"/>
    </row>
    <row r="240" spans="1:19" ht="28.5" customHeight="1" x14ac:dyDescent="0.15">
      <c r="A240" s="84"/>
      <c r="B240" s="85" t="str">
        <f>'Giá tháng'!B45</f>
        <v>M112.4003</v>
      </c>
      <c r="C240" s="86" t="str">
        <f>'Giá tháng'!C45</f>
        <v>Máy hàn xoay chiều - công suất : 23,0 kW</v>
      </c>
      <c r="D240" s="85" t="str">
        <f>'Giá tháng'!D45</f>
        <v>ca</v>
      </c>
      <c r="E240" s="150"/>
      <c r="F240" s="135">
        <v>0.82</v>
      </c>
      <c r="G240" s="136">
        <f>'Giá tháng'!G45</f>
        <v>1</v>
      </c>
      <c r="H240" s="150">
        <f>E231*F240*G240</f>
        <v>1.5579999999999998E-2</v>
      </c>
      <c r="S240" s="73">
        <v>3015</v>
      </c>
    </row>
    <row r="241" spans="1:19" ht="16.5" customHeight="1" x14ac:dyDescent="0.15">
      <c r="A241" s="84"/>
      <c r="B241" s="85" t="s">
        <v>483</v>
      </c>
      <c r="C241" s="86" t="s">
        <v>484</v>
      </c>
      <c r="D241" s="85" t="s">
        <v>480</v>
      </c>
      <c r="E241" s="150"/>
      <c r="F241" s="135">
        <v>2</v>
      </c>
      <c r="G241" s="136"/>
      <c r="H241" s="150"/>
      <c r="N241" s="73">
        <f>E231*F241*(F240*'Giá tháng'!E45*'Giá tháng'!G45)/100</f>
        <v>128.28572</v>
      </c>
      <c r="P241" s="73">
        <f>E231*F241*(F240*'Giá tháng'!F45*'Giá tháng'!G45)/100</f>
        <v>139.43632599999998</v>
      </c>
    </row>
    <row r="242" spans="1:19" ht="53.25" customHeight="1" x14ac:dyDescent="0.15">
      <c r="A242" s="141">
        <f>'Công trình'!A96</f>
        <v>32</v>
      </c>
      <c r="B242" s="122" t="str">
        <f>'Công trình'!E96</f>
        <v>AF.11211A</v>
      </c>
      <c r="C242" s="123" t="str">
        <f>'Công trình'!F96</f>
        <v>Đổ bê tông thủ công bằng máy trộn, bê tông móng, chiều rộng &lt;= 250 cm, đá 1x2, mác 100, PCB30</v>
      </c>
      <c r="D242" s="122" t="str">
        <f>'Công trình'!G96</f>
        <v>m3</v>
      </c>
      <c r="E242" s="142">
        <f>'Công trình'!P96</f>
        <v>2.52</v>
      </c>
      <c r="F242" s="143"/>
      <c r="G242" s="144"/>
      <c r="H242" s="142"/>
    </row>
    <row r="243" spans="1:19" ht="16.5" customHeight="1" x14ac:dyDescent="0.15">
      <c r="A243" s="84"/>
      <c r="B243" s="85"/>
      <c r="C243" s="145" t="s">
        <v>477</v>
      </c>
      <c r="D243" s="146"/>
      <c r="E243" s="147"/>
      <c r="F243" s="148"/>
      <c r="G243" s="149"/>
      <c r="H243" s="147"/>
    </row>
    <row r="244" spans="1:19" ht="16.5" customHeight="1" x14ac:dyDescent="0.15">
      <c r="A244" s="84"/>
      <c r="B244" s="85" t="str">
        <f>'Giá tháng'!B25</f>
        <v>A24.0797A</v>
      </c>
      <c r="C244" s="86" t="str">
        <f>'Giá tháng'!C25</f>
        <v>Xi măng PCB30</v>
      </c>
      <c r="D244" s="85" t="str">
        <f>'Giá tháng'!D25</f>
        <v>kg</v>
      </c>
      <c r="E244" s="150"/>
      <c r="F244" s="135">
        <v>222.42500000000001</v>
      </c>
      <c r="G244" s="136">
        <f>'Giá tháng'!G25</f>
        <v>1</v>
      </c>
      <c r="H244" s="150">
        <f>E242*F244*G244</f>
        <v>560.51100000000008</v>
      </c>
      <c r="Q244" s="73">
        <f>'Cước VC'!AV25</f>
        <v>0</v>
      </c>
      <c r="R244" s="73">
        <f>'Cước bộ'!W25</f>
        <v>0</v>
      </c>
      <c r="S244" s="73">
        <v>1023</v>
      </c>
    </row>
    <row r="245" spans="1:19" ht="16.5" customHeight="1" x14ac:dyDescent="0.15">
      <c r="A245" s="84"/>
      <c r="B245" s="85" t="str">
        <f>'Giá tháng'!B7</f>
        <v>A24.0180</v>
      </c>
      <c r="C245" s="86" t="str">
        <f>'Giá tháng'!C7</f>
        <v>Cát vàng</v>
      </c>
      <c r="D245" s="85" t="str">
        <f>'Giá tháng'!D7</f>
        <v>m3</v>
      </c>
      <c r="E245" s="150"/>
      <c r="F245" s="135">
        <v>0.55247500000000005</v>
      </c>
      <c r="G245" s="136">
        <f>'Giá tháng'!G7</f>
        <v>1</v>
      </c>
      <c r="H245" s="150">
        <f>E242*F245*G245</f>
        <v>1.3922370000000002</v>
      </c>
      <c r="Q245" s="73">
        <f>'Cước VC'!AV7</f>
        <v>0</v>
      </c>
      <c r="R245" s="73">
        <f>'Cước bộ'!W7</f>
        <v>0</v>
      </c>
      <c r="S245" s="73">
        <v>105</v>
      </c>
    </row>
    <row r="246" spans="1:19" ht="16.5" customHeight="1" x14ac:dyDescent="0.15">
      <c r="A246" s="84"/>
      <c r="B246" s="85" t="str">
        <f>'Giá tháng'!B13</f>
        <v>A24.0008</v>
      </c>
      <c r="C246" s="86" t="str">
        <f>'Giá tháng'!C13</f>
        <v>Đá 1x2</v>
      </c>
      <c r="D246" s="85" t="str">
        <f>'Giá tháng'!D13</f>
        <v>m3</v>
      </c>
      <c r="E246" s="150"/>
      <c r="F246" s="135">
        <v>0.90917499999999996</v>
      </c>
      <c r="G246" s="136">
        <f>'Giá tháng'!G13</f>
        <v>1</v>
      </c>
      <c r="H246" s="150">
        <f>E242*F246*G246</f>
        <v>2.291121</v>
      </c>
      <c r="Q246" s="73">
        <f>'Cước VC'!AV13</f>
        <v>0</v>
      </c>
      <c r="R246" s="73">
        <f>'Cước bộ'!W13</f>
        <v>0</v>
      </c>
      <c r="S246" s="73">
        <v>1011</v>
      </c>
    </row>
    <row r="247" spans="1:19" ht="16.5" customHeight="1" x14ac:dyDescent="0.15">
      <c r="A247" s="84"/>
      <c r="B247" s="85" t="str">
        <f>'Giá tháng'!B15</f>
        <v>A24.0524</v>
      </c>
      <c r="C247" s="86" t="str">
        <f>'Giá tháng'!C15</f>
        <v>Nước</v>
      </c>
      <c r="D247" s="85" t="str">
        <f>'Giá tháng'!D15</f>
        <v>lít</v>
      </c>
      <c r="E247" s="150"/>
      <c r="F247" s="135">
        <v>187.57499999999999</v>
      </c>
      <c r="G247" s="136">
        <f>'Giá tháng'!G15</f>
        <v>1</v>
      </c>
      <c r="H247" s="150">
        <f>E242*F247*G247</f>
        <v>472.68899999999996</v>
      </c>
      <c r="Q247" s="73">
        <f>'Cước VC'!AV15</f>
        <v>0</v>
      </c>
      <c r="R247" s="73">
        <f>'Cước bộ'!W15</f>
        <v>0</v>
      </c>
      <c r="S247" s="73">
        <v>1013</v>
      </c>
    </row>
    <row r="248" spans="1:19" ht="16.5" customHeight="1" x14ac:dyDescent="0.15">
      <c r="A248" s="84"/>
      <c r="B248" s="85" t="s">
        <v>478</v>
      </c>
      <c r="C248" s="86" t="s">
        <v>479</v>
      </c>
      <c r="D248" s="85" t="s">
        <v>480</v>
      </c>
      <c r="E248" s="150"/>
      <c r="F248" s="135">
        <v>1</v>
      </c>
      <c r="G248" s="136"/>
      <c r="H248" s="150"/>
      <c r="M248" s="73">
        <f>E242*F248*(F244*'Giá tháng'!E25*'Giá tháng'!G25+F245*'Giá tháng'!E7*'Giá tháng'!G7+F246*'Giá tháng'!E13*'Giá tháng'!G13+F247*'Giá tháng'!E15*'Giá tháng'!G15)/100</f>
        <v>21388.428179999999</v>
      </c>
      <c r="O248" s="73">
        <f>E242*F248*(F244*('Giá tháng'!F25+Q244+R244)*'Giá tháng'!G25+F245*('Giá tháng'!F7+Q245+R245)*'Giá tháng'!G7+F246*('Giá tháng'!F13+Q246+R246)*'Giá tháng'!G13+F247*('Giá tháng'!F15+Q247+R247)*'Giá tháng'!G15)/100</f>
        <v>30218.129550000001</v>
      </c>
    </row>
    <row r="249" spans="1:19" ht="16.5" customHeight="1" x14ac:dyDescent="0.15">
      <c r="A249" s="84"/>
      <c r="B249" s="85"/>
      <c r="C249" s="145" t="s">
        <v>481</v>
      </c>
      <c r="D249" s="146"/>
      <c r="E249" s="147"/>
      <c r="F249" s="148"/>
      <c r="G249" s="149"/>
      <c r="H249" s="147"/>
    </row>
    <row r="250" spans="1:19" ht="16.5" customHeight="1" x14ac:dyDescent="0.15">
      <c r="A250" s="84"/>
      <c r="B250" s="85" t="str">
        <f>'Giá tháng'!B28</f>
        <v>N2.30</v>
      </c>
      <c r="C250" s="86" t="str">
        <f>'Giá tháng'!C28</f>
        <v>Nhân công 3,0/7 - Nhóm 2</v>
      </c>
      <c r="D250" s="85" t="str">
        <f>'Giá tháng'!D28</f>
        <v>công</v>
      </c>
      <c r="E250" s="150"/>
      <c r="F250" s="135">
        <v>1.23</v>
      </c>
      <c r="G250" s="136">
        <f>'Giá tháng'!G28</f>
        <v>1</v>
      </c>
      <c r="H250" s="150">
        <f>E242*F250*G250</f>
        <v>3.0996000000000001</v>
      </c>
      <c r="S250" s="73">
        <v>202</v>
      </c>
    </row>
    <row r="251" spans="1:19" ht="16.5" customHeight="1" x14ac:dyDescent="0.15">
      <c r="A251" s="84"/>
      <c r="B251" s="85"/>
      <c r="C251" s="145" t="s">
        <v>482</v>
      </c>
      <c r="D251" s="146"/>
      <c r="E251" s="147"/>
      <c r="F251" s="148"/>
      <c r="G251" s="149"/>
      <c r="H251" s="147"/>
    </row>
    <row r="252" spans="1:19" ht="28.5" customHeight="1" x14ac:dyDescent="0.15">
      <c r="A252" s="84"/>
      <c r="B252" s="85" t="str">
        <f>'Giá tháng'!B47</f>
        <v>M104.0102</v>
      </c>
      <c r="C252" s="86" t="str">
        <f>'Giá tháng'!C47</f>
        <v>Máy trộn bê tông - dung tích : 250,0 lít</v>
      </c>
      <c r="D252" s="85" t="str">
        <f>'Giá tháng'!D47</f>
        <v>ca</v>
      </c>
      <c r="E252" s="150"/>
      <c r="F252" s="135">
        <v>9.5000000000000001E-2</v>
      </c>
      <c r="G252" s="136">
        <f>'Giá tháng'!G47</f>
        <v>1</v>
      </c>
      <c r="H252" s="150">
        <f>E242*F252*G252</f>
        <v>0.2394</v>
      </c>
      <c r="S252" s="73">
        <v>3017</v>
      </c>
    </row>
    <row r="253" spans="1:19" ht="28.5" customHeight="1" x14ac:dyDescent="0.15">
      <c r="A253" s="84"/>
      <c r="B253" s="85" t="str">
        <f>'Giá tháng'!B42</f>
        <v>M112.1301</v>
      </c>
      <c r="C253" s="86" t="str">
        <f>'Giá tháng'!C42</f>
        <v>Máy đầm bê tông, dầm dùi - công suất : 1,5 kW</v>
      </c>
      <c r="D253" s="85" t="str">
        <f>'Giá tháng'!D42</f>
        <v>ca</v>
      </c>
      <c r="E253" s="150"/>
      <c r="F253" s="135">
        <v>8.8999999999999996E-2</v>
      </c>
      <c r="G253" s="136">
        <f>'Giá tháng'!G42</f>
        <v>1</v>
      </c>
      <c r="H253" s="150">
        <f>E242*F253*G253</f>
        <v>0.22427999999999998</v>
      </c>
      <c r="S253" s="73">
        <v>3012</v>
      </c>
    </row>
    <row r="254" spans="1:19" ht="28.5" customHeight="1" x14ac:dyDescent="0.15">
      <c r="A254" s="141">
        <f>'Công trình'!A98</f>
        <v>33</v>
      </c>
      <c r="B254" s="122" t="str">
        <f>'Công trình'!E98</f>
        <v>AF.82511</v>
      </c>
      <c r="C254" s="123" t="str">
        <f>'Công trình'!F98</f>
        <v>Ván khuôn thép. Ván khuôn móng dài</v>
      </c>
      <c r="D254" s="122" t="str">
        <f>'Công trình'!G98</f>
        <v>100m2</v>
      </c>
      <c r="E254" s="142">
        <f>'Công trình'!P98</f>
        <v>7.4999999999999997E-2</v>
      </c>
      <c r="F254" s="143"/>
      <c r="G254" s="144"/>
      <c r="H254" s="142"/>
    </row>
    <row r="255" spans="1:19" ht="16.5" customHeight="1" x14ac:dyDescent="0.15">
      <c r="A255" s="84"/>
      <c r="B255" s="85"/>
      <c r="C255" s="145" t="s">
        <v>477</v>
      </c>
      <c r="D255" s="146"/>
      <c r="E255" s="147"/>
      <c r="F255" s="148"/>
      <c r="G255" s="149"/>
      <c r="H255" s="147"/>
    </row>
    <row r="256" spans="1:19" ht="16.5" customHeight="1" x14ac:dyDescent="0.15">
      <c r="A256" s="84"/>
      <c r="B256" s="85" t="str">
        <f>'Giá tháng'!B21</f>
        <v>A24.0726</v>
      </c>
      <c r="C256" s="86" t="str">
        <f>'Giá tháng'!C21</f>
        <v>Thép tấm</v>
      </c>
      <c r="D256" s="85" t="str">
        <f>'Giá tháng'!D21</f>
        <v>kg</v>
      </c>
      <c r="E256" s="150"/>
      <c r="F256" s="135">
        <v>51.81</v>
      </c>
      <c r="G256" s="136">
        <f>'Giá tháng'!G21</f>
        <v>1</v>
      </c>
      <c r="H256" s="150">
        <f>E254*F256*G256</f>
        <v>3.8857499999999998</v>
      </c>
      <c r="Q256" s="73">
        <f>'Cước VC'!AV21</f>
        <v>0</v>
      </c>
      <c r="R256" s="73">
        <f>'Cước bộ'!W21</f>
        <v>0</v>
      </c>
      <c r="S256" s="73">
        <v>1019</v>
      </c>
    </row>
    <row r="257" spans="1:19" ht="16.5" customHeight="1" x14ac:dyDescent="0.15">
      <c r="A257" s="84"/>
      <c r="B257" s="85" t="str">
        <f>'Giá tháng'!B20</f>
        <v>A24.0712</v>
      </c>
      <c r="C257" s="86" t="str">
        <f>'Giá tháng'!C20</f>
        <v>Thép hình</v>
      </c>
      <c r="D257" s="85" t="str">
        <f>'Giá tháng'!D20</f>
        <v>kg</v>
      </c>
      <c r="E257" s="150"/>
      <c r="F257" s="135">
        <v>32.020000000000003</v>
      </c>
      <c r="G257" s="136">
        <f>'Giá tháng'!G20</f>
        <v>1</v>
      </c>
      <c r="H257" s="150">
        <f>E254*F257*G257</f>
        <v>2.4015</v>
      </c>
      <c r="Q257" s="73">
        <f>'Cước VC'!AV20</f>
        <v>0</v>
      </c>
      <c r="R257" s="73">
        <f>'Cước bộ'!W20</f>
        <v>0</v>
      </c>
      <c r="S257" s="73">
        <v>1018</v>
      </c>
    </row>
    <row r="258" spans="1:19" ht="16.5" customHeight="1" x14ac:dyDescent="0.15">
      <c r="A258" s="84"/>
      <c r="B258" s="85" t="str">
        <f>'Giá tháng'!B19</f>
        <v>A24.0543</v>
      </c>
      <c r="C258" s="86" t="str">
        <f>'Giá tháng'!C19</f>
        <v>Que hàn</v>
      </c>
      <c r="D258" s="85" t="str">
        <f>'Giá tháng'!D19</f>
        <v>kg</v>
      </c>
      <c r="E258" s="150"/>
      <c r="F258" s="135">
        <v>3.26</v>
      </c>
      <c r="G258" s="136">
        <f>'Giá tháng'!G19</f>
        <v>1</v>
      </c>
      <c r="H258" s="150">
        <f>E254*F258*G258</f>
        <v>0.24449999999999997</v>
      </c>
      <c r="Q258" s="73">
        <f>'Cước VC'!AV19</f>
        <v>0</v>
      </c>
      <c r="R258" s="73">
        <f>'Cước bộ'!W19</f>
        <v>0</v>
      </c>
      <c r="S258" s="73">
        <v>1017</v>
      </c>
    </row>
    <row r="259" spans="1:19" ht="16.5" customHeight="1" x14ac:dyDescent="0.15">
      <c r="A259" s="84"/>
      <c r="B259" s="85" t="s">
        <v>478</v>
      </c>
      <c r="C259" s="86" t="s">
        <v>479</v>
      </c>
      <c r="D259" s="85" t="s">
        <v>480</v>
      </c>
      <c r="E259" s="150"/>
      <c r="F259" s="135">
        <v>5</v>
      </c>
      <c r="G259" s="136"/>
      <c r="H259" s="150"/>
      <c r="M259" s="73">
        <f>E254*F259*(F256*'Giá tháng'!E21*'Giá tháng'!G21+F257*'Giá tháng'!E20*'Giá tháng'!G20+F258*'Giá tháng'!E19*'Giá tháng'!G19)/100</f>
        <v>6357.1031249999996</v>
      </c>
      <c r="O259" s="73">
        <f>E254*F259*(F256*('Giá tháng'!F21+Q256+R256)*'Giá tháng'!G21+F257*('Giá tháng'!F20+Q257+R257)*'Giá tháng'!G20+F258*('Giá tháng'!F19+Q258+R258)*'Giá tháng'!G19)/100</f>
        <v>6215.64</v>
      </c>
    </row>
    <row r="260" spans="1:19" ht="16.5" customHeight="1" x14ac:dyDescent="0.15">
      <c r="A260" s="84"/>
      <c r="B260" s="85"/>
      <c r="C260" s="145" t="s">
        <v>481</v>
      </c>
      <c r="D260" s="146"/>
      <c r="E260" s="147"/>
      <c r="F260" s="148"/>
      <c r="G260" s="149"/>
      <c r="H260" s="147"/>
    </row>
    <row r="261" spans="1:19" ht="16.5" customHeight="1" x14ac:dyDescent="0.15">
      <c r="A261" s="84"/>
      <c r="B261" s="85" t="str">
        <f>'Giá tháng'!B30</f>
        <v>N2.40</v>
      </c>
      <c r="C261" s="86" t="str">
        <f>'Giá tháng'!C30</f>
        <v>Nhân công 4,0/7 - Nhóm 2</v>
      </c>
      <c r="D261" s="85" t="str">
        <f>'Giá tháng'!D30</f>
        <v>công</v>
      </c>
      <c r="E261" s="150"/>
      <c r="F261" s="135">
        <v>12.25</v>
      </c>
      <c r="G261" s="136">
        <f>'Giá tháng'!G30</f>
        <v>1</v>
      </c>
      <c r="H261" s="150">
        <f>E254*F261*G261</f>
        <v>0.91874999999999996</v>
      </c>
      <c r="S261" s="73">
        <v>204</v>
      </c>
    </row>
    <row r="262" spans="1:19" ht="16.5" customHeight="1" x14ac:dyDescent="0.15">
      <c r="A262" s="84"/>
      <c r="B262" s="85"/>
      <c r="C262" s="145" t="s">
        <v>482</v>
      </c>
      <c r="D262" s="146"/>
      <c r="E262" s="147"/>
      <c r="F262" s="148"/>
      <c r="G262" s="149"/>
      <c r="H262" s="147"/>
    </row>
    <row r="263" spans="1:19" ht="28.5" customHeight="1" x14ac:dyDescent="0.15">
      <c r="A263" s="84"/>
      <c r="B263" s="85" t="str">
        <f>'Giá tháng'!B45</f>
        <v>M112.4003</v>
      </c>
      <c r="C263" s="86" t="str">
        <f>'Giá tháng'!C45</f>
        <v>Máy hàn xoay chiều - công suất : 23,0 kW</v>
      </c>
      <c r="D263" s="85" t="str">
        <f>'Giá tháng'!D45</f>
        <v>ca</v>
      </c>
      <c r="E263" s="150"/>
      <c r="F263" s="135">
        <v>0.82</v>
      </c>
      <c r="G263" s="136">
        <f>'Giá tháng'!G45</f>
        <v>1</v>
      </c>
      <c r="H263" s="150">
        <f>E254*F263*G263</f>
        <v>6.1499999999999992E-2</v>
      </c>
      <c r="S263" s="73">
        <v>3015</v>
      </c>
    </row>
    <row r="264" spans="1:19" ht="16.5" customHeight="1" x14ac:dyDescent="0.15">
      <c r="A264" s="84"/>
      <c r="B264" s="85" t="s">
        <v>483</v>
      </c>
      <c r="C264" s="86" t="s">
        <v>484</v>
      </c>
      <c r="D264" s="85" t="s">
        <v>480</v>
      </c>
      <c r="E264" s="150"/>
      <c r="F264" s="135">
        <v>2</v>
      </c>
      <c r="G264" s="136"/>
      <c r="H264" s="150"/>
      <c r="N264" s="73">
        <f>E254*F264*(F263*'Giá tháng'!E45*'Giá tháng'!G45)/100</f>
        <v>506.39099999999996</v>
      </c>
      <c r="P264" s="73">
        <f>E254*F264*(F263*'Giá tháng'!F45*'Giá tháng'!G45)/100</f>
        <v>550.40654999999992</v>
      </c>
    </row>
    <row r="265" spans="1:19" ht="53.25" customHeight="1" x14ac:dyDescent="0.15">
      <c r="A265" s="141">
        <f>'Công trình'!A100</f>
        <v>34</v>
      </c>
      <c r="B265" s="122" t="str">
        <f>'Công trình'!E100</f>
        <v>AF.11214A</v>
      </c>
      <c r="C265" s="123" t="str">
        <f>'Công trình'!F100</f>
        <v>Đổ bê tông thủ công bằng máy trộn, bê tông móng, chiều rộng &lt;= 250 cm, đá 1x2, mác 250, PCB30</v>
      </c>
      <c r="D265" s="122" t="str">
        <f>'Công trình'!G100</f>
        <v>m3</v>
      </c>
      <c r="E265" s="142">
        <f>'Công trình'!P100</f>
        <v>12.834</v>
      </c>
      <c r="F265" s="143"/>
      <c r="G265" s="144"/>
      <c r="H265" s="142"/>
    </row>
    <row r="266" spans="1:19" ht="16.5" customHeight="1" x14ac:dyDescent="0.15">
      <c r="A266" s="84"/>
      <c r="B266" s="85"/>
      <c r="C266" s="145" t="s">
        <v>477</v>
      </c>
      <c r="D266" s="146"/>
      <c r="E266" s="147"/>
      <c r="F266" s="148"/>
      <c r="G266" s="149"/>
      <c r="H266" s="147"/>
    </row>
    <row r="267" spans="1:19" ht="16.5" customHeight="1" x14ac:dyDescent="0.15">
      <c r="A267" s="84"/>
      <c r="B267" s="85" t="str">
        <f>'Giá tháng'!B25</f>
        <v>A24.0797A</v>
      </c>
      <c r="C267" s="86" t="str">
        <f>'Giá tháng'!C25</f>
        <v>Xi măng PCB30</v>
      </c>
      <c r="D267" s="85" t="str">
        <f>'Giá tháng'!D25</f>
        <v>kg</v>
      </c>
      <c r="E267" s="150"/>
      <c r="F267" s="135">
        <v>369</v>
      </c>
      <c r="G267" s="136">
        <f>'Giá tháng'!G25</f>
        <v>1</v>
      </c>
      <c r="H267" s="150">
        <f>E265*F267*G267</f>
        <v>4735.7460000000001</v>
      </c>
      <c r="Q267" s="73">
        <f>'Cước VC'!AV25</f>
        <v>0</v>
      </c>
      <c r="R267" s="73">
        <f>'Cước bộ'!W25</f>
        <v>0</v>
      </c>
      <c r="S267" s="73">
        <v>1023</v>
      </c>
    </row>
    <row r="268" spans="1:19" ht="16.5" customHeight="1" x14ac:dyDescent="0.15">
      <c r="A268" s="84"/>
      <c r="B268" s="85" t="str">
        <f>'Giá tháng'!B7</f>
        <v>A24.0180</v>
      </c>
      <c r="C268" s="86" t="str">
        <f>'Giá tháng'!C7</f>
        <v>Cát vàng</v>
      </c>
      <c r="D268" s="85" t="str">
        <f>'Giá tháng'!D7</f>
        <v>m3</v>
      </c>
      <c r="E268" s="150"/>
      <c r="F268" s="135">
        <v>0.517625</v>
      </c>
      <c r="G268" s="136">
        <f>'Giá tháng'!G7</f>
        <v>1</v>
      </c>
      <c r="H268" s="150">
        <f>E265*F268*G268</f>
        <v>6.6431992499999994</v>
      </c>
      <c r="Q268" s="73">
        <f>'Cước VC'!AV7</f>
        <v>0</v>
      </c>
      <c r="R268" s="73">
        <f>'Cước bộ'!W7</f>
        <v>0</v>
      </c>
      <c r="S268" s="73">
        <v>105</v>
      </c>
    </row>
    <row r="269" spans="1:19" ht="16.5" customHeight="1" x14ac:dyDescent="0.15">
      <c r="A269" s="84"/>
      <c r="B269" s="85" t="str">
        <f>'Giá tháng'!B13</f>
        <v>A24.0008</v>
      </c>
      <c r="C269" s="86" t="str">
        <f>'Giá tháng'!C13</f>
        <v>Đá 1x2</v>
      </c>
      <c r="D269" s="85" t="str">
        <f>'Giá tháng'!D13</f>
        <v>m3</v>
      </c>
      <c r="E269" s="150"/>
      <c r="F269" s="135">
        <v>0.8528</v>
      </c>
      <c r="G269" s="136">
        <f>'Giá tháng'!G13</f>
        <v>1</v>
      </c>
      <c r="H269" s="150">
        <f>E265*F269*G269</f>
        <v>10.9448352</v>
      </c>
      <c r="Q269" s="73">
        <f>'Cước VC'!AV13</f>
        <v>0</v>
      </c>
      <c r="R269" s="73">
        <f>'Cước bộ'!W13</f>
        <v>0</v>
      </c>
      <c r="S269" s="73">
        <v>1011</v>
      </c>
    </row>
    <row r="270" spans="1:19" ht="16.5" customHeight="1" x14ac:dyDescent="0.15">
      <c r="A270" s="84"/>
      <c r="B270" s="85" t="str">
        <f>'Giá tháng'!B15</f>
        <v>A24.0524</v>
      </c>
      <c r="C270" s="86" t="str">
        <f>'Giá tháng'!C15</f>
        <v>Nước</v>
      </c>
      <c r="D270" s="85" t="str">
        <f>'Giá tháng'!D15</f>
        <v>lít</v>
      </c>
      <c r="E270" s="150"/>
      <c r="F270" s="135">
        <v>187.57499999999999</v>
      </c>
      <c r="G270" s="136">
        <f>'Giá tháng'!G15</f>
        <v>1</v>
      </c>
      <c r="H270" s="150">
        <f>E265*F270*G270</f>
        <v>2407.3375499999997</v>
      </c>
      <c r="Q270" s="73">
        <f>'Cước VC'!AV15</f>
        <v>0</v>
      </c>
      <c r="R270" s="73">
        <f>'Cước bộ'!W15</f>
        <v>0</v>
      </c>
      <c r="S270" s="73">
        <v>1013</v>
      </c>
    </row>
    <row r="271" spans="1:19" ht="16.5" customHeight="1" x14ac:dyDescent="0.15">
      <c r="A271" s="84"/>
      <c r="B271" s="85" t="s">
        <v>478</v>
      </c>
      <c r="C271" s="86" t="s">
        <v>479</v>
      </c>
      <c r="D271" s="85" t="s">
        <v>480</v>
      </c>
      <c r="E271" s="150"/>
      <c r="F271" s="135">
        <v>1</v>
      </c>
      <c r="G271" s="136"/>
      <c r="H271" s="150"/>
      <c r="M271" s="73">
        <f>E265*F271*(F267*'Giá tháng'!E25*'Giá tháng'!G25+F268*'Giá tháng'!E7*'Giá tháng'!G7+F269*'Giá tháng'!E13*'Giá tháng'!G13+F270*'Giá tháng'!E15*'Giá tháng'!G15)/100</f>
        <v>130560.04457100001</v>
      </c>
      <c r="O271" s="73">
        <f>E265*F271*(F267*('Giá tháng'!F25+Q267+R267)*'Giá tháng'!G25+F268*('Giá tháng'!F7+Q268+R268)*'Giá tháng'!G7+F269*('Giá tháng'!F13+Q269+R269)*'Giá tháng'!G13+F270*('Giá tháng'!F15+Q270+R270)*'Giá tháng'!G15)/100</f>
        <v>177183.46394099999</v>
      </c>
    </row>
    <row r="272" spans="1:19" ht="16.5" customHeight="1" x14ac:dyDescent="0.15">
      <c r="A272" s="84"/>
      <c r="B272" s="85"/>
      <c r="C272" s="145" t="s">
        <v>481</v>
      </c>
      <c r="D272" s="146"/>
      <c r="E272" s="147"/>
      <c r="F272" s="148"/>
      <c r="G272" s="149"/>
      <c r="H272" s="147"/>
    </row>
    <row r="273" spans="1:19" ht="16.5" customHeight="1" x14ac:dyDescent="0.15">
      <c r="A273" s="84"/>
      <c r="B273" s="85" t="str">
        <f>'Giá tháng'!B28</f>
        <v>N2.30</v>
      </c>
      <c r="C273" s="86" t="str">
        <f>'Giá tháng'!C28</f>
        <v>Nhân công 3,0/7 - Nhóm 2</v>
      </c>
      <c r="D273" s="85" t="str">
        <f>'Giá tháng'!D28</f>
        <v>công</v>
      </c>
      <c r="E273" s="150"/>
      <c r="F273" s="135">
        <v>1.23</v>
      </c>
      <c r="G273" s="136">
        <f>'Giá tháng'!G28</f>
        <v>1</v>
      </c>
      <c r="H273" s="150">
        <f>E265*F273*G273</f>
        <v>15.785819999999999</v>
      </c>
      <c r="S273" s="73">
        <v>202</v>
      </c>
    </row>
    <row r="274" spans="1:19" ht="16.5" customHeight="1" x14ac:dyDescent="0.15">
      <c r="A274" s="84"/>
      <c r="B274" s="85"/>
      <c r="C274" s="145" t="s">
        <v>482</v>
      </c>
      <c r="D274" s="146"/>
      <c r="E274" s="147"/>
      <c r="F274" s="148"/>
      <c r="G274" s="149"/>
      <c r="H274" s="147"/>
    </row>
    <row r="275" spans="1:19" ht="28.5" customHeight="1" x14ac:dyDescent="0.15">
      <c r="A275" s="84"/>
      <c r="B275" s="85" t="str">
        <f>'Giá tháng'!B47</f>
        <v>M104.0102</v>
      </c>
      <c r="C275" s="86" t="str">
        <f>'Giá tháng'!C47</f>
        <v>Máy trộn bê tông - dung tích : 250,0 lít</v>
      </c>
      <c r="D275" s="85" t="str">
        <f>'Giá tháng'!D47</f>
        <v>ca</v>
      </c>
      <c r="E275" s="150"/>
      <c r="F275" s="135">
        <v>9.5000000000000001E-2</v>
      </c>
      <c r="G275" s="136">
        <f>'Giá tháng'!G47</f>
        <v>1</v>
      </c>
      <c r="H275" s="150">
        <f>E265*F275*G275</f>
        <v>1.21923</v>
      </c>
      <c r="S275" s="73">
        <v>3017</v>
      </c>
    </row>
    <row r="276" spans="1:19" ht="28.5" customHeight="1" x14ac:dyDescent="0.15">
      <c r="A276" s="84"/>
      <c r="B276" s="85" t="str">
        <f>'Giá tháng'!B42</f>
        <v>M112.1301</v>
      </c>
      <c r="C276" s="86" t="str">
        <f>'Giá tháng'!C42</f>
        <v>Máy đầm bê tông, dầm dùi - công suất : 1,5 kW</v>
      </c>
      <c r="D276" s="85" t="str">
        <f>'Giá tháng'!D42</f>
        <v>ca</v>
      </c>
      <c r="E276" s="150"/>
      <c r="F276" s="135">
        <v>8.8999999999999996E-2</v>
      </c>
      <c r="G276" s="136">
        <f>'Giá tháng'!G42</f>
        <v>1</v>
      </c>
      <c r="H276" s="150">
        <f>E265*F276*G276</f>
        <v>1.142226</v>
      </c>
      <c r="S276" s="73">
        <v>3012</v>
      </c>
    </row>
    <row r="277" spans="1:19" ht="53.25" customHeight="1" x14ac:dyDescent="0.15">
      <c r="A277" s="141">
        <f>'Công trình'!A103</f>
        <v>35</v>
      </c>
      <c r="B277" s="122" t="str">
        <f>'Công trình'!E103</f>
        <v>AF.61311</v>
      </c>
      <c r="C277" s="123" t="str">
        <f>'Công trình'!F103</f>
        <v>Công tác gia công lắp dựng cốt thép. Cốt thép tường, đường kính cốt thép &lt;= 10mm, chiều cao &lt;= 6m</v>
      </c>
      <c r="D277" s="122" t="str">
        <f>'Công trình'!G103</f>
        <v>tấn</v>
      </c>
      <c r="E277" s="142">
        <f>'Công trình'!P103</f>
        <v>0.2324</v>
      </c>
      <c r="F277" s="143"/>
      <c r="G277" s="144"/>
      <c r="H277" s="142"/>
    </row>
    <row r="278" spans="1:19" ht="16.5" customHeight="1" x14ac:dyDescent="0.15">
      <c r="A278" s="84"/>
      <c r="B278" s="85"/>
      <c r="C278" s="145" t="s">
        <v>477</v>
      </c>
      <c r="D278" s="146"/>
      <c r="E278" s="147"/>
      <c r="F278" s="148"/>
      <c r="G278" s="149"/>
      <c r="H278" s="147"/>
    </row>
    <row r="279" spans="1:19" ht="16.5" customHeight="1" x14ac:dyDescent="0.15">
      <c r="A279" s="84"/>
      <c r="B279" s="85" t="str">
        <f>'Giá tháng'!B22</f>
        <v>A24.0738</v>
      </c>
      <c r="C279" s="86" t="str">
        <f>'Giá tháng'!C22</f>
        <v>Thép tròn D&lt;=10mm</v>
      </c>
      <c r="D279" s="85" t="str">
        <f>'Giá tháng'!D22</f>
        <v>kg</v>
      </c>
      <c r="E279" s="150"/>
      <c r="F279" s="135">
        <v>1005</v>
      </c>
      <c r="G279" s="136">
        <f>'Giá tháng'!G22</f>
        <v>1</v>
      </c>
      <c r="H279" s="150">
        <f>E277*F279*G279</f>
        <v>233.56199999999998</v>
      </c>
      <c r="S279" s="73">
        <v>1020</v>
      </c>
    </row>
    <row r="280" spans="1:19" ht="16.5" customHeight="1" x14ac:dyDescent="0.15">
      <c r="A280" s="84"/>
      <c r="B280" s="85" t="str">
        <f>'Giá tháng'!B12</f>
        <v>A24.0293</v>
      </c>
      <c r="C280" s="86" t="str">
        <f>'Giá tháng'!C12</f>
        <v>Dây thép</v>
      </c>
      <c r="D280" s="85" t="str">
        <f>'Giá tháng'!D12</f>
        <v>kg</v>
      </c>
      <c r="E280" s="150"/>
      <c r="F280" s="135">
        <v>16.07</v>
      </c>
      <c r="G280" s="136">
        <f>'Giá tháng'!G12</f>
        <v>1</v>
      </c>
      <c r="H280" s="150">
        <f>E277*F280*G280</f>
        <v>3.7346680000000001</v>
      </c>
      <c r="S280" s="73">
        <v>1010</v>
      </c>
    </row>
    <row r="281" spans="1:19" ht="16.5" customHeight="1" x14ac:dyDescent="0.15">
      <c r="A281" s="84"/>
      <c r="B281" s="85"/>
      <c r="C281" s="145" t="s">
        <v>481</v>
      </c>
      <c r="D281" s="146"/>
      <c r="E281" s="147"/>
      <c r="F281" s="148"/>
      <c r="G281" s="149"/>
      <c r="H281" s="147"/>
    </row>
    <row r="282" spans="1:19" ht="16.5" customHeight="1" x14ac:dyDescent="0.15">
      <c r="A282" s="84"/>
      <c r="B282" s="85" t="str">
        <f>'Giá tháng'!B29</f>
        <v>N2.35</v>
      </c>
      <c r="C282" s="86" t="str">
        <f>'Giá tháng'!C29</f>
        <v>Nhân công 3,5/7 - Nhóm 2</v>
      </c>
      <c r="D282" s="85" t="str">
        <f>'Giá tháng'!D29</f>
        <v>công</v>
      </c>
      <c r="E282" s="150"/>
      <c r="F282" s="135">
        <v>12.95</v>
      </c>
      <c r="G282" s="136">
        <f>'Giá tháng'!G29</f>
        <v>1</v>
      </c>
      <c r="H282" s="150">
        <f>E277*F282*G282</f>
        <v>3.0095799999999997</v>
      </c>
      <c r="S282" s="73">
        <v>203</v>
      </c>
    </row>
    <row r="283" spans="1:19" ht="16.5" customHeight="1" x14ac:dyDescent="0.15">
      <c r="A283" s="84"/>
      <c r="B283" s="85"/>
      <c r="C283" s="145" t="s">
        <v>482</v>
      </c>
      <c r="D283" s="146"/>
      <c r="E283" s="147"/>
      <c r="F283" s="148"/>
      <c r="G283" s="149"/>
      <c r="H283" s="147"/>
    </row>
    <row r="284" spans="1:19" ht="28.5" customHeight="1" x14ac:dyDescent="0.15">
      <c r="A284" s="84"/>
      <c r="B284" s="85" t="str">
        <f>'Giá tháng'!B38</f>
        <v>M112.2601</v>
      </c>
      <c r="C284" s="86" t="str">
        <f>'Giá tháng'!C38</f>
        <v>Máy cắt uốn cốt thép - công suất : 5,0 kW</v>
      </c>
      <c r="D284" s="85" t="str">
        <f>'Giá tháng'!D38</f>
        <v>ca</v>
      </c>
      <c r="E284" s="150"/>
      <c r="F284" s="135">
        <v>0.4</v>
      </c>
      <c r="G284" s="136">
        <f>'Giá tháng'!G38</f>
        <v>1</v>
      </c>
      <c r="H284" s="150">
        <f>E277*F284*G284</f>
        <v>9.2960000000000001E-2</v>
      </c>
      <c r="S284" s="73">
        <v>308</v>
      </c>
    </row>
    <row r="285" spans="1:19" ht="53.25" customHeight="1" x14ac:dyDescent="0.15">
      <c r="A285" s="141">
        <f>'Công trình'!A105</f>
        <v>36</v>
      </c>
      <c r="B285" s="122" t="str">
        <f>'Công trình'!E105</f>
        <v>AF.86211</v>
      </c>
      <c r="C285" s="123" t="str">
        <f>'Công trình'!F105</f>
        <v>Ván khuôn thép, khung xương thép, cột chống bằng thép ống. Ván khuôn tường, chiều cao &lt;= 28m</v>
      </c>
      <c r="D285" s="122" t="str">
        <f>'Công trình'!G105</f>
        <v>100m2</v>
      </c>
      <c r="E285" s="142">
        <f>'Công trình'!P105</f>
        <v>0.21249999999999999</v>
      </c>
      <c r="F285" s="143"/>
      <c r="G285" s="144"/>
      <c r="H285" s="142"/>
    </row>
    <row r="286" spans="1:19" ht="16.5" customHeight="1" x14ac:dyDescent="0.15">
      <c r="A286" s="84"/>
      <c r="B286" s="85"/>
      <c r="C286" s="145" t="s">
        <v>477</v>
      </c>
      <c r="D286" s="146"/>
      <c r="E286" s="147"/>
      <c r="F286" s="148"/>
      <c r="G286" s="149"/>
      <c r="H286" s="147"/>
    </row>
    <row r="287" spans="1:19" ht="16.5" customHeight="1" x14ac:dyDescent="0.15">
      <c r="A287" s="84"/>
      <c r="B287" s="85" t="str">
        <f>'Giá tháng'!B21</f>
        <v>A24.0726</v>
      </c>
      <c r="C287" s="86" t="str">
        <f>'Giá tháng'!C21</f>
        <v>Thép tấm</v>
      </c>
      <c r="D287" s="85" t="str">
        <f>'Giá tháng'!D21</f>
        <v>kg</v>
      </c>
      <c r="E287" s="150"/>
      <c r="F287" s="135">
        <v>51.81</v>
      </c>
      <c r="G287" s="136">
        <f>'Giá tháng'!G21</f>
        <v>1</v>
      </c>
      <c r="H287" s="150">
        <f>E285*F287*G287</f>
        <v>11.009625</v>
      </c>
      <c r="Q287" s="73">
        <f>'Cước VC'!AV21</f>
        <v>0</v>
      </c>
      <c r="R287" s="73">
        <f>'Cước bộ'!W21</f>
        <v>0</v>
      </c>
      <c r="S287" s="73">
        <v>1019</v>
      </c>
    </row>
    <row r="288" spans="1:19" ht="16.5" customHeight="1" x14ac:dyDescent="0.15">
      <c r="A288" s="84"/>
      <c r="B288" s="85" t="str">
        <f>'Giá tháng'!B20</f>
        <v>A24.0712</v>
      </c>
      <c r="C288" s="86" t="str">
        <f>'Giá tháng'!C20</f>
        <v>Thép hình</v>
      </c>
      <c r="D288" s="85" t="str">
        <f>'Giá tháng'!D20</f>
        <v>kg</v>
      </c>
      <c r="E288" s="150"/>
      <c r="F288" s="135">
        <v>48.84</v>
      </c>
      <c r="G288" s="136">
        <f>'Giá tháng'!G20</f>
        <v>1</v>
      </c>
      <c r="H288" s="150">
        <f>E285*F288*G288</f>
        <v>10.378500000000001</v>
      </c>
      <c r="Q288" s="73">
        <f>'Cước VC'!AV20</f>
        <v>0</v>
      </c>
      <c r="R288" s="73">
        <f>'Cước bộ'!W20</f>
        <v>0</v>
      </c>
      <c r="S288" s="73">
        <v>1018</v>
      </c>
    </row>
    <row r="289" spans="1:19" ht="16.5" customHeight="1" x14ac:dyDescent="0.15">
      <c r="A289" s="84"/>
      <c r="B289" s="85" t="str">
        <f>'Giá tháng'!B11</f>
        <v>A24.0262</v>
      </c>
      <c r="C289" s="86" t="str">
        <f>'Giá tháng'!C11</f>
        <v>Cột chống thép ống</v>
      </c>
      <c r="D289" s="85" t="str">
        <f>'Giá tháng'!D11</f>
        <v>kg</v>
      </c>
      <c r="E289" s="150"/>
      <c r="F289" s="135">
        <v>38.130000000000003</v>
      </c>
      <c r="G289" s="136">
        <f>'Giá tháng'!G11</f>
        <v>1</v>
      </c>
      <c r="H289" s="150">
        <f>E285*F289*G289</f>
        <v>8.1026249999999997</v>
      </c>
      <c r="Q289" s="73">
        <f>'Cước VC'!AV11</f>
        <v>0</v>
      </c>
      <c r="R289" s="73">
        <f>'Cước bộ'!W11</f>
        <v>0</v>
      </c>
      <c r="S289" s="73">
        <v>109</v>
      </c>
    </row>
    <row r="290" spans="1:19" ht="16.5" customHeight="1" x14ac:dyDescent="0.15">
      <c r="A290" s="84"/>
      <c r="B290" s="85" t="str">
        <f>'Giá tháng'!B19</f>
        <v>A24.0543</v>
      </c>
      <c r="C290" s="86" t="str">
        <f>'Giá tháng'!C19</f>
        <v>Que hàn</v>
      </c>
      <c r="D290" s="85" t="str">
        <f>'Giá tháng'!D19</f>
        <v>kg</v>
      </c>
      <c r="E290" s="150"/>
      <c r="F290" s="135">
        <v>5.6</v>
      </c>
      <c r="G290" s="136">
        <f>'Giá tháng'!G19</f>
        <v>1</v>
      </c>
      <c r="H290" s="150">
        <f>E285*F290*G290</f>
        <v>1.19</v>
      </c>
      <c r="Q290" s="73">
        <f>'Cước VC'!AV19</f>
        <v>0</v>
      </c>
      <c r="R290" s="73">
        <f>'Cước bộ'!W19</f>
        <v>0</v>
      </c>
      <c r="S290" s="73">
        <v>1017</v>
      </c>
    </row>
    <row r="291" spans="1:19" ht="16.5" customHeight="1" x14ac:dyDescent="0.15">
      <c r="A291" s="84"/>
      <c r="B291" s="85" t="s">
        <v>478</v>
      </c>
      <c r="C291" s="86" t="s">
        <v>479</v>
      </c>
      <c r="D291" s="85" t="s">
        <v>480</v>
      </c>
      <c r="E291" s="150"/>
      <c r="F291" s="135">
        <v>5</v>
      </c>
      <c r="G291" s="136"/>
      <c r="H291" s="150"/>
      <c r="M291" s="73">
        <f>E285*F291*(F287*'Giá tháng'!E21*'Giá tháng'!G21+F288*'Giá tháng'!E20*'Giá tháng'!G20+F289*'Giá tháng'!E11*'Giá tháng'!G11+F290*'Giá tháng'!E19*'Giá tháng'!G19)/100</f>
        <v>27189.162606249996</v>
      </c>
      <c r="O291" s="73">
        <f>E285*F291*(F287*('Giá tháng'!F21+Q287+R287)*'Giá tháng'!G21+F288*('Giá tháng'!F20+Q288+R288)*'Giá tháng'!G20+F289*('Giá tháng'!F11+Q289+R289)*'Giá tháng'!G11+F290*('Giá tháng'!F19+Q290+R290)*'Giá tháng'!G19)/100</f>
        <v>26707.929793749998</v>
      </c>
    </row>
    <row r="292" spans="1:19" ht="16.5" customHeight="1" x14ac:dyDescent="0.15">
      <c r="A292" s="84"/>
      <c r="B292" s="85"/>
      <c r="C292" s="145" t="s">
        <v>481</v>
      </c>
      <c r="D292" s="146"/>
      <c r="E292" s="147"/>
      <c r="F292" s="148"/>
      <c r="G292" s="149"/>
      <c r="H292" s="147"/>
    </row>
    <row r="293" spans="1:19" ht="16.5" customHeight="1" x14ac:dyDescent="0.15">
      <c r="A293" s="84"/>
      <c r="B293" s="85" t="str">
        <f>'Giá tháng'!B30</f>
        <v>N2.40</v>
      </c>
      <c r="C293" s="86" t="str">
        <f>'Giá tháng'!C30</f>
        <v>Nhân công 4,0/7 - Nhóm 2</v>
      </c>
      <c r="D293" s="85" t="str">
        <f>'Giá tháng'!D30</f>
        <v>công</v>
      </c>
      <c r="E293" s="150"/>
      <c r="F293" s="135">
        <v>28.5</v>
      </c>
      <c r="G293" s="136">
        <f>'Giá tháng'!G30</f>
        <v>1</v>
      </c>
      <c r="H293" s="150">
        <f>E285*F293*G293</f>
        <v>6.0562499999999995</v>
      </c>
      <c r="S293" s="73">
        <v>204</v>
      </c>
    </row>
    <row r="294" spans="1:19" ht="16.5" customHeight="1" x14ac:dyDescent="0.15">
      <c r="A294" s="84"/>
      <c r="B294" s="85"/>
      <c r="C294" s="145" t="s">
        <v>482</v>
      </c>
      <c r="D294" s="146"/>
      <c r="E294" s="147"/>
      <c r="F294" s="148"/>
      <c r="G294" s="149"/>
      <c r="H294" s="147"/>
    </row>
    <row r="295" spans="1:19" ht="28.5" customHeight="1" x14ac:dyDescent="0.15">
      <c r="A295" s="84"/>
      <c r="B295" s="85" t="str">
        <f>'Giá tháng'!B45</f>
        <v>M112.4003</v>
      </c>
      <c r="C295" s="86" t="str">
        <f>'Giá tháng'!C45</f>
        <v>Máy hàn xoay chiều - công suất : 23,0 kW</v>
      </c>
      <c r="D295" s="85" t="str">
        <f>'Giá tháng'!D45</f>
        <v>ca</v>
      </c>
      <c r="E295" s="150"/>
      <c r="F295" s="135">
        <v>1.5</v>
      </c>
      <c r="G295" s="136">
        <f>'Giá tháng'!G45</f>
        <v>1</v>
      </c>
      <c r="H295" s="150">
        <f>E285*F295*G295</f>
        <v>0.31874999999999998</v>
      </c>
      <c r="S295" s="73">
        <v>3015</v>
      </c>
    </row>
    <row r="296" spans="1:19" ht="28.5" customHeight="1" x14ac:dyDescent="0.15">
      <c r="A296" s="84"/>
      <c r="B296" s="85" t="str">
        <f>'Giá tháng'!B49</f>
        <v>M102.1001</v>
      </c>
      <c r="C296" s="86" t="str">
        <f>'Giá tháng'!C49</f>
        <v>Máy vận thăng lồng - sức nâng : 3,0 T</v>
      </c>
      <c r="D296" s="85" t="str">
        <f>'Giá tháng'!D49</f>
        <v>ca</v>
      </c>
      <c r="E296" s="150"/>
      <c r="F296" s="135">
        <v>0.12</v>
      </c>
      <c r="G296" s="136">
        <f>'Giá tháng'!G49</f>
        <v>1</v>
      </c>
      <c r="H296" s="150">
        <f>E285*F296*G296</f>
        <v>2.5499999999999998E-2</v>
      </c>
      <c r="S296" s="73">
        <v>3019</v>
      </c>
    </row>
    <row r="297" spans="1:19" ht="28.5" customHeight="1" x14ac:dyDescent="0.15">
      <c r="A297" s="84"/>
      <c r="B297" s="85" t="str">
        <f>'Giá tháng'!B35</f>
        <v>M102.0406</v>
      </c>
      <c r="C297" s="86" t="str">
        <f>'Giá tháng'!C35</f>
        <v>Cần trục tháp - sức nâng : 25,0 T</v>
      </c>
      <c r="D297" s="85" t="str">
        <f>'Giá tháng'!D35</f>
        <v>ca</v>
      </c>
      <c r="E297" s="150"/>
      <c r="F297" s="135">
        <v>0.12</v>
      </c>
      <c r="G297" s="136">
        <f>'Giá tháng'!G35</f>
        <v>1</v>
      </c>
      <c r="H297" s="150">
        <f>E285*F297*G297</f>
        <v>2.5499999999999998E-2</v>
      </c>
      <c r="S297" s="73">
        <v>305</v>
      </c>
    </row>
    <row r="298" spans="1:19" ht="16.5" customHeight="1" x14ac:dyDescent="0.15">
      <c r="A298" s="84"/>
      <c r="B298" s="85" t="s">
        <v>483</v>
      </c>
      <c r="C298" s="86" t="s">
        <v>484</v>
      </c>
      <c r="D298" s="85" t="s">
        <v>480</v>
      </c>
      <c r="E298" s="150"/>
      <c r="F298" s="135">
        <v>2</v>
      </c>
      <c r="G298" s="136"/>
      <c r="H298" s="150"/>
      <c r="N298" s="73">
        <f>E285*F298*(F295*'Giá tháng'!E45*'Giá tháng'!G45+F296*'Giá tháng'!E49*'Giá tháng'!G49+F297*'Giá tháng'!E35*'Giá tháng'!G35)/100</f>
        <v>4595.5064699999994</v>
      </c>
      <c r="P298" s="73">
        <f>E285*F298*(F295*'Giá tháng'!F45*'Giá tháng'!G45+F296*'Giá tháng'!F49*'Giá tháng'!G49+F297*'Giá tháng'!F35*'Giá tháng'!G35)/100</f>
        <v>4881.1750650000004</v>
      </c>
    </row>
    <row r="299" spans="1:19" ht="66" customHeight="1" x14ac:dyDescent="0.15">
      <c r="A299" s="141">
        <f>'Công trình'!A107</f>
        <v>37</v>
      </c>
      <c r="B299" s="122" t="str">
        <f>'Công trình'!E107</f>
        <v>AF.12114A</v>
      </c>
      <c r="C299" s="123" t="str">
        <f>'Công trình'!F107</f>
        <v>Đổ bê tông thủ công bằng máy trộn, bê tông tường chiều dày &lt;= 45cm, chiều cao &lt;= 6m, đá 1x2, mác 250, PCB30</v>
      </c>
      <c r="D299" s="122" t="str">
        <f>'Công trình'!G107</f>
        <v>m3</v>
      </c>
      <c r="E299" s="142">
        <f>'Công trình'!P107</f>
        <v>2.5937999999999999</v>
      </c>
      <c r="F299" s="143"/>
      <c r="G299" s="144"/>
      <c r="H299" s="142"/>
    </row>
    <row r="300" spans="1:19" ht="16.5" customHeight="1" x14ac:dyDescent="0.15">
      <c r="A300" s="84"/>
      <c r="B300" s="85"/>
      <c r="C300" s="145" t="s">
        <v>477</v>
      </c>
      <c r="D300" s="146"/>
      <c r="E300" s="147"/>
      <c r="F300" s="148"/>
      <c r="G300" s="149"/>
      <c r="H300" s="147"/>
    </row>
    <row r="301" spans="1:19" ht="16.5" customHeight="1" x14ac:dyDescent="0.15">
      <c r="A301" s="84"/>
      <c r="B301" s="85" t="str">
        <f>'Giá tháng'!B25</f>
        <v>A24.0797A</v>
      </c>
      <c r="C301" s="86" t="str">
        <f>'Giá tháng'!C25</f>
        <v>Xi măng PCB30</v>
      </c>
      <c r="D301" s="85" t="str">
        <f>'Giá tháng'!D25</f>
        <v>kg</v>
      </c>
      <c r="E301" s="150"/>
      <c r="F301" s="135">
        <v>369</v>
      </c>
      <c r="G301" s="136">
        <f>'Giá tháng'!G25</f>
        <v>1</v>
      </c>
      <c r="H301" s="150">
        <f>E299*F301*G301</f>
        <v>957.11219999999992</v>
      </c>
      <c r="Q301" s="73">
        <f>'Cước VC'!AV25</f>
        <v>0</v>
      </c>
      <c r="R301" s="73">
        <f>'Cước bộ'!W25</f>
        <v>0</v>
      </c>
      <c r="S301" s="73">
        <v>1023</v>
      </c>
    </row>
    <row r="302" spans="1:19" ht="16.5" customHeight="1" x14ac:dyDescent="0.15">
      <c r="A302" s="84"/>
      <c r="B302" s="85" t="str">
        <f>'Giá tháng'!B7</f>
        <v>A24.0180</v>
      </c>
      <c r="C302" s="86" t="str">
        <f>'Giá tháng'!C7</f>
        <v>Cát vàng</v>
      </c>
      <c r="D302" s="85" t="str">
        <f>'Giá tháng'!D7</f>
        <v>m3</v>
      </c>
      <c r="E302" s="150"/>
      <c r="F302" s="135">
        <v>0.517625</v>
      </c>
      <c r="G302" s="136">
        <f>'Giá tháng'!G7</f>
        <v>1</v>
      </c>
      <c r="H302" s="150">
        <f>E299*F302*G302</f>
        <v>1.3426157249999999</v>
      </c>
      <c r="Q302" s="73">
        <f>'Cước VC'!AV7</f>
        <v>0</v>
      </c>
      <c r="R302" s="73">
        <f>'Cước bộ'!W7</f>
        <v>0</v>
      </c>
      <c r="S302" s="73">
        <v>105</v>
      </c>
    </row>
    <row r="303" spans="1:19" ht="16.5" customHeight="1" x14ac:dyDescent="0.15">
      <c r="A303" s="84"/>
      <c r="B303" s="85" t="str">
        <f>'Giá tháng'!B13</f>
        <v>A24.0008</v>
      </c>
      <c r="C303" s="86" t="str">
        <f>'Giá tháng'!C13</f>
        <v>Đá 1x2</v>
      </c>
      <c r="D303" s="85" t="str">
        <f>'Giá tháng'!D13</f>
        <v>m3</v>
      </c>
      <c r="E303" s="150"/>
      <c r="F303" s="135">
        <v>0.8528</v>
      </c>
      <c r="G303" s="136">
        <f>'Giá tháng'!G13</f>
        <v>1</v>
      </c>
      <c r="H303" s="150">
        <f>E299*F303*G303</f>
        <v>2.2119926400000001</v>
      </c>
      <c r="Q303" s="73">
        <f>'Cước VC'!AV13</f>
        <v>0</v>
      </c>
      <c r="R303" s="73">
        <f>'Cước bộ'!W13</f>
        <v>0</v>
      </c>
      <c r="S303" s="73">
        <v>1011</v>
      </c>
    </row>
    <row r="304" spans="1:19" ht="16.5" customHeight="1" x14ac:dyDescent="0.15">
      <c r="A304" s="84"/>
      <c r="B304" s="85" t="str">
        <f>'Giá tháng'!B15</f>
        <v>A24.0524</v>
      </c>
      <c r="C304" s="86" t="str">
        <f>'Giá tháng'!C15</f>
        <v>Nước</v>
      </c>
      <c r="D304" s="85" t="str">
        <f>'Giá tháng'!D15</f>
        <v>lít</v>
      </c>
      <c r="E304" s="150"/>
      <c r="F304" s="135">
        <v>187.57499999999999</v>
      </c>
      <c r="G304" s="136">
        <f>'Giá tháng'!G15</f>
        <v>1</v>
      </c>
      <c r="H304" s="150">
        <f>E299*F304*G304</f>
        <v>486.53203499999995</v>
      </c>
      <c r="Q304" s="73">
        <f>'Cước VC'!AV15</f>
        <v>0</v>
      </c>
      <c r="R304" s="73">
        <f>'Cước bộ'!W15</f>
        <v>0</v>
      </c>
      <c r="S304" s="73">
        <v>1013</v>
      </c>
    </row>
    <row r="305" spans="1:19" ht="16.5" customHeight="1" x14ac:dyDescent="0.15">
      <c r="A305" s="84"/>
      <c r="B305" s="85" t="s">
        <v>478</v>
      </c>
      <c r="C305" s="86" t="s">
        <v>479</v>
      </c>
      <c r="D305" s="85" t="s">
        <v>480</v>
      </c>
      <c r="E305" s="150"/>
      <c r="F305" s="135">
        <v>5</v>
      </c>
      <c r="G305" s="136"/>
      <c r="H305" s="150"/>
      <c r="M305" s="73">
        <f>E299*F305*(F301*'Giá tháng'!E25*'Giá tháng'!G25+F302*'Giá tháng'!E7*'Giá tháng'!G7+F303*'Giá tháng'!E13*'Giá tháng'!G13+F304*'Giá tháng'!E15*'Giá tháng'!G15)/100</f>
        <v>131933.39707349997</v>
      </c>
      <c r="O305" s="73">
        <f>E299*F305*(F301*('Giá tháng'!F25+Q301+R301)*'Giá tháng'!G25+F302*('Giá tháng'!F7+Q302+R302)*'Giá tháng'!G7+F303*('Giá tháng'!F13+Q303+R303)*'Giá tháng'!G13+F304*('Giá tháng'!F15+Q304+R304)*'Giá tháng'!G15)/100</f>
        <v>179047.2451185</v>
      </c>
    </row>
    <row r="306" spans="1:19" ht="16.5" customHeight="1" x14ac:dyDescent="0.15">
      <c r="A306" s="84"/>
      <c r="B306" s="85"/>
      <c r="C306" s="145" t="s">
        <v>481</v>
      </c>
      <c r="D306" s="146"/>
      <c r="E306" s="147"/>
      <c r="F306" s="148"/>
      <c r="G306" s="149"/>
      <c r="H306" s="147"/>
    </row>
    <row r="307" spans="1:19" ht="16.5" customHeight="1" x14ac:dyDescent="0.15">
      <c r="A307" s="84"/>
      <c r="B307" s="85" t="str">
        <f>'Giá tháng'!B29</f>
        <v>N2.35</v>
      </c>
      <c r="C307" s="86" t="str">
        <f>'Giá tháng'!C29</f>
        <v>Nhân công 3,5/7 - Nhóm 2</v>
      </c>
      <c r="D307" s="85" t="str">
        <f>'Giá tháng'!D29</f>
        <v>công</v>
      </c>
      <c r="E307" s="150"/>
      <c r="F307" s="135">
        <v>2.4900000000000002</v>
      </c>
      <c r="G307" s="136">
        <f>'Giá tháng'!G29</f>
        <v>1</v>
      </c>
      <c r="H307" s="150">
        <f>E299*F307*G307</f>
        <v>6.4585620000000006</v>
      </c>
      <c r="S307" s="73">
        <v>203</v>
      </c>
    </row>
    <row r="308" spans="1:19" ht="16.5" customHeight="1" x14ac:dyDescent="0.15">
      <c r="A308" s="84"/>
      <c r="B308" s="85"/>
      <c r="C308" s="145" t="s">
        <v>482</v>
      </c>
      <c r="D308" s="146"/>
      <c r="E308" s="147"/>
      <c r="F308" s="148"/>
      <c r="G308" s="149"/>
      <c r="H308" s="147"/>
    </row>
    <row r="309" spans="1:19" ht="28.5" customHeight="1" x14ac:dyDescent="0.15">
      <c r="A309" s="84"/>
      <c r="B309" s="85" t="str">
        <f>'Giá tháng'!B47</f>
        <v>M104.0102</v>
      </c>
      <c r="C309" s="86" t="str">
        <f>'Giá tháng'!C47</f>
        <v>Máy trộn bê tông - dung tích : 250,0 lít</v>
      </c>
      <c r="D309" s="85" t="str">
        <f>'Giá tháng'!D47</f>
        <v>ca</v>
      </c>
      <c r="E309" s="150"/>
      <c r="F309" s="135">
        <v>9.5000000000000001E-2</v>
      </c>
      <c r="G309" s="136">
        <f>'Giá tháng'!G47</f>
        <v>1</v>
      </c>
      <c r="H309" s="150">
        <f>E299*F309*G309</f>
        <v>0.24641099999999999</v>
      </c>
      <c r="S309" s="73">
        <v>3017</v>
      </c>
    </row>
    <row r="310" spans="1:19" ht="28.5" customHeight="1" x14ac:dyDescent="0.15">
      <c r="A310" s="84"/>
      <c r="B310" s="85" t="str">
        <f>'Giá tháng'!B42</f>
        <v>M112.1301</v>
      </c>
      <c r="C310" s="86" t="str">
        <f>'Giá tháng'!C42</f>
        <v>Máy đầm bê tông, dầm dùi - công suất : 1,5 kW</v>
      </c>
      <c r="D310" s="85" t="str">
        <f>'Giá tháng'!D42</f>
        <v>ca</v>
      </c>
      <c r="E310" s="150"/>
      <c r="F310" s="135">
        <v>0.18</v>
      </c>
      <c r="G310" s="136">
        <f>'Giá tháng'!G42</f>
        <v>1</v>
      </c>
      <c r="H310" s="150">
        <f>E299*F310*G310</f>
        <v>0.46688399999999997</v>
      </c>
      <c r="S310" s="73">
        <v>3012</v>
      </c>
    </row>
    <row r="311" spans="1:19" ht="40.5" customHeight="1" x14ac:dyDescent="0.15">
      <c r="A311" s="141">
        <f>'Công trình'!A110</f>
        <v>38</v>
      </c>
      <c r="B311" s="122" t="str">
        <f>'Công trình'!E110</f>
        <v>AB.65120</v>
      </c>
      <c r="C311" s="123" t="str">
        <f>'Công trình'!F110</f>
        <v>Đắp đất công trình bằng đầm đất cầm tay 70kg, độ chặt yêu cầu K=0,90</v>
      </c>
      <c r="D311" s="122" t="str">
        <f>'Công trình'!G110</f>
        <v>100m3</v>
      </c>
      <c r="E311" s="142">
        <f>'Công trình'!P110</f>
        <v>14.103199999999999</v>
      </c>
      <c r="F311" s="143"/>
      <c r="G311" s="144"/>
      <c r="H311" s="142"/>
    </row>
    <row r="312" spans="1:19" ht="16.5" customHeight="1" x14ac:dyDescent="0.15">
      <c r="A312" s="84"/>
      <c r="B312" s="85"/>
      <c r="C312" s="145" t="s">
        <v>481</v>
      </c>
      <c r="D312" s="146"/>
      <c r="E312" s="147"/>
      <c r="F312" s="148"/>
      <c r="G312" s="149"/>
      <c r="H312" s="147"/>
    </row>
    <row r="313" spans="1:19" ht="16.5" customHeight="1" x14ac:dyDescent="0.15">
      <c r="A313" s="84"/>
      <c r="B313" s="85" t="str">
        <f>'Giá tháng'!B27</f>
        <v>N1.30</v>
      </c>
      <c r="C313" s="86" t="str">
        <f>'Giá tháng'!C27</f>
        <v>Nhân công 3,0/7 - Nhóm 1</v>
      </c>
      <c r="D313" s="85" t="str">
        <f>'Giá tháng'!D27</f>
        <v>công</v>
      </c>
      <c r="E313" s="150"/>
      <c r="F313" s="135">
        <v>6.19</v>
      </c>
      <c r="G313" s="136">
        <f>'Giá tháng'!G27</f>
        <v>1</v>
      </c>
      <c r="H313" s="150">
        <f>E311*F313*G313</f>
        <v>87.298808000000008</v>
      </c>
      <c r="S313" s="73">
        <v>201</v>
      </c>
    </row>
    <row r="314" spans="1:19" ht="16.5" customHeight="1" x14ac:dyDescent="0.15">
      <c r="A314" s="84"/>
      <c r="B314" s="85"/>
      <c r="C314" s="145" t="s">
        <v>482</v>
      </c>
      <c r="D314" s="146"/>
      <c r="E314" s="147"/>
      <c r="F314" s="148"/>
      <c r="G314" s="149"/>
      <c r="H314" s="147"/>
    </row>
    <row r="315" spans="1:19" ht="28.5" customHeight="1" x14ac:dyDescent="0.15">
      <c r="A315" s="92"/>
      <c r="B315" s="93" t="str">
        <f>'Giá tháng'!B43</f>
        <v>M101.0803</v>
      </c>
      <c r="C315" s="94" t="str">
        <f>'Giá tháng'!C43</f>
        <v>Máy đầm đất cầm tay - trọng lượng : 70 kg</v>
      </c>
      <c r="D315" s="93" t="str">
        <f>'Giá tháng'!D43</f>
        <v>ca</v>
      </c>
      <c r="E315" s="151"/>
      <c r="F315" s="152">
        <v>3.8450000000000002</v>
      </c>
      <c r="G315" s="153">
        <f>'Giá tháng'!G43</f>
        <v>1</v>
      </c>
      <c r="H315" s="151">
        <f>E311*F315*G315</f>
        <v>54.226804000000001</v>
      </c>
      <c r="S315" s="73">
        <v>3013</v>
      </c>
    </row>
  </sheetData>
  <mergeCells count="12">
    <mergeCell ref="H4:H5"/>
    <mergeCell ref="M2:P2"/>
    <mergeCell ref="A1:H1"/>
    <mergeCell ref="A2:H2"/>
    <mergeCell ref="A3:H3"/>
    <mergeCell ref="A4:A5"/>
    <mergeCell ref="B4:B5"/>
    <mergeCell ref="C4:C5"/>
    <mergeCell ref="D4:D5"/>
    <mergeCell ref="E4:E5"/>
    <mergeCell ref="F4:F5"/>
    <mergeCell ref="G4:G5"/>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D8360-2854-4E4E-8CFC-94B1BB7E5675}">
  <dimension ref="A1:U63"/>
  <sheetViews>
    <sheetView showZeros="0" topLeftCell="A28" workbookViewId="0">
      <selection activeCell="P25" activeCellId="1" sqref="P24 P25"/>
    </sheetView>
  </sheetViews>
  <sheetFormatPr baseColWidth="10" defaultColWidth="10" defaultRowHeight="15" customHeight="1" x14ac:dyDescent="0.15"/>
  <cols>
    <col min="1" max="1" width="6.5" style="73" customWidth="1"/>
    <col min="2" max="2" width="14.25" style="73" customWidth="1"/>
    <col min="3" max="3" width="44.25" style="73" customWidth="1"/>
    <col min="4" max="4" width="11.75" style="73" customWidth="1"/>
    <col min="5" max="5" width="19.5" style="73" customWidth="1"/>
    <col min="6" max="6" width="16.75" style="73" hidden="1" customWidth="1"/>
    <col min="7" max="9" width="15" style="73" hidden="1" customWidth="1"/>
    <col min="10" max="10" width="9.25" style="73" hidden="1" customWidth="1"/>
    <col min="11" max="11" width="15.75" style="73" hidden="1" customWidth="1"/>
    <col min="12" max="14" width="15" style="73" hidden="1" customWidth="1"/>
    <col min="15" max="15" width="17" style="73" customWidth="1"/>
    <col min="16" max="16" width="23.75" style="73" customWidth="1"/>
    <col min="17" max="17" width="15" style="73" customWidth="1"/>
    <col min="18" max="18" width="21.75" style="73" customWidth="1"/>
    <col min="19" max="19" width="83.25" style="73" customWidth="1"/>
    <col min="20" max="21" width="10" style="73" hidden="1" customWidth="1"/>
    <col min="22" max="16384" width="10" style="73"/>
  </cols>
  <sheetData>
    <row r="1" spans="1:21" ht="26.25" customHeight="1" x14ac:dyDescent="0.15">
      <c r="A1" s="313" t="s">
        <v>485</v>
      </c>
      <c r="B1" s="343"/>
      <c r="C1" s="343"/>
      <c r="D1" s="343"/>
      <c r="E1" s="343"/>
      <c r="F1" s="343"/>
      <c r="G1" s="343"/>
      <c r="H1" s="343"/>
      <c r="I1" s="343"/>
      <c r="J1" s="343"/>
      <c r="K1" s="343"/>
      <c r="L1" s="343"/>
      <c r="M1" s="343"/>
      <c r="N1" s="343"/>
      <c r="O1" s="343"/>
      <c r="P1" s="343"/>
      <c r="Q1" s="343"/>
      <c r="R1" s="343"/>
    </row>
    <row r="2" spans="1:21" ht="30" customHeight="1" x14ac:dyDescent="0.15">
      <c r="A2" s="315" t="str">
        <f>'Công trình'!A2</f>
        <v>CÔNG TRÌNH : XÂY DỰNG HỆ THỐNG CỐNG HỘP KÊNH BẾN KEM ĐOẠN TỪ NHÀ ÔNG CHÍN ĐẾN KÊNH ĐẠI TRÀ 2, XÃ KIẾN MINH</v>
      </c>
      <c r="B2" s="343"/>
      <c r="C2" s="343"/>
      <c r="D2" s="343"/>
      <c r="E2" s="343"/>
      <c r="F2" s="343"/>
      <c r="G2" s="343"/>
      <c r="H2" s="343"/>
      <c r="I2" s="343"/>
      <c r="J2" s="343"/>
      <c r="K2" s="343"/>
      <c r="L2" s="343"/>
      <c r="M2" s="343"/>
      <c r="N2" s="343"/>
      <c r="O2" s="343"/>
      <c r="P2" s="343"/>
      <c r="Q2" s="343"/>
      <c r="R2" s="343"/>
    </row>
    <row r="3" spans="1:21" ht="37.5" customHeight="1" x14ac:dyDescent="0.15">
      <c r="A3" s="316" t="str">
        <f>'Công trình'!F6</f>
        <v>HẠNG MỤC 1</v>
      </c>
      <c r="B3" s="343"/>
      <c r="C3" s="343"/>
      <c r="D3" s="343"/>
      <c r="E3" s="343"/>
      <c r="F3" s="343"/>
      <c r="G3" s="343"/>
      <c r="H3" s="343"/>
      <c r="I3" s="343"/>
      <c r="J3" s="343"/>
      <c r="K3" s="343"/>
      <c r="L3" s="343"/>
      <c r="M3" s="343"/>
      <c r="N3" s="343"/>
      <c r="O3" s="343"/>
      <c r="P3" s="343"/>
      <c r="Q3" s="343"/>
      <c r="R3" s="343"/>
    </row>
    <row r="4" spans="1:21" ht="45" customHeight="1" x14ac:dyDescent="0.15">
      <c r="A4" s="79" t="s">
        <v>4</v>
      </c>
      <c r="B4" s="19" t="s">
        <v>224</v>
      </c>
      <c r="C4" s="19" t="s">
        <v>225</v>
      </c>
      <c r="D4" s="19" t="s">
        <v>226</v>
      </c>
      <c r="E4" s="19" t="s">
        <v>17</v>
      </c>
      <c r="F4" s="19" t="str">
        <f>"Giá gốc_x000D_
"&amp;'Công trình'!AM1</f>
        <v>Giá gốc_x000D_
(đ)</v>
      </c>
      <c r="G4" s="19" t="str">
        <f>"Thành tiền_x000D_
"&amp;'Công trình'!AM1</f>
        <v>Thành tiền_x000D_
(đ)</v>
      </c>
      <c r="H4" s="19" t="str">
        <f>"Giá T.B_x000D_
"&amp;'Công trình'!AM1</f>
        <v>Giá T.B_x000D_
(đ)</v>
      </c>
      <c r="I4" s="19" t="str">
        <f>"Thành tiền_x000D_
"&amp;'Công trình'!AM1</f>
        <v>Thành tiền_x000D_
(đ)</v>
      </c>
      <c r="J4" s="19" t="s">
        <v>227</v>
      </c>
      <c r="K4" s="19" t="str">
        <f>"Giá T.B x H.S_x000D_
"&amp;'Công trình'!AM1</f>
        <v>Giá T.B x H.S_x000D_
(đ)</v>
      </c>
      <c r="L4" s="19" t="str">
        <f>"Thành tiền_x000D_
"&amp;'Công trình'!AM1</f>
        <v>Thành tiền_x000D_
(đ)</v>
      </c>
      <c r="M4" s="19" t="str">
        <f>"Cước V.C_x000D_
Bù NL, lương_x000D_
"&amp;'Công trình'!AM1</f>
        <v>Cước V.C_x000D_
Bù NL, lương_x000D_
(đ)</v>
      </c>
      <c r="N4" s="19" t="str">
        <f>"Thành tiền_x000D_
"&amp;'Công trình'!AM1</f>
        <v>Thành tiền_x000D_
(đ)</v>
      </c>
      <c r="O4" s="19" t="str">
        <f>"Giá H.T_x000D_
"&amp;'Công trình'!AM1</f>
        <v>Giá H.T_x000D_
(đ)</v>
      </c>
      <c r="P4" s="19" t="str">
        <f>"Thành tiền_x000D_
"&amp;'Công trình'!AM1</f>
        <v>Thành tiền_x000D_
(đ)</v>
      </c>
      <c r="Q4" s="19" t="str">
        <f>"Chênh lệch_x000D_
"&amp;'Công trình'!AM1</f>
        <v>Chênh lệch_x000D_
(đ)</v>
      </c>
      <c r="R4" s="19" t="str">
        <f>"Tổng chênh_x000D_
"&amp;'Công trình'!AM1</f>
        <v>Tổng chênh_x000D_
(đ)</v>
      </c>
      <c r="S4" s="13" t="s">
        <v>19</v>
      </c>
      <c r="T4" s="73" t="s">
        <v>486</v>
      </c>
      <c r="U4" s="73" t="s">
        <v>471</v>
      </c>
    </row>
    <row r="5" spans="1:21" ht="14" x14ac:dyDescent="0.15">
      <c r="A5" s="80" t="s">
        <v>230</v>
      </c>
      <c r="B5" s="81"/>
      <c r="C5" s="81" t="s">
        <v>231</v>
      </c>
      <c r="D5" s="81"/>
      <c r="E5" s="154"/>
      <c r="F5" s="155"/>
      <c r="G5" s="155"/>
      <c r="H5" s="156"/>
      <c r="I5" s="155"/>
      <c r="J5" s="82"/>
      <c r="K5" s="155"/>
      <c r="L5" s="155"/>
      <c r="M5" s="155"/>
      <c r="N5" s="155"/>
      <c r="O5" s="155"/>
      <c r="P5" s="155"/>
      <c r="Q5" s="155"/>
      <c r="R5" s="155"/>
    </row>
    <row r="6" spans="1:21" ht="45" x14ac:dyDescent="0.15">
      <c r="A6" s="84">
        <v>1</v>
      </c>
      <c r="B6" s="85" t="str">
        <f>'Công trình'!E32</f>
        <v>TT</v>
      </c>
      <c r="C6" s="86" t="str">
        <f>'Công trình'!F32</f>
        <v>Cừ thép thuê 2500 đ/m/ngày dự kiến thi công 6 tháng ; cừ thép luân chuyển sử dung 3 lần</v>
      </c>
      <c r="D6" s="85" t="str">
        <f>'Công trình'!G32</f>
        <v>m</v>
      </c>
      <c r="E6" s="150">
        <f>'Công trình'!P32</f>
        <v>2882.4</v>
      </c>
      <c r="F6" s="114">
        <f>'Công trình'!Q32+'Công trình'!R32</f>
        <v>2500</v>
      </c>
      <c r="G6" s="114">
        <f t="shared" ref="G6:G29" si="0">E6*F6</f>
        <v>7206000</v>
      </c>
      <c r="H6" s="157">
        <f>'Công trình'!Q32+'Công trình'!R32</f>
        <v>2500</v>
      </c>
      <c r="I6" s="114">
        <f t="shared" ref="I6:I29" si="1">E6*H6</f>
        <v>7206000</v>
      </c>
      <c r="J6" s="87">
        <v>1</v>
      </c>
      <c r="K6" s="114">
        <f t="shared" ref="K6:K29" si="2">H6*J6</f>
        <v>2500</v>
      </c>
      <c r="L6" s="114">
        <f t="shared" ref="L6:L29" si="3">E6*K6</f>
        <v>7206000</v>
      </c>
      <c r="M6" s="114">
        <f t="shared" ref="M6:M29" si="4">T6+U6</f>
        <v>0</v>
      </c>
      <c r="N6" s="114">
        <f t="shared" ref="N6:N29" si="5">E6*M6</f>
        <v>0</v>
      </c>
      <c r="O6" s="114">
        <f t="shared" ref="O6:O29" si="6">H6+M6</f>
        <v>2500</v>
      </c>
      <c r="P6" s="114">
        <f>E6*O6*180</f>
        <v>1297080000</v>
      </c>
      <c r="Q6" s="114">
        <f t="shared" ref="Q6:Q29" si="7">O6-F6</f>
        <v>0</v>
      </c>
      <c r="R6" s="114">
        <f t="shared" ref="R6:R29" si="8">P6-G6</f>
        <v>1289874000</v>
      </c>
    </row>
    <row r="7" spans="1:21" ht="30" x14ac:dyDescent="0.15">
      <c r="A7" s="84">
        <v>2</v>
      </c>
      <c r="B7" s="85" t="str">
        <f>'Công trình'!E36</f>
        <v>TT</v>
      </c>
      <c r="C7" s="86" t="str">
        <f>'Công trình'!F36</f>
        <v>Thuê ván thép chống lầy để xe đi đóng cọc tre hố móng</v>
      </c>
      <c r="D7" s="85" t="str">
        <f>'Công trình'!G36</f>
        <v>đoạn</v>
      </c>
      <c r="E7" s="150">
        <f>'Công trình'!P36</f>
        <v>5</v>
      </c>
      <c r="F7" s="114">
        <f>'Công trình'!Q36+'Công trình'!R36</f>
        <v>19500000</v>
      </c>
      <c r="G7" s="114">
        <f t="shared" si="0"/>
        <v>97500000</v>
      </c>
      <c r="H7" s="157">
        <f>'Công trình'!Q36+'Công trình'!R36</f>
        <v>19500000</v>
      </c>
      <c r="I7" s="114">
        <f t="shared" si="1"/>
        <v>97500000</v>
      </c>
      <c r="J7" s="87">
        <v>1</v>
      </c>
      <c r="K7" s="114">
        <f t="shared" si="2"/>
        <v>19500000</v>
      </c>
      <c r="L7" s="114">
        <f t="shared" si="3"/>
        <v>97500000</v>
      </c>
      <c r="M7" s="114">
        <f t="shared" si="4"/>
        <v>0</v>
      </c>
      <c r="N7" s="114">
        <f t="shared" si="5"/>
        <v>0</v>
      </c>
      <c r="O7" s="114">
        <f t="shared" si="6"/>
        <v>19500000</v>
      </c>
      <c r="P7" s="114">
        <f t="shared" ref="P7:P29" si="9">E7*O7</f>
        <v>97500000</v>
      </c>
      <c r="Q7" s="114">
        <f t="shared" si="7"/>
        <v>0</v>
      </c>
      <c r="R7" s="114">
        <f t="shared" si="8"/>
        <v>0</v>
      </c>
    </row>
    <row r="8" spans="1:21" x14ac:dyDescent="0.15">
      <c r="A8" s="84">
        <v>3</v>
      </c>
      <c r="B8" s="85" t="str">
        <f>'Công trình'!E78</f>
        <v>TT</v>
      </c>
      <c r="C8" s="86" t="str">
        <f>'Công trình'!F78</f>
        <v>Băng cản nước</v>
      </c>
      <c r="D8" s="85" t="str">
        <f>'Công trình'!G78</f>
        <v>m2</v>
      </c>
      <c r="E8" s="150">
        <f>'Công trình'!P78</f>
        <v>207.55</v>
      </c>
      <c r="F8" s="114">
        <f>'Công trình'!Q78+'Công trình'!R78</f>
        <v>300000</v>
      </c>
      <c r="G8" s="114">
        <f t="shared" si="0"/>
        <v>62265000</v>
      </c>
      <c r="H8" s="157">
        <f>'Công trình'!Q78+'Công trình'!R78</f>
        <v>300000</v>
      </c>
      <c r="I8" s="114">
        <f t="shared" si="1"/>
        <v>62265000</v>
      </c>
      <c r="J8" s="87">
        <v>1</v>
      </c>
      <c r="K8" s="114">
        <f t="shared" si="2"/>
        <v>300000</v>
      </c>
      <c r="L8" s="114">
        <f t="shared" si="3"/>
        <v>62265000</v>
      </c>
      <c r="M8" s="114">
        <f t="shared" si="4"/>
        <v>0</v>
      </c>
      <c r="N8" s="114">
        <f t="shared" si="5"/>
        <v>0</v>
      </c>
      <c r="O8" s="114">
        <f t="shared" si="6"/>
        <v>300000</v>
      </c>
      <c r="P8" s="114">
        <f t="shared" si="9"/>
        <v>62265000</v>
      </c>
      <c r="Q8" s="114">
        <f t="shared" si="7"/>
        <v>0</v>
      </c>
      <c r="R8" s="114">
        <f t="shared" si="8"/>
        <v>0</v>
      </c>
    </row>
    <row r="9" spans="1:21" x14ac:dyDescent="0.15">
      <c r="A9" s="84">
        <v>4</v>
      </c>
      <c r="B9" s="85" t="str">
        <f>'Công trình'!E112</f>
        <v>TT</v>
      </c>
      <c r="C9" s="86" t="str">
        <f>'Công trình'!F112</f>
        <v>Vật liệu đất núi</v>
      </c>
      <c r="D9" s="85" t="str">
        <f>'Công trình'!G112</f>
        <v>m3</v>
      </c>
      <c r="E9" s="150">
        <f>'Công trình'!P112</f>
        <v>1551.3520000000001</v>
      </c>
      <c r="F9" s="114">
        <f>'Công trình'!Q112+'Công trình'!R112</f>
        <v>220000</v>
      </c>
      <c r="G9" s="114">
        <f t="shared" si="0"/>
        <v>341297440</v>
      </c>
      <c r="H9" s="157">
        <f>'Công trình'!Q112+'Công trình'!R112</f>
        <v>220000</v>
      </c>
      <c r="I9" s="114">
        <f t="shared" si="1"/>
        <v>341297440</v>
      </c>
      <c r="J9" s="87">
        <v>1</v>
      </c>
      <c r="K9" s="114">
        <f t="shared" si="2"/>
        <v>220000</v>
      </c>
      <c r="L9" s="114">
        <f t="shared" si="3"/>
        <v>341297440</v>
      </c>
      <c r="M9" s="114">
        <f t="shared" si="4"/>
        <v>0</v>
      </c>
      <c r="N9" s="114">
        <f t="shared" si="5"/>
        <v>0</v>
      </c>
      <c r="O9" s="114">
        <f t="shared" si="6"/>
        <v>220000</v>
      </c>
      <c r="P9" s="114">
        <f t="shared" si="9"/>
        <v>341297440</v>
      </c>
      <c r="Q9" s="114">
        <f t="shared" si="7"/>
        <v>0</v>
      </c>
      <c r="R9" s="114">
        <f t="shared" si="8"/>
        <v>0</v>
      </c>
    </row>
    <row r="10" spans="1:21" ht="30" x14ac:dyDescent="0.15">
      <c r="A10" s="84">
        <v>5</v>
      </c>
      <c r="B10" s="85" t="str">
        <f>'Giá tháng'!B6</f>
        <v>A24.1042</v>
      </c>
      <c r="C10" s="86" t="str">
        <f>'Giá tháng'!C6</f>
        <v>Cát</v>
      </c>
      <c r="D10" s="85" t="str">
        <f>'Giá tháng'!D6</f>
        <v>m3</v>
      </c>
      <c r="E10" s="150">
        <f>SUMIF(HaoPhiVatTu!S6:S315,104,HaoPhiVatTu!H6:H315)</f>
        <v>1082.5487000000001</v>
      </c>
      <c r="F10" s="114">
        <f>'Giá tháng'!E6</f>
        <v>140000</v>
      </c>
      <c r="G10" s="114">
        <f t="shared" si="0"/>
        <v>151556818</v>
      </c>
      <c r="H10" s="157">
        <f>'Giá tháng'!F6</f>
        <v>280000</v>
      </c>
      <c r="I10" s="114">
        <f t="shared" si="1"/>
        <v>303113636</v>
      </c>
      <c r="J10" s="87">
        <v>1</v>
      </c>
      <c r="K10" s="114">
        <f t="shared" si="2"/>
        <v>280000</v>
      </c>
      <c r="L10" s="114">
        <f t="shared" si="3"/>
        <v>303113636</v>
      </c>
      <c r="M10" s="114">
        <f t="shared" si="4"/>
        <v>0</v>
      </c>
      <c r="N10" s="114">
        <f t="shared" si="5"/>
        <v>0</v>
      </c>
      <c r="O10" s="114">
        <f t="shared" si="6"/>
        <v>280000</v>
      </c>
      <c r="P10" s="114">
        <f t="shared" si="9"/>
        <v>303113636</v>
      </c>
      <c r="Q10" s="114">
        <f t="shared" si="7"/>
        <v>140000</v>
      </c>
      <c r="R10" s="114">
        <f t="shared" si="8"/>
        <v>151556818</v>
      </c>
      <c r="S10" s="73" t="str">
        <f>'Giá tháng'!K6</f>
        <v>Áp theo "Cát san lấp" trong Thông báo giá VL số: 621/2025/TB-SXD của Sở XD TP Hải Phòng ngày 08/12/2025. Vùng: 10</v>
      </c>
      <c r="T10" s="73">
        <f>'Cước VC'!AV6</f>
        <v>0</v>
      </c>
      <c r="U10" s="73">
        <f>'Cước bộ'!W6</f>
        <v>0</v>
      </c>
    </row>
    <row r="11" spans="1:21" ht="45" x14ac:dyDescent="0.15">
      <c r="A11" s="84">
        <v>6</v>
      </c>
      <c r="B11" s="85" t="str">
        <f>'Giá tháng'!B7</f>
        <v>A24.0180</v>
      </c>
      <c r="C11" s="86" t="str">
        <f>'Giá tháng'!C7</f>
        <v>Cát vàng</v>
      </c>
      <c r="D11" s="85" t="str">
        <f>'Giá tháng'!D7</f>
        <v>m3</v>
      </c>
      <c r="E11" s="150">
        <f>SUMIF(HaoPhiVatTu!S6:S315,105,HaoPhiVatTu!H6:H315)</f>
        <v>357.71083603749997</v>
      </c>
      <c r="F11" s="114">
        <f>'Giá tháng'!E7</f>
        <v>450000</v>
      </c>
      <c r="G11" s="114">
        <f t="shared" si="0"/>
        <v>160969876.21687499</v>
      </c>
      <c r="H11" s="157">
        <f>'Giá tháng'!F7</f>
        <v>750000</v>
      </c>
      <c r="I11" s="114">
        <f t="shared" si="1"/>
        <v>268283127.02812499</v>
      </c>
      <c r="J11" s="87">
        <v>1</v>
      </c>
      <c r="K11" s="114">
        <f t="shared" si="2"/>
        <v>750000</v>
      </c>
      <c r="L11" s="114">
        <f t="shared" si="3"/>
        <v>268283127.02812499</v>
      </c>
      <c r="M11" s="114">
        <f t="shared" si="4"/>
        <v>0</v>
      </c>
      <c r="N11" s="114">
        <f t="shared" si="5"/>
        <v>0</v>
      </c>
      <c r="O11" s="114">
        <f t="shared" si="6"/>
        <v>750000</v>
      </c>
      <c r="P11" s="114">
        <f t="shared" si="9"/>
        <v>268283127.02812499</v>
      </c>
      <c r="Q11" s="114">
        <f t="shared" si="7"/>
        <v>300000</v>
      </c>
      <c r="R11" s="114">
        <f t="shared" si="8"/>
        <v>107313250.81125</v>
      </c>
      <c r="S11" s="73" t="str">
        <f>'Giá tháng'!K7</f>
        <v>Áp theo "Cát bê tông ML&gt;2,0" trong Thông báo giá VL số: 621/2025/TB-SXD của Sở XD TP Hải Phòng ngày 08/12/2025. Vùng: 10</v>
      </c>
      <c r="T11" s="73">
        <f>'Cước VC'!AV7</f>
        <v>0</v>
      </c>
      <c r="U11" s="73">
        <f>'Cước bộ'!W7</f>
        <v>0</v>
      </c>
    </row>
    <row r="12" spans="1:21" x14ac:dyDescent="0.15">
      <c r="A12" s="84">
        <v>7</v>
      </c>
      <c r="B12" s="85" t="str">
        <f>'Giá tháng'!B8</f>
        <v>A24.0183</v>
      </c>
      <c r="C12" s="86" t="str">
        <f>'Giá tháng'!C8</f>
        <v>Cây chống</v>
      </c>
      <c r="D12" s="85" t="str">
        <f>'Giá tháng'!D8</f>
        <v>cây</v>
      </c>
      <c r="E12" s="150">
        <f>SUMIF(HaoPhiVatTu!S6:S315,106,HaoPhiVatTu!H6:H315)</f>
        <v>779.82299999999998</v>
      </c>
      <c r="F12" s="114">
        <f>'Giá tháng'!E8</f>
        <v>19000</v>
      </c>
      <c r="G12" s="114">
        <f t="shared" si="0"/>
        <v>14816637</v>
      </c>
      <c r="H12" s="157">
        <f>'Giá tháng'!F8</f>
        <v>22000</v>
      </c>
      <c r="I12" s="114">
        <f t="shared" si="1"/>
        <v>17156106</v>
      </c>
      <c r="J12" s="87">
        <v>1</v>
      </c>
      <c r="K12" s="114">
        <f t="shared" si="2"/>
        <v>22000</v>
      </c>
      <c r="L12" s="114">
        <f t="shared" si="3"/>
        <v>17156106</v>
      </c>
      <c r="M12" s="114">
        <f t="shared" si="4"/>
        <v>0</v>
      </c>
      <c r="N12" s="114">
        <f t="shared" si="5"/>
        <v>0</v>
      </c>
      <c r="O12" s="114">
        <f t="shared" si="6"/>
        <v>22000</v>
      </c>
      <c r="P12" s="114">
        <f t="shared" si="9"/>
        <v>17156106</v>
      </c>
      <c r="Q12" s="114">
        <f t="shared" si="7"/>
        <v>3000</v>
      </c>
      <c r="R12" s="114">
        <f t="shared" si="8"/>
        <v>2339469</v>
      </c>
      <c r="S12" s="73" t="str">
        <f>'Giá tháng'!K8</f>
        <v/>
      </c>
      <c r="T12" s="73">
        <f>'Cước VC'!AV8</f>
        <v>0</v>
      </c>
      <c r="U12" s="73">
        <f>'Cước bộ'!W8</f>
        <v>0</v>
      </c>
    </row>
    <row r="13" spans="1:21" x14ac:dyDescent="0.15">
      <c r="A13" s="84">
        <v>8</v>
      </c>
      <c r="B13" s="85" t="str">
        <f>'Giá tháng'!B9</f>
        <v>A24.0227</v>
      </c>
      <c r="C13" s="86" t="str">
        <f>'Giá tháng'!C9</f>
        <v>Cọc tre &gt;2,5m</v>
      </c>
      <c r="D13" s="85" t="str">
        <f>'Giá tháng'!D9</f>
        <v>m</v>
      </c>
      <c r="E13" s="150">
        <f>SUMIF(HaoPhiVatTu!S6:S315,107,HaoPhiVatTu!H6:H315)</f>
        <v>49625.1</v>
      </c>
      <c r="F13" s="114">
        <f>'Giá tháng'!E9</f>
        <v>3200</v>
      </c>
      <c r="G13" s="114">
        <f t="shared" si="0"/>
        <v>158800320</v>
      </c>
      <c r="H13" s="157">
        <f>'Giá tháng'!F9</f>
        <v>4800</v>
      </c>
      <c r="I13" s="114">
        <f t="shared" si="1"/>
        <v>238200480</v>
      </c>
      <c r="J13" s="87">
        <v>1</v>
      </c>
      <c r="K13" s="114">
        <f t="shared" si="2"/>
        <v>4800</v>
      </c>
      <c r="L13" s="114">
        <f t="shared" si="3"/>
        <v>238200480</v>
      </c>
      <c r="M13" s="114">
        <f t="shared" si="4"/>
        <v>0</v>
      </c>
      <c r="N13" s="114">
        <f t="shared" si="5"/>
        <v>0</v>
      </c>
      <c r="O13" s="114">
        <f t="shared" si="6"/>
        <v>4800</v>
      </c>
      <c r="P13" s="114">
        <f t="shared" si="9"/>
        <v>238200480</v>
      </c>
      <c r="Q13" s="114">
        <f t="shared" si="7"/>
        <v>1600</v>
      </c>
      <c r="R13" s="114">
        <f t="shared" si="8"/>
        <v>79400160</v>
      </c>
      <c r="S13" s="73" t="str">
        <f>'Giá tháng'!K9</f>
        <v/>
      </c>
      <c r="T13" s="73">
        <f>'Cước VC'!AV9</f>
        <v>0</v>
      </c>
      <c r="U13" s="73">
        <f>'Cước bộ'!W9</f>
        <v>0</v>
      </c>
    </row>
    <row r="14" spans="1:21" x14ac:dyDescent="0.15">
      <c r="A14" s="84">
        <v>9</v>
      </c>
      <c r="B14" s="85" t="str">
        <f>'Giá tháng'!B10</f>
        <v>A24.0230</v>
      </c>
      <c r="C14" s="86" t="str">
        <f>'Giá tháng'!C10</f>
        <v>Cọc ván thép &lt;=12m</v>
      </c>
      <c r="D14" s="85" t="str">
        <f>'Giá tháng'!D10</f>
        <v>m</v>
      </c>
      <c r="E14" s="150">
        <f>SUMIF(HaoPhiVatTu!S6:S315,108,HaoPhiVatTu!H6:H315)</f>
        <v>9608</v>
      </c>
      <c r="F14" s="114">
        <f>'Giá tháng'!E10</f>
        <v>0</v>
      </c>
      <c r="G14" s="114">
        <f t="shared" si="0"/>
        <v>0</v>
      </c>
      <c r="H14" s="157">
        <f>'Giá tháng'!F10</f>
        <v>0</v>
      </c>
      <c r="I14" s="114">
        <f t="shared" si="1"/>
        <v>0</v>
      </c>
      <c r="J14" s="87">
        <v>1</v>
      </c>
      <c r="K14" s="114">
        <f t="shared" si="2"/>
        <v>0</v>
      </c>
      <c r="L14" s="114">
        <f t="shared" si="3"/>
        <v>0</v>
      </c>
      <c r="M14" s="114">
        <f t="shared" si="4"/>
        <v>0</v>
      </c>
      <c r="N14" s="114">
        <f t="shared" si="5"/>
        <v>0</v>
      </c>
      <c r="O14" s="114">
        <f t="shared" si="6"/>
        <v>0</v>
      </c>
      <c r="P14" s="114">
        <f t="shared" si="9"/>
        <v>0</v>
      </c>
      <c r="Q14" s="114">
        <f t="shared" si="7"/>
        <v>0</v>
      </c>
      <c r="R14" s="114">
        <f t="shared" si="8"/>
        <v>0</v>
      </c>
      <c r="S14" s="73" t="str">
        <f>'Giá tháng'!K10</f>
        <v/>
      </c>
      <c r="T14" s="73">
        <f>'Cước VC'!AV10</f>
        <v>0</v>
      </c>
      <c r="U14" s="73">
        <f>'Cước bộ'!W10</f>
        <v>0</v>
      </c>
    </row>
    <row r="15" spans="1:21" x14ac:dyDescent="0.15">
      <c r="A15" s="84">
        <v>10</v>
      </c>
      <c r="B15" s="85" t="str">
        <f>'Giá tháng'!B11</f>
        <v>A24.0262</v>
      </c>
      <c r="C15" s="86" t="str">
        <f>'Giá tháng'!C11</f>
        <v>Cột chống thép ống</v>
      </c>
      <c r="D15" s="85" t="str">
        <f>'Giá tháng'!D11</f>
        <v>kg</v>
      </c>
      <c r="E15" s="150">
        <f>SUMIF(HaoPhiVatTu!S6:S315,109,HaoPhiVatTu!H6:H315)</f>
        <v>1068.904125</v>
      </c>
      <c r="F15" s="114">
        <f>'Giá tháng'!E11</f>
        <v>12627</v>
      </c>
      <c r="G15" s="114">
        <f t="shared" si="0"/>
        <v>13497052.386375001</v>
      </c>
      <c r="H15" s="157">
        <f>'Giá tháng'!F11</f>
        <v>12627</v>
      </c>
      <c r="I15" s="114">
        <f t="shared" si="1"/>
        <v>13497052.386375001</v>
      </c>
      <c r="J15" s="87">
        <v>1</v>
      </c>
      <c r="K15" s="114">
        <f t="shared" si="2"/>
        <v>12627</v>
      </c>
      <c r="L15" s="114">
        <f t="shared" si="3"/>
        <v>13497052.386375001</v>
      </c>
      <c r="M15" s="114">
        <f t="shared" si="4"/>
        <v>0</v>
      </c>
      <c r="N15" s="114">
        <f t="shared" si="5"/>
        <v>0</v>
      </c>
      <c r="O15" s="114">
        <f t="shared" si="6"/>
        <v>12627</v>
      </c>
      <c r="P15" s="114">
        <f t="shared" si="9"/>
        <v>13497052.386375001</v>
      </c>
      <c r="Q15" s="114">
        <f t="shared" si="7"/>
        <v>0</v>
      </c>
      <c r="R15" s="114">
        <f t="shared" si="8"/>
        <v>0</v>
      </c>
      <c r="S15" s="73" t="str">
        <f>'Giá tháng'!K11</f>
        <v/>
      </c>
      <c r="T15" s="73">
        <f>'Cước VC'!AV11</f>
        <v>0</v>
      </c>
      <c r="U15" s="73">
        <f>'Cước bộ'!W11</f>
        <v>0</v>
      </c>
    </row>
    <row r="16" spans="1:21" x14ac:dyDescent="0.15">
      <c r="A16" s="84">
        <v>11</v>
      </c>
      <c r="B16" s="85" t="str">
        <f>'Giá tháng'!B12</f>
        <v>A24.0293</v>
      </c>
      <c r="C16" s="86" t="str">
        <f>'Giá tháng'!C12</f>
        <v>Dây thép</v>
      </c>
      <c r="D16" s="85" t="str">
        <f>'Giá tháng'!D12</f>
        <v>kg</v>
      </c>
      <c r="E16" s="150">
        <f>SUMIF(HaoPhiVatTu!S6:S315,1010,HaoPhiVatTu!H6:H315)</f>
        <v>607.82014300000003</v>
      </c>
      <c r="F16" s="114">
        <f>'Giá tháng'!E12</f>
        <v>20000</v>
      </c>
      <c r="G16" s="114">
        <f t="shared" si="0"/>
        <v>12156402.860000001</v>
      </c>
      <c r="H16" s="157">
        <f>'Giá tháng'!F12</f>
        <v>20000</v>
      </c>
      <c r="I16" s="114">
        <f t="shared" si="1"/>
        <v>12156402.860000001</v>
      </c>
      <c r="J16" s="87">
        <v>1</v>
      </c>
      <c r="K16" s="114">
        <f t="shared" si="2"/>
        <v>20000</v>
      </c>
      <c r="L16" s="114">
        <f t="shared" si="3"/>
        <v>12156402.860000001</v>
      </c>
      <c r="M16" s="114">
        <f t="shared" si="4"/>
        <v>0</v>
      </c>
      <c r="N16" s="114">
        <f t="shared" si="5"/>
        <v>0</v>
      </c>
      <c r="O16" s="114">
        <f t="shared" si="6"/>
        <v>20000</v>
      </c>
      <c r="P16" s="114">
        <f t="shared" si="9"/>
        <v>12156402.860000001</v>
      </c>
      <c r="Q16" s="114">
        <f t="shared" si="7"/>
        <v>0</v>
      </c>
      <c r="R16" s="114">
        <f t="shared" si="8"/>
        <v>0</v>
      </c>
      <c r="S16" s="73" t="str">
        <f>'Giá tháng'!K12</f>
        <v/>
      </c>
      <c r="T16" s="73">
        <f>'Cước VC'!AV12</f>
        <v>0</v>
      </c>
      <c r="U16" s="73">
        <f>'Cước bộ'!W12</f>
        <v>0</v>
      </c>
    </row>
    <row r="17" spans="1:21" ht="30" x14ac:dyDescent="0.15">
      <c r="A17" s="84">
        <v>12</v>
      </c>
      <c r="B17" s="85" t="str">
        <f>'Giá tháng'!B13</f>
        <v>A24.0008</v>
      </c>
      <c r="C17" s="86" t="str">
        <f>'Giá tháng'!C13</f>
        <v>Đá 1x2</v>
      </c>
      <c r="D17" s="85" t="str">
        <f>'Giá tháng'!D13</f>
        <v>m3</v>
      </c>
      <c r="E17" s="150">
        <f>SUMIF(HaoPhiVatTu!S6:S315,1011,HaoPhiVatTu!H6:H315)</f>
        <v>589.23498971499987</v>
      </c>
      <c r="F17" s="114">
        <f>'Giá tháng'!E13</f>
        <v>320000</v>
      </c>
      <c r="G17" s="114">
        <f t="shared" si="0"/>
        <v>188555196.70879996</v>
      </c>
      <c r="H17" s="157">
        <f>'Giá tháng'!F13</f>
        <v>470000</v>
      </c>
      <c r="I17" s="114">
        <f t="shared" si="1"/>
        <v>276940445.16604996</v>
      </c>
      <c r="J17" s="87">
        <v>1</v>
      </c>
      <c r="K17" s="114">
        <f t="shared" si="2"/>
        <v>470000</v>
      </c>
      <c r="L17" s="114">
        <f t="shared" si="3"/>
        <v>276940445.16604996</v>
      </c>
      <c r="M17" s="114">
        <f t="shared" si="4"/>
        <v>0</v>
      </c>
      <c r="N17" s="114">
        <f t="shared" si="5"/>
        <v>0</v>
      </c>
      <c r="O17" s="114">
        <f t="shared" si="6"/>
        <v>470000</v>
      </c>
      <c r="P17" s="114">
        <f t="shared" si="9"/>
        <v>276940445.16604996</v>
      </c>
      <c r="Q17" s="114">
        <f t="shared" si="7"/>
        <v>150000</v>
      </c>
      <c r="R17" s="114">
        <f t="shared" si="8"/>
        <v>88385248.457249999</v>
      </c>
      <c r="S17" s="73" t="str">
        <f>'Giá tháng'!K13</f>
        <v>Áp theo "Đá 1x2" trong Thông báo giá VL số: 621/2025/TB-SXD của Sở XD TP Hải Phòng ngày 08/12/2025. Vùng: 10</v>
      </c>
      <c r="T17" s="73">
        <f>'Cước VC'!AV13</f>
        <v>0</v>
      </c>
      <c r="U17" s="73">
        <f>'Cước bộ'!W13</f>
        <v>0</v>
      </c>
    </row>
    <row r="18" spans="1:21" ht="45" x14ac:dyDescent="0.15">
      <c r="A18" s="84">
        <v>13</v>
      </c>
      <c r="B18" s="85" t="str">
        <f>'Giá tháng'!B14</f>
        <v>A24.0418</v>
      </c>
      <c r="C18" s="86" t="str">
        <f>'Giá tháng'!C14</f>
        <v>Gỗ ván</v>
      </c>
      <c r="D18" s="85" t="str">
        <f>'Giá tháng'!D14</f>
        <v>m3</v>
      </c>
      <c r="E18" s="150">
        <f>SUMIF(HaoPhiVatTu!S6:S315,1012,HaoPhiVatTu!H6:H315)</f>
        <v>4.7262000000000004</v>
      </c>
      <c r="F18" s="114">
        <f>'Giá tháng'!E14</f>
        <v>3409091</v>
      </c>
      <c r="G18" s="114">
        <f t="shared" si="0"/>
        <v>16112045.884200001</v>
      </c>
      <c r="H18" s="157">
        <f>'Giá tháng'!F14</f>
        <v>3300000</v>
      </c>
      <c r="I18" s="114">
        <f t="shared" si="1"/>
        <v>15596460.000000002</v>
      </c>
      <c r="J18" s="87">
        <v>1</v>
      </c>
      <c r="K18" s="114">
        <f t="shared" si="2"/>
        <v>3300000</v>
      </c>
      <c r="L18" s="114">
        <f t="shared" si="3"/>
        <v>15596460.000000002</v>
      </c>
      <c r="M18" s="114">
        <f t="shared" si="4"/>
        <v>0</v>
      </c>
      <c r="N18" s="114">
        <f t="shared" si="5"/>
        <v>0</v>
      </c>
      <c r="O18" s="114">
        <f t="shared" si="6"/>
        <v>3300000</v>
      </c>
      <c r="P18" s="114">
        <f t="shared" si="9"/>
        <v>15596460.000000002</v>
      </c>
      <c r="Q18" s="114">
        <f t="shared" si="7"/>
        <v>-109091</v>
      </c>
      <c r="R18" s="114">
        <f t="shared" si="8"/>
        <v>-515585.88419999927</v>
      </c>
      <c r="S18" s="73" t="str">
        <f>'Giá tháng'!K14</f>
        <v>Áp theo "Gỗ cốp pha (dày 2-3cm)" trong Thông báo giá VL số: 621/2025/TB-SXD của Sở XD TP Hải Phòng ngày 08/12/2025. Vùng: 10</v>
      </c>
      <c r="T18" s="73">
        <f>'Cước VC'!AV14</f>
        <v>0</v>
      </c>
      <c r="U18" s="73">
        <f>'Cước bộ'!W14</f>
        <v>0</v>
      </c>
    </row>
    <row r="19" spans="1:21" x14ac:dyDescent="0.15">
      <c r="A19" s="84">
        <v>14</v>
      </c>
      <c r="B19" s="85" t="str">
        <f>'Giá tháng'!B15</f>
        <v>A24.0524</v>
      </c>
      <c r="C19" s="86" t="str">
        <f>'Giá tháng'!C15</f>
        <v>Nước</v>
      </c>
      <c r="D19" s="85" t="str">
        <f>'Giá tháng'!D15</f>
        <v>lít</v>
      </c>
      <c r="E19" s="150">
        <f>SUMIF(HaoPhiVatTu!S6:S315,1013,HaoPhiVatTu!H6:H315)</f>
        <v>130221.99614749997</v>
      </c>
      <c r="F19" s="114">
        <f>'Giá tháng'!E15</f>
        <v>12</v>
      </c>
      <c r="G19" s="114">
        <f t="shared" si="0"/>
        <v>1562663.9537699996</v>
      </c>
      <c r="H19" s="157">
        <f>'Giá tháng'!F15</f>
        <v>12</v>
      </c>
      <c r="I19" s="114">
        <f t="shared" si="1"/>
        <v>1562663.9537699996</v>
      </c>
      <c r="J19" s="87">
        <v>1</v>
      </c>
      <c r="K19" s="114">
        <f t="shared" si="2"/>
        <v>12</v>
      </c>
      <c r="L19" s="114">
        <f t="shared" si="3"/>
        <v>1562663.9537699996</v>
      </c>
      <c r="M19" s="114">
        <f t="shared" si="4"/>
        <v>0</v>
      </c>
      <c r="N19" s="114">
        <f t="shared" si="5"/>
        <v>0</v>
      </c>
      <c r="O19" s="114">
        <f t="shared" si="6"/>
        <v>12</v>
      </c>
      <c r="P19" s="114">
        <f t="shared" si="9"/>
        <v>1562663.9537699996</v>
      </c>
      <c r="Q19" s="114">
        <f t="shared" si="7"/>
        <v>0</v>
      </c>
      <c r="R19" s="114">
        <f t="shared" si="8"/>
        <v>0</v>
      </c>
      <c r="S19" s="73" t="str">
        <f>'Giá tháng'!K15</f>
        <v/>
      </c>
      <c r="T19" s="73">
        <f>'Cước VC'!AV15</f>
        <v>0</v>
      </c>
      <c r="U19" s="73">
        <f>'Cước bộ'!W15</f>
        <v>0</v>
      </c>
    </row>
    <row r="20" spans="1:21" x14ac:dyDescent="0.15">
      <c r="A20" s="84">
        <v>15</v>
      </c>
      <c r="B20" s="85" t="str">
        <f>'Giá tháng'!B16</f>
        <v>A24.0348</v>
      </c>
      <c r="C20" s="86" t="str">
        <f>'Giá tháng'!C16</f>
        <v>ống xói F150mm</v>
      </c>
      <c r="D20" s="85" t="str">
        <f>'Giá tháng'!D16</f>
        <v>m</v>
      </c>
      <c r="E20" s="150">
        <f>SUMIF(HaoPhiVatTu!S6:S315,1014,HaoPhiVatTu!H6:H315)</f>
        <v>5.7645000000000008</v>
      </c>
      <c r="F20" s="114">
        <f>'Giá tháng'!E16</f>
        <v>160000</v>
      </c>
      <c r="G20" s="114">
        <f t="shared" si="0"/>
        <v>922320.00000000012</v>
      </c>
      <c r="H20" s="157">
        <f>'Giá tháng'!F16</f>
        <v>350000</v>
      </c>
      <c r="I20" s="114">
        <f t="shared" si="1"/>
        <v>2017575.0000000002</v>
      </c>
      <c r="J20" s="87">
        <v>1</v>
      </c>
      <c r="K20" s="114">
        <f t="shared" si="2"/>
        <v>350000</v>
      </c>
      <c r="L20" s="114">
        <f t="shared" si="3"/>
        <v>2017575.0000000002</v>
      </c>
      <c r="M20" s="114">
        <f t="shared" si="4"/>
        <v>0</v>
      </c>
      <c r="N20" s="114">
        <f t="shared" si="5"/>
        <v>0</v>
      </c>
      <c r="O20" s="114">
        <f t="shared" si="6"/>
        <v>350000</v>
      </c>
      <c r="P20" s="114">
        <f t="shared" si="9"/>
        <v>2017575.0000000002</v>
      </c>
      <c r="Q20" s="114">
        <f t="shared" si="7"/>
        <v>190000</v>
      </c>
      <c r="R20" s="114">
        <f t="shared" si="8"/>
        <v>1095255</v>
      </c>
      <c r="S20" s="73" t="str">
        <f>'Giá tháng'!K16</f>
        <v/>
      </c>
      <c r="T20" s="73">
        <f>'Cước VC'!AV16</f>
        <v>0</v>
      </c>
      <c r="U20" s="73">
        <f>'Cước bộ'!W16</f>
        <v>0</v>
      </c>
    </row>
    <row r="21" spans="1:21" x14ac:dyDescent="0.15">
      <c r="A21" s="84">
        <v>16</v>
      </c>
      <c r="B21" s="85" t="str">
        <f>'Giá tháng'!B17</f>
        <v>A24.0349</v>
      </c>
      <c r="C21" s="86" t="str">
        <f>'Giá tháng'!C17</f>
        <v>ống xói F250mm</v>
      </c>
      <c r="D21" s="85" t="str">
        <f>'Giá tháng'!D17</f>
        <v>m</v>
      </c>
      <c r="E21" s="150">
        <f>SUMIF(HaoPhiVatTu!S6:S315,1015,HaoPhiVatTu!H6:H315)</f>
        <v>5.7645000000000008</v>
      </c>
      <c r="F21" s="114">
        <f>'Giá tháng'!E17</f>
        <v>270000</v>
      </c>
      <c r="G21" s="114">
        <f t="shared" si="0"/>
        <v>1556415.0000000002</v>
      </c>
      <c r="H21" s="157">
        <f>'Giá tháng'!F17</f>
        <v>550000</v>
      </c>
      <c r="I21" s="114">
        <f t="shared" si="1"/>
        <v>3170475.0000000005</v>
      </c>
      <c r="J21" s="87">
        <v>1</v>
      </c>
      <c r="K21" s="114">
        <f t="shared" si="2"/>
        <v>550000</v>
      </c>
      <c r="L21" s="114">
        <f t="shared" si="3"/>
        <v>3170475.0000000005</v>
      </c>
      <c r="M21" s="114">
        <f t="shared" si="4"/>
        <v>0</v>
      </c>
      <c r="N21" s="114">
        <f t="shared" si="5"/>
        <v>0</v>
      </c>
      <c r="O21" s="114">
        <f t="shared" si="6"/>
        <v>550000</v>
      </c>
      <c r="P21" s="114">
        <f t="shared" si="9"/>
        <v>3170475.0000000005</v>
      </c>
      <c r="Q21" s="114">
        <f t="shared" si="7"/>
        <v>280000</v>
      </c>
      <c r="R21" s="114">
        <f t="shared" si="8"/>
        <v>1614060.0000000002</v>
      </c>
      <c r="S21" s="73" t="str">
        <f>'Giá tháng'!K17</f>
        <v/>
      </c>
      <c r="T21" s="73">
        <f>'Cước VC'!AV17</f>
        <v>0</v>
      </c>
      <c r="U21" s="73">
        <f>'Cước bộ'!W17</f>
        <v>0</v>
      </c>
    </row>
    <row r="22" spans="1:21" x14ac:dyDescent="0.15">
      <c r="A22" s="84">
        <v>17</v>
      </c>
      <c r="B22" s="85" t="str">
        <f>'Giá tháng'!B18</f>
        <v>A24.0350</v>
      </c>
      <c r="C22" s="86" t="str">
        <f>'Giá tháng'!C18</f>
        <v>ống xói F50mm</v>
      </c>
      <c r="D22" s="85" t="str">
        <f>'Giá tháng'!D18</f>
        <v>m</v>
      </c>
      <c r="E22" s="150">
        <f>SUMIF(HaoPhiVatTu!S6:S315,1016,HaoPhiVatTu!H6:H315)</f>
        <v>5.7645000000000008</v>
      </c>
      <c r="F22" s="114">
        <f>'Giá tháng'!E18</f>
        <v>55000</v>
      </c>
      <c r="G22" s="114">
        <f t="shared" si="0"/>
        <v>317047.50000000006</v>
      </c>
      <c r="H22" s="157">
        <f>'Giá tháng'!F18</f>
        <v>55000</v>
      </c>
      <c r="I22" s="114">
        <f t="shared" si="1"/>
        <v>317047.50000000006</v>
      </c>
      <c r="J22" s="87">
        <v>1</v>
      </c>
      <c r="K22" s="114">
        <f t="shared" si="2"/>
        <v>55000</v>
      </c>
      <c r="L22" s="114">
        <f t="shared" si="3"/>
        <v>317047.50000000006</v>
      </c>
      <c r="M22" s="114">
        <f t="shared" si="4"/>
        <v>0</v>
      </c>
      <c r="N22" s="114">
        <f t="shared" si="5"/>
        <v>0</v>
      </c>
      <c r="O22" s="114">
        <f t="shared" si="6"/>
        <v>55000</v>
      </c>
      <c r="P22" s="114">
        <f t="shared" si="9"/>
        <v>317047.50000000006</v>
      </c>
      <c r="Q22" s="114">
        <f t="shared" si="7"/>
        <v>0</v>
      </c>
      <c r="R22" s="114">
        <f t="shared" si="8"/>
        <v>0</v>
      </c>
      <c r="S22" s="73" t="str">
        <f>'Giá tháng'!K18</f>
        <v/>
      </c>
      <c r="T22" s="73">
        <f>'Cước VC'!AV18</f>
        <v>0</v>
      </c>
      <c r="U22" s="73">
        <f>'Cước bộ'!W18</f>
        <v>0</v>
      </c>
    </row>
    <row r="23" spans="1:21" x14ac:dyDescent="0.15">
      <c r="A23" s="84">
        <v>18</v>
      </c>
      <c r="B23" s="85" t="str">
        <f>'Giá tháng'!B19</f>
        <v>A24.0543</v>
      </c>
      <c r="C23" s="86" t="str">
        <f>'Giá tháng'!C19</f>
        <v>Que hàn</v>
      </c>
      <c r="D23" s="85" t="str">
        <f>'Giá tháng'!D19</f>
        <v>kg</v>
      </c>
      <c r="E23" s="150">
        <f>SUMIF(HaoPhiVatTu!S6:S315,1017,HaoPhiVatTu!H6:H315)</f>
        <v>211.76020399999996</v>
      </c>
      <c r="F23" s="114">
        <f>'Giá tháng'!E19</f>
        <v>25000</v>
      </c>
      <c r="G23" s="114">
        <f t="shared" si="0"/>
        <v>5294005.0999999987</v>
      </c>
      <c r="H23" s="157">
        <f>'Giá tháng'!F19</f>
        <v>25000</v>
      </c>
      <c r="I23" s="114">
        <f t="shared" si="1"/>
        <v>5294005.0999999987</v>
      </c>
      <c r="J23" s="87">
        <v>1</v>
      </c>
      <c r="K23" s="114">
        <f t="shared" si="2"/>
        <v>25000</v>
      </c>
      <c r="L23" s="114">
        <f t="shared" si="3"/>
        <v>5294005.0999999987</v>
      </c>
      <c r="M23" s="114">
        <f t="shared" si="4"/>
        <v>0</v>
      </c>
      <c r="N23" s="114">
        <f t="shared" si="5"/>
        <v>0</v>
      </c>
      <c r="O23" s="114">
        <f t="shared" si="6"/>
        <v>25000</v>
      </c>
      <c r="P23" s="114">
        <f t="shared" si="9"/>
        <v>5294005.0999999987</v>
      </c>
      <c r="Q23" s="114">
        <f t="shared" si="7"/>
        <v>0</v>
      </c>
      <c r="R23" s="114">
        <f t="shared" si="8"/>
        <v>0</v>
      </c>
      <c r="S23" s="73" t="str">
        <f>'Giá tháng'!K19</f>
        <v/>
      </c>
      <c r="T23" s="73">
        <f>'Cước VC'!AV19</f>
        <v>0</v>
      </c>
      <c r="U23" s="73">
        <f>'Cước bộ'!W19</f>
        <v>0</v>
      </c>
    </row>
    <row r="24" spans="1:21" x14ac:dyDescent="0.15">
      <c r="A24" s="84">
        <v>19</v>
      </c>
      <c r="B24" s="85" t="str">
        <f>'Giá tháng'!B20</f>
        <v>A24.0712</v>
      </c>
      <c r="C24" s="86" t="str">
        <f>'Giá tháng'!C20</f>
        <v>Thép hình</v>
      </c>
      <c r="D24" s="85" t="str">
        <f>'Giá tháng'!D20</f>
        <v>kg</v>
      </c>
      <c r="E24" s="150">
        <f>SUMIF(HaoPhiVatTu!S6:S315,1018,HaoPhiVatTu!H6:H315)</f>
        <v>1387.5283599999998</v>
      </c>
      <c r="F24" s="114">
        <f>'Giá tháng'!E20</f>
        <v>19250</v>
      </c>
      <c r="G24" s="114">
        <f t="shared" si="0"/>
        <v>26709920.929999996</v>
      </c>
      <c r="H24" s="157">
        <f>'Giá tháng'!F20</f>
        <v>18800</v>
      </c>
      <c r="I24" s="114">
        <f t="shared" si="1"/>
        <v>26085533.167999998</v>
      </c>
      <c r="J24" s="87">
        <v>1</v>
      </c>
      <c r="K24" s="114">
        <f t="shared" si="2"/>
        <v>18800</v>
      </c>
      <c r="L24" s="114">
        <f t="shared" si="3"/>
        <v>26085533.167999998</v>
      </c>
      <c r="M24" s="114">
        <f t="shared" si="4"/>
        <v>0</v>
      </c>
      <c r="N24" s="114">
        <f t="shared" si="5"/>
        <v>0</v>
      </c>
      <c r="O24" s="114">
        <f t="shared" si="6"/>
        <v>18800</v>
      </c>
      <c r="P24" s="114">
        <f t="shared" si="9"/>
        <v>26085533.167999998</v>
      </c>
      <c r="Q24" s="114">
        <f t="shared" si="7"/>
        <v>-450</v>
      </c>
      <c r="R24" s="114">
        <f t="shared" si="8"/>
        <v>-624387.76199999824</v>
      </c>
      <c r="S24" s="73" t="str">
        <f>'Giá tháng'!K20</f>
        <v/>
      </c>
      <c r="T24" s="73">
        <f>'Cước VC'!AV20</f>
        <v>0</v>
      </c>
      <c r="U24" s="73">
        <f>'Cước bộ'!W20</f>
        <v>0</v>
      </c>
    </row>
    <row r="25" spans="1:21" x14ac:dyDescent="0.15">
      <c r="A25" s="84">
        <v>20</v>
      </c>
      <c r="B25" s="85" t="str">
        <f>'Giá tháng'!B21</f>
        <v>A24.0726</v>
      </c>
      <c r="C25" s="86" t="str">
        <f>'Giá tháng'!C21</f>
        <v>Thép tấm</v>
      </c>
      <c r="D25" s="85" t="str">
        <f>'Giá tháng'!D21</f>
        <v>kg</v>
      </c>
      <c r="E25" s="150">
        <f>SUMIF(HaoPhiVatTu!S6:S315,1019,HaoPhiVatTu!H6:H315)</f>
        <v>1558.988805</v>
      </c>
      <c r="F25" s="114">
        <f>'Giá tháng'!E21</f>
        <v>19250</v>
      </c>
      <c r="G25" s="114">
        <f t="shared" si="0"/>
        <v>30010534.49625</v>
      </c>
      <c r="H25" s="157">
        <f>'Giá tháng'!F21</f>
        <v>18800</v>
      </c>
      <c r="I25" s="114">
        <f t="shared" si="1"/>
        <v>29308989.533999998</v>
      </c>
      <c r="J25" s="87">
        <v>1</v>
      </c>
      <c r="K25" s="114">
        <f t="shared" si="2"/>
        <v>18800</v>
      </c>
      <c r="L25" s="114">
        <f t="shared" si="3"/>
        <v>29308989.533999998</v>
      </c>
      <c r="M25" s="114">
        <f t="shared" si="4"/>
        <v>0</v>
      </c>
      <c r="N25" s="114">
        <f t="shared" si="5"/>
        <v>0</v>
      </c>
      <c r="O25" s="114">
        <f t="shared" si="6"/>
        <v>18800</v>
      </c>
      <c r="P25" s="114">
        <f t="shared" si="9"/>
        <v>29308989.533999998</v>
      </c>
      <c r="Q25" s="114">
        <f t="shared" si="7"/>
        <v>-450</v>
      </c>
      <c r="R25" s="114">
        <f t="shared" si="8"/>
        <v>-701544.96225000173</v>
      </c>
      <c r="S25" s="73" t="str">
        <f>'Giá tháng'!K21</f>
        <v/>
      </c>
      <c r="T25" s="73">
        <f>'Cước VC'!AV21</f>
        <v>0</v>
      </c>
      <c r="U25" s="73">
        <f>'Cước bộ'!W21</f>
        <v>0</v>
      </c>
    </row>
    <row r="26" spans="1:21" x14ac:dyDescent="0.15">
      <c r="A26" s="84">
        <v>21</v>
      </c>
      <c r="B26" s="85" t="str">
        <f>'Giá tháng'!B22</f>
        <v>A24.0738</v>
      </c>
      <c r="C26" s="86" t="str">
        <f>'Giá tháng'!C22</f>
        <v>Thép tròn D&lt;=10mm</v>
      </c>
      <c r="D26" s="85" t="str">
        <f>'Giá tháng'!D22</f>
        <v>kg</v>
      </c>
      <c r="E26" s="150">
        <f>SUMIF(HaoPhiVatTu!S6:S315,1020,HaoPhiVatTu!H6:H315)</f>
        <v>32017.792500000003</v>
      </c>
      <c r="F26" s="114">
        <f>'Giá tháng'!E22</f>
        <v>19200</v>
      </c>
      <c r="G26" s="114">
        <f t="shared" si="0"/>
        <v>614741616.00000012</v>
      </c>
      <c r="H26" s="157">
        <f>'Giá tháng'!F22</f>
        <v>14700</v>
      </c>
      <c r="I26" s="114">
        <f t="shared" si="1"/>
        <v>470661549.75000006</v>
      </c>
      <c r="J26" s="87">
        <v>1</v>
      </c>
      <c r="K26" s="114">
        <f t="shared" si="2"/>
        <v>14700</v>
      </c>
      <c r="L26" s="114">
        <f t="shared" si="3"/>
        <v>470661549.75000006</v>
      </c>
      <c r="M26" s="114">
        <f t="shared" si="4"/>
        <v>0</v>
      </c>
      <c r="N26" s="114">
        <f t="shared" si="5"/>
        <v>0</v>
      </c>
      <c r="O26" s="114">
        <f t="shared" si="6"/>
        <v>14700</v>
      </c>
      <c r="P26" s="114">
        <f t="shared" si="9"/>
        <v>470661549.75000006</v>
      </c>
      <c r="Q26" s="114">
        <f t="shared" si="7"/>
        <v>-4500</v>
      </c>
      <c r="R26" s="114">
        <f t="shared" si="8"/>
        <v>-144080066.25000006</v>
      </c>
      <c r="S26" s="73" t="str">
        <f>'Giá tháng'!K22</f>
        <v/>
      </c>
      <c r="T26" s="73">
        <f>'Cước VC'!AV22</f>
        <v>0</v>
      </c>
      <c r="U26" s="73">
        <f>'Cước bộ'!W22</f>
        <v>0</v>
      </c>
    </row>
    <row r="27" spans="1:21" x14ac:dyDescent="0.15">
      <c r="A27" s="84">
        <v>22</v>
      </c>
      <c r="B27" s="85" t="str">
        <f>'Giá tháng'!B23</f>
        <v>A24.0739</v>
      </c>
      <c r="C27" s="86" t="str">
        <f>'Giá tháng'!C23</f>
        <v>Thép tròn D&lt;=18mm</v>
      </c>
      <c r="D27" s="85" t="str">
        <f>'Giá tháng'!D23</f>
        <v>kg</v>
      </c>
      <c r="E27" s="150">
        <f>SUMIF(HaoPhiVatTu!S6:S315,1021,HaoPhiVatTu!H6:H315)</f>
        <v>10535.682000000001</v>
      </c>
      <c r="F27" s="114">
        <f>'Giá tháng'!E23</f>
        <v>19200</v>
      </c>
      <c r="G27" s="114">
        <f t="shared" si="0"/>
        <v>202285094.40000001</v>
      </c>
      <c r="H27" s="157">
        <f>'Giá tháng'!F23</f>
        <v>14700</v>
      </c>
      <c r="I27" s="114">
        <f t="shared" si="1"/>
        <v>154874525.40000001</v>
      </c>
      <c r="J27" s="87">
        <v>1</v>
      </c>
      <c r="K27" s="114">
        <f t="shared" si="2"/>
        <v>14700</v>
      </c>
      <c r="L27" s="114">
        <f t="shared" si="3"/>
        <v>154874525.40000001</v>
      </c>
      <c r="M27" s="114">
        <f t="shared" si="4"/>
        <v>0</v>
      </c>
      <c r="N27" s="114">
        <f t="shared" si="5"/>
        <v>0</v>
      </c>
      <c r="O27" s="114">
        <f t="shared" si="6"/>
        <v>14700</v>
      </c>
      <c r="P27" s="114">
        <f t="shared" si="9"/>
        <v>154874525.40000001</v>
      </c>
      <c r="Q27" s="114">
        <f t="shared" si="7"/>
        <v>-4500</v>
      </c>
      <c r="R27" s="114">
        <f t="shared" si="8"/>
        <v>-47410569</v>
      </c>
      <c r="S27" s="73" t="str">
        <f>'Giá tháng'!K23</f>
        <v/>
      </c>
      <c r="T27" s="73">
        <f>'Cước VC'!AV23</f>
        <v>0</v>
      </c>
      <c r="U27" s="73">
        <f>'Cước bộ'!W23</f>
        <v>0</v>
      </c>
    </row>
    <row r="28" spans="1:21" ht="45" x14ac:dyDescent="0.15">
      <c r="A28" s="84">
        <v>23</v>
      </c>
      <c r="B28" s="85" t="str">
        <f>'Giá tháng'!B24</f>
        <v>A24.0782</v>
      </c>
      <c r="C28" s="86" t="str">
        <f>'Giá tháng'!C24</f>
        <v>Vải địa kỹ thuật</v>
      </c>
      <c r="D28" s="85" t="str">
        <f>'Giá tháng'!D24</f>
        <v>m2</v>
      </c>
      <c r="E28" s="150">
        <f>SUMIF(HaoPhiVatTu!S6:S315,1022,HaoPhiVatTu!H6:H315)</f>
        <v>151.19999999999999</v>
      </c>
      <c r="F28" s="114">
        <f>'Giá tháng'!E24</f>
        <v>11100</v>
      </c>
      <c r="G28" s="114">
        <f t="shared" si="0"/>
        <v>1678319.9999999998</v>
      </c>
      <c r="H28" s="157">
        <f>'Giá tháng'!F24</f>
        <v>10400</v>
      </c>
      <c r="I28" s="114">
        <f t="shared" si="1"/>
        <v>1572479.9999999998</v>
      </c>
      <c r="J28" s="87">
        <v>1</v>
      </c>
      <c r="K28" s="114">
        <f t="shared" si="2"/>
        <v>10400</v>
      </c>
      <c r="L28" s="114">
        <f t="shared" si="3"/>
        <v>1572479.9999999998</v>
      </c>
      <c r="M28" s="114">
        <f t="shared" si="4"/>
        <v>0</v>
      </c>
      <c r="N28" s="114">
        <f t="shared" si="5"/>
        <v>0</v>
      </c>
      <c r="O28" s="114">
        <f t="shared" si="6"/>
        <v>10400</v>
      </c>
      <c r="P28" s="114">
        <f t="shared" si="9"/>
        <v>1572479.9999999998</v>
      </c>
      <c r="Q28" s="114">
        <f t="shared" si="7"/>
        <v>-700</v>
      </c>
      <c r="R28" s="114">
        <f t="shared" si="8"/>
        <v>-105840</v>
      </c>
      <c r="S28" s="73" t="str">
        <f>'Giá tháng'!K24</f>
        <v>Áp theo "Vài địa kỹ thuật không dệt 12KN" trong Thông báo giá VL số: 621/2025/TB-SXD của Sở XD TP Hải Phòng ngày 08/12/2025. Vùng: 10</v>
      </c>
      <c r="T28" s="73">
        <f>'Cước VC'!AV24</f>
        <v>0</v>
      </c>
      <c r="U28" s="73">
        <f>'Cước bộ'!W24</f>
        <v>0</v>
      </c>
    </row>
    <row r="29" spans="1:21" ht="45" x14ac:dyDescent="0.15">
      <c r="A29" s="84">
        <v>24</v>
      </c>
      <c r="B29" s="85" t="str">
        <f>'Giá tháng'!B25</f>
        <v>A24.0797A</v>
      </c>
      <c r="C29" s="86" t="str">
        <f>'Giá tháng'!C25</f>
        <v>Xi măng PCB30</v>
      </c>
      <c r="D29" s="85" t="str">
        <f>'Giá tháng'!D25</f>
        <v>kg</v>
      </c>
      <c r="E29" s="150">
        <f>SUMIF(HaoPhiVatTu!S6:S315,1023,HaoPhiVatTu!H6:H315)</f>
        <v>245126.5442</v>
      </c>
      <c r="F29" s="114">
        <f>'Giá tháng'!E25</f>
        <v>1380</v>
      </c>
      <c r="G29" s="114">
        <f t="shared" si="0"/>
        <v>338274630.99599999</v>
      </c>
      <c r="H29" s="157">
        <f>'Giá tháng'!F25</f>
        <v>1597</v>
      </c>
      <c r="I29" s="114">
        <f t="shared" si="1"/>
        <v>391467091.08740002</v>
      </c>
      <c r="J29" s="87">
        <v>1</v>
      </c>
      <c r="K29" s="114">
        <f t="shared" si="2"/>
        <v>1597</v>
      </c>
      <c r="L29" s="114">
        <f t="shared" si="3"/>
        <v>391467091.08740002</v>
      </c>
      <c r="M29" s="114">
        <f t="shared" si="4"/>
        <v>0</v>
      </c>
      <c r="N29" s="114">
        <f t="shared" si="5"/>
        <v>0</v>
      </c>
      <c r="O29" s="114">
        <f t="shared" si="6"/>
        <v>1597</v>
      </c>
      <c r="P29" s="114">
        <f t="shared" si="9"/>
        <v>391467091.08740002</v>
      </c>
      <c r="Q29" s="114">
        <f t="shared" si="7"/>
        <v>217</v>
      </c>
      <c r="R29" s="114">
        <f t="shared" si="8"/>
        <v>53192460.091400027</v>
      </c>
      <c r="S29" s="73" t="str">
        <f>'Giá tháng'!K25</f>
        <v>Áp theo "Xi măng PCB30 bao Chinfon (đường bộ)" trong Thông báo giá VL số: 621/2025/TB-SXD của Sở XD TP Hải Phòng ngày 08/12/2025. Vùng: 10</v>
      </c>
      <c r="T29" s="73">
        <f>'Cước VC'!AV25</f>
        <v>0</v>
      </c>
      <c r="U29" s="73">
        <f>'Cước bộ'!W25</f>
        <v>0</v>
      </c>
    </row>
    <row r="30" spans="1:21" x14ac:dyDescent="0.15">
      <c r="A30" s="84">
        <v>25</v>
      </c>
      <c r="B30" s="85" t="s">
        <v>478</v>
      </c>
      <c r="C30" s="86" t="s">
        <v>479</v>
      </c>
      <c r="D30" s="85" t="s">
        <v>480</v>
      </c>
      <c r="E30" s="150"/>
      <c r="F30" s="114"/>
      <c r="G30" s="114">
        <f>HaoPhiVatTu!M4</f>
        <v>28201220.589325503</v>
      </c>
      <c r="H30" s="157"/>
      <c r="I30" s="114"/>
      <c r="J30" s="87"/>
      <c r="K30" s="114"/>
      <c r="L30" s="114"/>
      <c r="M30" s="114"/>
      <c r="N30" s="114"/>
      <c r="O30" s="114"/>
      <c r="P30" s="114">
        <f>HaoPhiVatTu!O4</f>
        <v>37554833.848471999</v>
      </c>
      <c r="Q30" s="114"/>
      <c r="R30" s="114">
        <f>P30-G30</f>
        <v>9353613.2591464967</v>
      </c>
    </row>
    <row r="31" spans="1:21" ht="14" x14ac:dyDescent="0.15">
      <c r="A31" s="158"/>
      <c r="B31" s="159"/>
      <c r="C31" s="160" t="s">
        <v>487</v>
      </c>
      <c r="D31" s="159"/>
      <c r="E31" s="161"/>
      <c r="F31" s="161"/>
      <c r="G31" s="161">
        <f>SUM(G6:G30)</f>
        <v>2476286578.0215955</v>
      </c>
      <c r="H31" s="162"/>
      <c r="I31" s="161">
        <f>SUM(I6:I30)</f>
        <v>2739544084.9337196</v>
      </c>
      <c r="J31" s="161"/>
      <c r="K31" s="161"/>
      <c r="L31" s="161">
        <f>SUM(L6:L30)</f>
        <v>2739544084.9337196</v>
      </c>
      <c r="M31" s="161"/>
      <c r="N31" s="161">
        <f>SUM(N6:N30)</f>
        <v>0</v>
      </c>
      <c r="O31" s="161"/>
      <c r="P31" s="161">
        <f>SUM(P6:P30)</f>
        <v>4066972918.7821922</v>
      </c>
      <c r="Q31" s="161"/>
      <c r="R31" s="161">
        <f>SUM(R6:R30)</f>
        <v>1590686340.760596</v>
      </c>
    </row>
    <row r="32" spans="1:21" ht="14" x14ac:dyDescent="0.15">
      <c r="A32" s="80" t="s">
        <v>298</v>
      </c>
      <c r="B32" s="81"/>
      <c r="C32" s="81" t="s">
        <v>299</v>
      </c>
      <c r="D32" s="81"/>
      <c r="E32" s="154"/>
      <c r="F32" s="155"/>
      <c r="G32" s="155"/>
      <c r="H32" s="156"/>
      <c r="I32" s="155"/>
      <c r="J32" s="82"/>
      <c r="K32" s="155"/>
      <c r="L32" s="155"/>
      <c r="M32" s="155"/>
      <c r="N32" s="155"/>
      <c r="O32" s="155"/>
      <c r="P32" s="155"/>
      <c r="Q32" s="155"/>
      <c r="R32" s="155"/>
    </row>
    <row r="33" spans="1:19" ht="30" x14ac:dyDescent="0.15">
      <c r="A33" s="84">
        <v>1</v>
      </c>
      <c r="B33" s="85" t="str">
        <f>'Công trình'!E34</f>
        <v>TT</v>
      </c>
      <c r="C33" s="86" t="str">
        <f>'Công trình'!F34</f>
        <v>Bơm nước thi công cho 5 phân đoạn</v>
      </c>
      <c r="D33" s="85" t="str">
        <f>'Công trình'!G34</f>
        <v>ca</v>
      </c>
      <c r="E33" s="150">
        <f>'Công trình'!P34</f>
        <v>75</v>
      </c>
      <c r="F33" s="114">
        <f>'Công trình'!S34</f>
        <v>50000</v>
      </c>
      <c r="G33" s="114">
        <f>E33*F33</f>
        <v>3750000</v>
      </c>
      <c r="H33" s="157">
        <f>'Công trình'!S34</f>
        <v>50000</v>
      </c>
      <c r="I33" s="114">
        <f>E33*H33</f>
        <v>3750000</v>
      </c>
      <c r="J33" s="87">
        <v>1</v>
      </c>
      <c r="K33" s="114">
        <f>H33*J33</f>
        <v>50000</v>
      </c>
      <c r="L33" s="114">
        <f>E33*K33</f>
        <v>3750000</v>
      </c>
      <c r="M33" s="114"/>
      <c r="N33" s="114"/>
      <c r="O33" s="114">
        <f>H33</f>
        <v>50000</v>
      </c>
      <c r="P33" s="114">
        <f>E33*O33</f>
        <v>3750000</v>
      </c>
      <c r="Q33" s="114">
        <f t="shared" ref="Q33:R37" si="10">O33-F33</f>
        <v>0</v>
      </c>
      <c r="R33" s="114">
        <f t="shared" si="10"/>
        <v>0</v>
      </c>
    </row>
    <row r="34" spans="1:19" x14ac:dyDescent="0.15">
      <c r="A34" s="84">
        <v>2</v>
      </c>
      <c r="B34" s="85" t="str">
        <f>'Giá tháng'!B27</f>
        <v>N1.30</v>
      </c>
      <c r="C34" s="86" t="str">
        <f>'Giá tháng'!C27</f>
        <v>Nhân công 3,0/7 - Nhóm 1</v>
      </c>
      <c r="D34" s="85" t="str">
        <f>'Giá tháng'!D27</f>
        <v>công</v>
      </c>
      <c r="E34" s="150">
        <f>SUMIF(HaoPhiVatTu!S6:S315,201,HaoPhiVatTu!H6:H315)</f>
        <v>562.101043</v>
      </c>
      <c r="F34" s="114">
        <f>'Giá tháng'!E27</f>
        <v>221303</v>
      </c>
      <c r="G34" s="114">
        <f>E34*F34</f>
        <v>124394647.119029</v>
      </c>
      <c r="H34" s="157">
        <f>'Giá tháng'!F27</f>
        <v>243700</v>
      </c>
      <c r="I34" s="114">
        <f>E34*H34</f>
        <v>136984024.17910001</v>
      </c>
      <c r="J34" s="87">
        <v>1</v>
      </c>
      <c r="K34" s="114">
        <f>H34*J34</f>
        <v>243700</v>
      </c>
      <c r="L34" s="114">
        <f>E34*K34</f>
        <v>136984024.17910001</v>
      </c>
      <c r="M34" s="114"/>
      <c r="N34" s="114"/>
      <c r="O34" s="114">
        <f>H34</f>
        <v>243700</v>
      </c>
      <c r="P34" s="114">
        <f>E34*O34</f>
        <v>136984024.17910001</v>
      </c>
      <c r="Q34" s="114">
        <f t="shared" si="10"/>
        <v>22397</v>
      </c>
      <c r="R34" s="114">
        <f t="shared" si="10"/>
        <v>12589377.060071006</v>
      </c>
      <c r="S34" s="73" t="str">
        <f>'Giá tháng'!K27</f>
        <v>Được tính toán, rồi Link từ sheet Nhân công sang</v>
      </c>
    </row>
    <row r="35" spans="1:19" x14ac:dyDescent="0.15">
      <c r="A35" s="84">
        <v>3</v>
      </c>
      <c r="B35" s="85" t="str">
        <f>'Giá tháng'!B28</f>
        <v>N2.30</v>
      </c>
      <c r="C35" s="86" t="str">
        <f>'Giá tháng'!C28</f>
        <v>Nhân công 3,0/7 - Nhóm 2</v>
      </c>
      <c r="D35" s="85" t="str">
        <f>'Giá tháng'!D28</f>
        <v>công</v>
      </c>
      <c r="E35" s="150">
        <f>SUMIF(HaoPhiVatTu!S6:S315,202,HaoPhiVatTu!H6:H315)</f>
        <v>1291.8946700000001</v>
      </c>
      <c r="F35" s="114">
        <f>'Giá tháng'!E28</f>
        <v>239592</v>
      </c>
      <c r="G35" s="114">
        <f>E35*F35</f>
        <v>309527627.77464002</v>
      </c>
      <c r="H35" s="157">
        <f>'Giá tháng'!F28</f>
        <v>263800</v>
      </c>
      <c r="I35" s="114">
        <f>E35*H35</f>
        <v>340801813.94600004</v>
      </c>
      <c r="J35" s="87">
        <v>1</v>
      </c>
      <c r="K35" s="114">
        <f>H35*J35</f>
        <v>263800</v>
      </c>
      <c r="L35" s="114">
        <f>E35*K35</f>
        <v>340801813.94600004</v>
      </c>
      <c r="M35" s="114"/>
      <c r="N35" s="114"/>
      <c r="O35" s="114">
        <f>H35</f>
        <v>263800</v>
      </c>
      <c r="P35" s="114">
        <f>E35*O35</f>
        <v>340801813.94600004</v>
      </c>
      <c r="Q35" s="114">
        <f t="shared" si="10"/>
        <v>24208</v>
      </c>
      <c r="R35" s="114">
        <f t="shared" si="10"/>
        <v>31274186.171360016</v>
      </c>
      <c r="S35" s="73" t="str">
        <f>'Giá tháng'!K28</f>
        <v>Được tính toán, rồi Link từ sheet Nhân công sang</v>
      </c>
    </row>
    <row r="36" spans="1:19" x14ac:dyDescent="0.15">
      <c r="A36" s="84">
        <v>4</v>
      </c>
      <c r="B36" s="85" t="str">
        <f>'Giá tháng'!B29</f>
        <v>N2.35</v>
      </c>
      <c r="C36" s="86" t="str">
        <f>'Giá tháng'!C29</f>
        <v>Nhân công 3,5/7 - Nhóm 2</v>
      </c>
      <c r="D36" s="85" t="str">
        <f>'Giá tháng'!D29</f>
        <v>công</v>
      </c>
      <c r="E36" s="150">
        <f>SUMIF(HaoPhiVatTu!S6:S315,203,HaoPhiVatTu!H6:H315)</f>
        <v>2071.3441789999997</v>
      </c>
      <c r="F36" s="114">
        <f>'Giá tháng'!E29</f>
        <v>262000</v>
      </c>
      <c r="G36" s="114">
        <f>E36*F36</f>
        <v>542692174.89799988</v>
      </c>
      <c r="H36" s="157">
        <f>'Giá tháng'!F29</f>
        <v>288500</v>
      </c>
      <c r="I36" s="114">
        <f>E36*H36</f>
        <v>597582795.64149988</v>
      </c>
      <c r="J36" s="87">
        <v>1</v>
      </c>
      <c r="K36" s="114">
        <f>H36*J36</f>
        <v>288500</v>
      </c>
      <c r="L36" s="114">
        <f>E36*K36</f>
        <v>597582795.64149988</v>
      </c>
      <c r="M36" s="114"/>
      <c r="N36" s="114"/>
      <c r="O36" s="114">
        <f>H36</f>
        <v>288500</v>
      </c>
      <c r="P36" s="114">
        <f>E36*O36</f>
        <v>597582795.64149988</v>
      </c>
      <c r="Q36" s="114">
        <f t="shared" si="10"/>
        <v>26500</v>
      </c>
      <c r="R36" s="114">
        <f t="shared" si="10"/>
        <v>54890620.743499994</v>
      </c>
      <c r="S36" s="73" t="str">
        <f>'Giá tháng'!K29</f>
        <v>Được tính toán, rồi Link từ sheet Nhân công sang</v>
      </c>
    </row>
    <row r="37" spans="1:19" x14ac:dyDescent="0.15">
      <c r="A37" s="84">
        <v>5</v>
      </c>
      <c r="B37" s="85" t="str">
        <f>'Giá tháng'!B30</f>
        <v>N2.40</v>
      </c>
      <c r="C37" s="86" t="str">
        <f>'Giá tháng'!C30</f>
        <v>Nhân công 4,0/7 - Nhóm 2</v>
      </c>
      <c r="D37" s="85" t="str">
        <f>'Giá tháng'!D30</f>
        <v>công</v>
      </c>
      <c r="E37" s="150">
        <f>SUMIF(HaoPhiVatTu!S6:S315,204,HaoPhiVatTu!H6:H315)</f>
        <v>774.11425000000008</v>
      </c>
      <c r="F37" s="114">
        <f>'Giá tháng'!E30</f>
        <v>284408</v>
      </c>
      <c r="G37" s="114">
        <f>E37*F37</f>
        <v>220164285.61400002</v>
      </c>
      <c r="H37" s="157">
        <f>'Giá tháng'!F30</f>
        <v>313200</v>
      </c>
      <c r="I37" s="114">
        <f>E37*H37</f>
        <v>242452583.10000002</v>
      </c>
      <c r="J37" s="87">
        <v>1</v>
      </c>
      <c r="K37" s="114">
        <f>H37*J37</f>
        <v>313200</v>
      </c>
      <c r="L37" s="114">
        <f>E37*K37</f>
        <v>242452583.10000002</v>
      </c>
      <c r="M37" s="114"/>
      <c r="N37" s="114"/>
      <c r="O37" s="114">
        <f>H37</f>
        <v>313200</v>
      </c>
      <c r="P37" s="114">
        <f>E37*O37</f>
        <v>242452583.10000002</v>
      </c>
      <c r="Q37" s="114">
        <f t="shared" si="10"/>
        <v>28792</v>
      </c>
      <c r="R37" s="114">
        <f t="shared" si="10"/>
        <v>22288297.486000001</v>
      </c>
      <c r="S37" s="73" t="str">
        <f>'Giá tháng'!K30</f>
        <v>Được tính toán, rồi Link từ sheet Nhân công sang</v>
      </c>
    </row>
    <row r="38" spans="1:19" ht="14" x14ac:dyDescent="0.15">
      <c r="A38" s="158"/>
      <c r="B38" s="159"/>
      <c r="C38" s="160" t="s">
        <v>488</v>
      </c>
      <c r="D38" s="159"/>
      <c r="E38" s="161"/>
      <c r="F38" s="161"/>
      <c r="G38" s="161">
        <f>SUM(G33:G37)</f>
        <v>1200528735.405669</v>
      </c>
      <c r="H38" s="162"/>
      <c r="I38" s="161">
        <f>SUM(I33:I37)</f>
        <v>1321571216.8666</v>
      </c>
      <c r="J38" s="161"/>
      <c r="K38" s="161"/>
      <c r="L38" s="161">
        <f>SUM(L33:L37)</f>
        <v>1321571216.8666</v>
      </c>
      <c r="M38" s="161"/>
      <c r="N38" s="161">
        <f>SUM(N33:N37)</f>
        <v>0</v>
      </c>
      <c r="O38" s="161"/>
      <c r="P38" s="161">
        <f>SUM(P33:P37)</f>
        <v>1321571216.8666</v>
      </c>
      <c r="Q38" s="161"/>
      <c r="R38" s="161">
        <f>SUM(R33:R37)</f>
        <v>121042481.46093102</v>
      </c>
    </row>
    <row r="39" spans="1:19" ht="14" x14ac:dyDescent="0.15">
      <c r="A39" s="80" t="s">
        <v>310</v>
      </c>
      <c r="B39" s="81"/>
      <c r="C39" s="81" t="s">
        <v>311</v>
      </c>
      <c r="D39" s="81"/>
      <c r="E39" s="154"/>
      <c r="F39" s="155"/>
      <c r="G39" s="155"/>
      <c r="H39" s="156"/>
      <c r="I39" s="155"/>
      <c r="J39" s="82"/>
      <c r="K39" s="155"/>
      <c r="L39" s="155"/>
      <c r="M39" s="155"/>
      <c r="N39" s="155"/>
      <c r="O39" s="155"/>
      <c r="P39" s="155"/>
      <c r="Q39" s="155"/>
      <c r="R39" s="155"/>
    </row>
    <row r="40" spans="1:19" ht="30" x14ac:dyDescent="0.15">
      <c r="A40" s="84">
        <v>1</v>
      </c>
      <c r="B40" s="85" t="str">
        <f>'Công trình'!E8</f>
        <v>TT</v>
      </c>
      <c r="C40" s="86" t="str">
        <f>'Công trình'!F8</f>
        <v>Vận chuyển phao chuyến đến và chuyến về</v>
      </c>
      <c r="D40" s="85" t="str">
        <f>'Công trình'!G8</f>
        <v>ca</v>
      </c>
      <c r="E40" s="150">
        <f>'Công trình'!P8</f>
        <v>2</v>
      </c>
      <c r="F40" s="114">
        <f>'Công trình'!T8</f>
        <v>3000000</v>
      </c>
      <c r="G40" s="114">
        <f t="shared" ref="G40:G61" si="11">E40*F40</f>
        <v>6000000</v>
      </c>
      <c r="H40" s="157">
        <f>'Công trình'!T8</f>
        <v>3000000</v>
      </c>
      <c r="I40" s="114">
        <f t="shared" ref="I40:I61" si="12">E40*H40</f>
        <v>6000000</v>
      </c>
      <c r="J40" s="87">
        <v>1</v>
      </c>
      <c r="K40" s="114">
        <f t="shared" ref="K40:K61" si="13">H40*J40</f>
        <v>3000000</v>
      </c>
      <c r="L40" s="114">
        <f t="shared" ref="L40:L61" si="14">E40*K40</f>
        <v>6000000</v>
      </c>
      <c r="M40" s="114"/>
      <c r="N40" s="114">
        <f t="shared" ref="N40:N61" si="15">E40*J40*M40</f>
        <v>0</v>
      </c>
      <c r="O40" s="114">
        <f t="shared" ref="O40:O61" si="16">H40</f>
        <v>3000000</v>
      </c>
      <c r="P40" s="114">
        <f t="shared" ref="P40:P61" si="17">E40*O40</f>
        <v>6000000</v>
      </c>
      <c r="Q40" s="114">
        <f t="shared" ref="Q40:Q61" si="18">O40-F40</f>
        <v>0</v>
      </c>
      <c r="R40" s="114">
        <f t="shared" ref="R40:R61" si="19">P40-G40</f>
        <v>0</v>
      </c>
    </row>
    <row r="41" spans="1:19" ht="30" x14ac:dyDescent="0.15">
      <c r="A41" s="84">
        <v>2</v>
      </c>
      <c r="B41" s="85" t="str">
        <f>'Công trình'!E34</f>
        <v>TT</v>
      </c>
      <c r="C41" s="86" t="str">
        <f>'Công trình'!F34</f>
        <v>Bơm nước thi công cho 5 phân đoạn</v>
      </c>
      <c r="D41" s="85" t="str">
        <f>'Công trình'!G34</f>
        <v>ca</v>
      </c>
      <c r="E41" s="150">
        <f>'Công trình'!P34</f>
        <v>75</v>
      </c>
      <c r="F41" s="114">
        <f>'Công trình'!T34</f>
        <v>450000</v>
      </c>
      <c r="G41" s="114">
        <f t="shared" si="11"/>
        <v>33750000</v>
      </c>
      <c r="H41" s="157">
        <f>'Công trình'!T34</f>
        <v>450000</v>
      </c>
      <c r="I41" s="114">
        <f t="shared" si="12"/>
        <v>33750000</v>
      </c>
      <c r="J41" s="87">
        <v>1</v>
      </c>
      <c r="K41" s="114">
        <f t="shared" si="13"/>
        <v>450000</v>
      </c>
      <c r="L41" s="114">
        <f t="shared" si="14"/>
        <v>33750000</v>
      </c>
      <c r="M41" s="114"/>
      <c r="N41" s="114">
        <f t="shared" si="15"/>
        <v>0</v>
      </c>
      <c r="O41" s="114">
        <f t="shared" si="16"/>
        <v>450000</v>
      </c>
      <c r="P41" s="114">
        <f t="shared" si="17"/>
        <v>33750000</v>
      </c>
      <c r="Q41" s="114">
        <f t="shared" si="18"/>
        <v>0</v>
      </c>
      <c r="R41" s="114">
        <f t="shared" si="19"/>
        <v>0</v>
      </c>
    </row>
    <row r="42" spans="1:19" ht="30" x14ac:dyDescent="0.15">
      <c r="A42" s="84">
        <v>3</v>
      </c>
      <c r="B42" s="85" t="str">
        <f>'Giá tháng'!B32</f>
        <v>M109.0507</v>
      </c>
      <c r="C42" s="86" t="str">
        <f>'Giá tháng'!C32</f>
        <v>Ca nô 150 CV</v>
      </c>
      <c r="D42" s="85" t="str">
        <f>'Giá tháng'!D32</f>
        <v>ca</v>
      </c>
      <c r="E42" s="150">
        <f>SUMIF(HaoPhiVatTu!S6:S315,302,HaoPhiVatTu!H6:H315)</f>
        <v>1.1529</v>
      </c>
      <c r="F42" s="114">
        <f>'Giá tháng'!E32</f>
        <v>2067189</v>
      </c>
      <c r="G42" s="114">
        <f t="shared" si="11"/>
        <v>2383262.1981000002</v>
      </c>
      <c r="H42" s="157">
        <f>'Giá tháng'!F32</f>
        <v>1995246</v>
      </c>
      <c r="I42" s="114">
        <f t="shared" si="12"/>
        <v>2300319.1134000001</v>
      </c>
      <c r="J42" s="87">
        <v>1</v>
      </c>
      <c r="K42" s="114">
        <f t="shared" si="13"/>
        <v>1995246</v>
      </c>
      <c r="L42" s="114">
        <f t="shared" si="14"/>
        <v>2300319.1134000001</v>
      </c>
      <c r="M42" s="114"/>
      <c r="N42" s="114">
        <f t="shared" si="15"/>
        <v>0</v>
      </c>
      <c r="O42" s="114">
        <f t="shared" si="16"/>
        <v>1995246</v>
      </c>
      <c r="P42" s="114">
        <f t="shared" si="17"/>
        <v>2300319.1134000001</v>
      </c>
      <c r="Q42" s="114">
        <f t="shared" si="18"/>
        <v>-71943</v>
      </c>
      <c r="R42" s="114">
        <f t="shared" si="19"/>
        <v>-82943.084700000007</v>
      </c>
      <c r="S42" s="73" t="str">
        <f>'Giá tháng'!K32</f>
        <v>Được tính toán, rồi Link từ sheet Máy sang</v>
      </c>
    </row>
    <row r="43" spans="1:19" ht="30" x14ac:dyDescent="0.15">
      <c r="A43" s="84">
        <v>4</v>
      </c>
      <c r="B43" s="85" t="str">
        <f>'Giá tháng'!B33</f>
        <v>M102.0302</v>
      </c>
      <c r="C43" s="86" t="str">
        <f>'Giá tháng'!C33</f>
        <v>Cần cẩu bánh xích 10T</v>
      </c>
      <c r="D43" s="85" t="str">
        <f>'Giá tháng'!D33</f>
        <v>ca</v>
      </c>
      <c r="E43" s="150">
        <f>SUMIF(HaoPhiVatTu!S6:S315,303,HaoPhiVatTu!H6:H315)</f>
        <v>5.375</v>
      </c>
      <c r="F43" s="114">
        <f>'Giá tháng'!E33</f>
        <v>2256343</v>
      </c>
      <c r="G43" s="114">
        <f t="shared" si="11"/>
        <v>12127843.625</v>
      </c>
      <c r="H43" s="157">
        <f>'Giá tháng'!F33</f>
        <v>2090057</v>
      </c>
      <c r="I43" s="114">
        <f t="shared" si="12"/>
        <v>11234056.375</v>
      </c>
      <c r="J43" s="87">
        <v>1</v>
      </c>
      <c r="K43" s="114">
        <f t="shared" si="13"/>
        <v>2090057</v>
      </c>
      <c r="L43" s="114">
        <f t="shared" si="14"/>
        <v>11234056.375</v>
      </c>
      <c r="M43" s="114"/>
      <c r="N43" s="114">
        <f t="shared" si="15"/>
        <v>0</v>
      </c>
      <c r="O43" s="114">
        <f t="shared" si="16"/>
        <v>2090057</v>
      </c>
      <c r="P43" s="114">
        <f t="shared" si="17"/>
        <v>11234056.375</v>
      </c>
      <c r="Q43" s="114">
        <f t="shared" si="18"/>
        <v>-166286</v>
      </c>
      <c r="R43" s="114">
        <f t="shared" si="19"/>
        <v>-893787.25</v>
      </c>
      <c r="S43" s="73" t="str">
        <f>'Giá tháng'!K33</f>
        <v>Được tính toán, rồi Link từ sheet Máy sang</v>
      </c>
    </row>
    <row r="44" spans="1:19" ht="30" x14ac:dyDescent="0.15">
      <c r="A44" s="84">
        <v>5</v>
      </c>
      <c r="B44" s="85" t="str">
        <f>'Giá tháng'!B34</f>
        <v>M102.0501</v>
      </c>
      <c r="C44" s="86" t="str">
        <f>'Giá tháng'!C34</f>
        <v>Cần cẩu nổi, kéo theo 30T</v>
      </c>
      <c r="D44" s="85" t="str">
        <f>'Giá tháng'!D34</f>
        <v>ca</v>
      </c>
      <c r="E44" s="150">
        <f>SUMIF(HaoPhiVatTu!S6:S315,304,HaoPhiVatTu!H6:H315)</f>
        <v>65.715300000000013</v>
      </c>
      <c r="F44" s="114">
        <f>'Giá tháng'!E34</f>
        <v>7147541</v>
      </c>
      <c r="G44" s="114">
        <f t="shared" si="11"/>
        <v>469702801.07730007</v>
      </c>
      <c r="H44" s="157">
        <f>'Giá tháng'!F34</f>
        <v>6848149</v>
      </c>
      <c r="I44" s="114">
        <f t="shared" si="12"/>
        <v>450028165.97970009</v>
      </c>
      <c r="J44" s="87">
        <v>1</v>
      </c>
      <c r="K44" s="114">
        <f t="shared" si="13"/>
        <v>6848149</v>
      </c>
      <c r="L44" s="114">
        <f t="shared" si="14"/>
        <v>450028165.97970009</v>
      </c>
      <c r="M44" s="114"/>
      <c r="N44" s="114">
        <f t="shared" si="15"/>
        <v>0</v>
      </c>
      <c r="O44" s="114">
        <f t="shared" si="16"/>
        <v>6848149</v>
      </c>
      <c r="P44" s="114">
        <f t="shared" si="17"/>
        <v>450028165.97970009</v>
      </c>
      <c r="Q44" s="114">
        <f t="shared" si="18"/>
        <v>-299392</v>
      </c>
      <c r="R44" s="114">
        <f t="shared" si="19"/>
        <v>-19674635.097599983</v>
      </c>
      <c r="S44" s="73" t="str">
        <f>'Giá tháng'!K34</f>
        <v>Được tính toán, rồi Link từ sheet Máy sang</v>
      </c>
    </row>
    <row r="45" spans="1:19" ht="30" x14ac:dyDescent="0.15">
      <c r="A45" s="84">
        <v>6</v>
      </c>
      <c r="B45" s="85" t="str">
        <f>'Giá tháng'!B35</f>
        <v>M102.0406</v>
      </c>
      <c r="C45" s="86" t="str">
        <f>'Giá tháng'!C35</f>
        <v>Cần trục tháp - sức nâng : 25,0 T</v>
      </c>
      <c r="D45" s="85" t="str">
        <f>'Giá tháng'!D35</f>
        <v>ca</v>
      </c>
      <c r="E45" s="150">
        <f>SUMIF(HaoPhiVatTu!S6:S315,305,HaoPhiVatTu!H6:H315)</f>
        <v>3.5628612</v>
      </c>
      <c r="F45" s="114">
        <f>'Giá tháng'!E35</f>
        <v>3038093</v>
      </c>
      <c r="G45" s="114">
        <f t="shared" si="11"/>
        <v>10824303.6716916</v>
      </c>
      <c r="H45" s="157">
        <f>'Giá tháng'!F35</f>
        <v>3119874</v>
      </c>
      <c r="I45" s="114">
        <f t="shared" si="12"/>
        <v>11115678.023488799</v>
      </c>
      <c r="J45" s="87">
        <v>1</v>
      </c>
      <c r="K45" s="114">
        <f t="shared" si="13"/>
        <v>3119874</v>
      </c>
      <c r="L45" s="114">
        <f t="shared" si="14"/>
        <v>11115678.023488799</v>
      </c>
      <c r="M45" s="114"/>
      <c r="N45" s="114">
        <f t="shared" si="15"/>
        <v>0</v>
      </c>
      <c r="O45" s="114">
        <f t="shared" si="16"/>
        <v>3119874</v>
      </c>
      <c r="P45" s="114">
        <f t="shared" si="17"/>
        <v>11115678.023488799</v>
      </c>
      <c r="Q45" s="114">
        <f t="shared" si="18"/>
        <v>81781</v>
      </c>
      <c r="R45" s="114">
        <f t="shared" si="19"/>
        <v>291374.35179719888</v>
      </c>
      <c r="S45" s="73" t="str">
        <f>'Giá tháng'!K35</f>
        <v>Được tính toán, rồi Link từ sheet Máy sang</v>
      </c>
    </row>
    <row r="46" spans="1:19" ht="30" x14ac:dyDescent="0.15">
      <c r="A46" s="84">
        <v>7</v>
      </c>
      <c r="B46" s="85" t="str">
        <f>'Giá tháng'!B36</f>
        <v>M112.0105</v>
      </c>
      <c r="C46" s="86" t="str">
        <f>'Giá tháng'!C36</f>
        <v>Máy bơm nước, động cơ điện 14 kW</v>
      </c>
      <c r="D46" s="85" t="str">
        <f>'Giá tháng'!D36</f>
        <v>ca</v>
      </c>
      <c r="E46" s="150">
        <f>SUMIF(HaoPhiVatTu!S6:S315,306,HaoPhiVatTu!H6:H315)</f>
        <v>65.715300000000013</v>
      </c>
      <c r="F46" s="114">
        <f>'Giá tháng'!E36</f>
        <v>90924</v>
      </c>
      <c r="G46" s="114">
        <f t="shared" si="11"/>
        <v>5975097.9372000014</v>
      </c>
      <c r="H46" s="157">
        <f>'Giá tháng'!F36</f>
        <v>95300</v>
      </c>
      <c r="I46" s="114">
        <f t="shared" si="12"/>
        <v>6262668.0900000017</v>
      </c>
      <c r="J46" s="87">
        <v>1</v>
      </c>
      <c r="K46" s="114">
        <f t="shared" si="13"/>
        <v>95300</v>
      </c>
      <c r="L46" s="114">
        <f t="shared" si="14"/>
        <v>6262668.0900000017</v>
      </c>
      <c r="M46" s="114"/>
      <c r="N46" s="114">
        <f t="shared" si="15"/>
        <v>0</v>
      </c>
      <c r="O46" s="114">
        <f t="shared" si="16"/>
        <v>95300</v>
      </c>
      <c r="P46" s="114">
        <f t="shared" si="17"/>
        <v>6262668.0900000017</v>
      </c>
      <c r="Q46" s="114">
        <f t="shared" si="18"/>
        <v>4376</v>
      </c>
      <c r="R46" s="114">
        <f t="shared" si="19"/>
        <v>287570.15280000027</v>
      </c>
      <c r="S46" s="73" t="str">
        <f>'Giá tháng'!K36</f>
        <v>Được tính toán, rồi Link từ sheet Máy sang</v>
      </c>
    </row>
    <row r="47" spans="1:19" ht="30" x14ac:dyDescent="0.15">
      <c r="A47" s="84">
        <v>8</v>
      </c>
      <c r="B47" s="85" t="str">
        <f>'Giá tháng'!B37</f>
        <v>M112.0402</v>
      </c>
      <c r="C47" s="86" t="str">
        <f>'Giá tháng'!C37</f>
        <v>Máy bơm xói 4MC (75 kW)</v>
      </c>
      <c r="D47" s="85" t="str">
        <f>'Giá tháng'!D37</f>
        <v>ca</v>
      </c>
      <c r="E47" s="150">
        <f>SUMIF(HaoPhiVatTu!S6:S315,307,HaoPhiVatTu!H6:H315)</f>
        <v>65.715300000000013</v>
      </c>
      <c r="F47" s="114">
        <f>'Giá tháng'!E37</f>
        <v>734664</v>
      </c>
      <c r="G47" s="114">
        <f t="shared" si="11"/>
        <v>48278665.159200013</v>
      </c>
      <c r="H47" s="157">
        <f>'Giá tháng'!F37</f>
        <v>782820</v>
      </c>
      <c r="I47" s="114">
        <f t="shared" si="12"/>
        <v>51443251.146000013</v>
      </c>
      <c r="J47" s="87">
        <v>1</v>
      </c>
      <c r="K47" s="114">
        <f t="shared" si="13"/>
        <v>782820</v>
      </c>
      <c r="L47" s="114">
        <f t="shared" si="14"/>
        <v>51443251.146000013</v>
      </c>
      <c r="M47" s="114"/>
      <c r="N47" s="114">
        <f t="shared" si="15"/>
        <v>0</v>
      </c>
      <c r="O47" s="114">
        <f t="shared" si="16"/>
        <v>782820</v>
      </c>
      <c r="P47" s="114">
        <f t="shared" si="17"/>
        <v>51443251.146000013</v>
      </c>
      <c r="Q47" s="114">
        <f t="shared" si="18"/>
        <v>48156</v>
      </c>
      <c r="R47" s="114">
        <f t="shared" si="19"/>
        <v>3164585.9868000001</v>
      </c>
      <c r="S47" s="73" t="str">
        <f>'Giá tháng'!K37</f>
        <v>Được tính toán, rồi Link từ sheet Máy sang</v>
      </c>
    </row>
    <row r="48" spans="1:19" ht="30" x14ac:dyDescent="0.15">
      <c r="A48" s="84">
        <v>9</v>
      </c>
      <c r="B48" s="85" t="str">
        <f>'Giá tháng'!B38</f>
        <v>M112.2601</v>
      </c>
      <c r="C48" s="86" t="str">
        <f>'Giá tháng'!C38</f>
        <v>Máy cắt uốn cốt thép - công suất : 5,0 kW</v>
      </c>
      <c r="D48" s="85" t="str">
        <f>'Giá tháng'!D38</f>
        <v>ca</v>
      </c>
      <c r="E48" s="150">
        <f>SUMIF(HaoPhiVatTu!S6:S315,308,HaoPhiVatTu!H6:H315)</f>
        <v>16.048712000000002</v>
      </c>
      <c r="F48" s="114">
        <f>'Giá tháng'!E38</f>
        <v>281286</v>
      </c>
      <c r="G48" s="114">
        <f t="shared" si="11"/>
        <v>4514278.0036320006</v>
      </c>
      <c r="H48" s="157">
        <f>'Giá tháng'!F38</f>
        <v>307436</v>
      </c>
      <c r="I48" s="114">
        <f t="shared" si="12"/>
        <v>4933951.8224320002</v>
      </c>
      <c r="J48" s="87">
        <v>1</v>
      </c>
      <c r="K48" s="114">
        <f t="shared" si="13"/>
        <v>307436</v>
      </c>
      <c r="L48" s="114">
        <f t="shared" si="14"/>
        <v>4933951.8224320002</v>
      </c>
      <c r="M48" s="114"/>
      <c r="N48" s="114">
        <f t="shared" si="15"/>
        <v>0</v>
      </c>
      <c r="O48" s="114">
        <f t="shared" si="16"/>
        <v>307436</v>
      </c>
      <c r="P48" s="114">
        <f t="shared" si="17"/>
        <v>4933951.8224320002</v>
      </c>
      <c r="Q48" s="114">
        <f t="shared" si="18"/>
        <v>26150</v>
      </c>
      <c r="R48" s="114">
        <f t="shared" si="19"/>
        <v>419673.81879999954</v>
      </c>
      <c r="S48" s="73" t="str">
        <f>'Giá tháng'!K38</f>
        <v>Được tính toán, rồi Link từ sheet Máy sang</v>
      </c>
    </row>
    <row r="49" spans="1:19" ht="30" x14ac:dyDescent="0.15">
      <c r="A49" s="84">
        <v>10</v>
      </c>
      <c r="B49" s="85" t="str">
        <f>'Giá tháng'!B39</f>
        <v>M112.3801</v>
      </c>
      <c r="C49" s="86" t="str">
        <f>'Giá tháng'!C39</f>
        <v>Máy cưa gỗ cầm tay - công suất : 1,3 kW</v>
      </c>
      <c r="D49" s="85" t="str">
        <f>'Giá tháng'!D39</f>
        <v>ca</v>
      </c>
      <c r="E49" s="150">
        <f>SUMIF(HaoPhiVatTu!S6:S315,309,HaoPhiVatTu!H6:H315)</f>
        <v>1.3</v>
      </c>
      <c r="F49" s="114">
        <f>'Giá tháng'!E39</f>
        <v>24662</v>
      </c>
      <c r="G49" s="114">
        <f t="shared" si="11"/>
        <v>32060.600000000002</v>
      </c>
      <c r="H49" s="157">
        <f>'Giá tháng'!F39</f>
        <v>25048</v>
      </c>
      <c r="I49" s="114">
        <f t="shared" si="12"/>
        <v>32562.400000000001</v>
      </c>
      <c r="J49" s="87">
        <v>1</v>
      </c>
      <c r="K49" s="114">
        <f t="shared" si="13"/>
        <v>25048</v>
      </c>
      <c r="L49" s="114">
        <f t="shared" si="14"/>
        <v>32562.400000000001</v>
      </c>
      <c r="M49" s="114"/>
      <c r="N49" s="114">
        <f t="shared" si="15"/>
        <v>0</v>
      </c>
      <c r="O49" s="114">
        <f t="shared" si="16"/>
        <v>25048</v>
      </c>
      <c r="P49" s="114">
        <f t="shared" si="17"/>
        <v>32562.400000000001</v>
      </c>
      <c r="Q49" s="114">
        <f t="shared" si="18"/>
        <v>386</v>
      </c>
      <c r="R49" s="114">
        <f t="shared" si="19"/>
        <v>501.79999999999927</v>
      </c>
      <c r="S49" s="73" t="str">
        <f>'Giá tháng'!K39</f>
        <v>Được tính toán, rồi Link từ sheet Máy sang</v>
      </c>
    </row>
    <row r="50" spans="1:19" ht="30" x14ac:dyDescent="0.15">
      <c r="A50" s="84">
        <v>11</v>
      </c>
      <c r="B50" s="85" t="str">
        <f>'Giá tháng'!B40</f>
        <v>M101.0104</v>
      </c>
      <c r="C50" s="86" t="str">
        <f>'Giá tháng'!C40</f>
        <v>Máy đào một gầu, bánh xích - dung tích gầu : 0,80 m3</v>
      </c>
      <c r="D50" s="85" t="str">
        <f>'Giá tháng'!D40</f>
        <v>ca</v>
      </c>
      <c r="E50" s="150">
        <f>SUMIF(HaoPhiVatTu!S6:S315,3010,HaoPhiVatTu!H6:H315)</f>
        <v>1.4704752999999999</v>
      </c>
      <c r="F50" s="114">
        <f>'Giá tháng'!E40</f>
        <v>2938899</v>
      </c>
      <c r="G50" s="114">
        <f t="shared" si="11"/>
        <v>4321578.3886946999</v>
      </c>
      <c r="H50" s="157">
        <f>'Giá tháng'!F40</f>
        <v>2551986</v>
      </c>
      <c r="I50" s="114">
        <f t="shared" si="12"/>
        <v>3752632.3789458</v>
      </c>
      <c r="J50" s="87">
        <v>1</v>
      </c>
      <c r="K50" s="114">
        <f t="shared" si="13"/>
        <v>2551986</v>
      </c>
      <c r="L50" s="114">
        <f t="shared" si="14"/>
        <v>3752632.3789458</v>
      </c>
      <c r="M50" s="114"/>
      <c r="N50" s="114">
        <f t="shared" si="15"/>
        <v>0</v>
      </c>
      <c r="O50" s="114">
        <f t="shared" si="16"/>
        <v>2551986</v>
      </c>
      <c r="P50" s="114">
        <f t="shared" si="17"/>
        <v>3752632.3789458</v>
      </c>
      <c r="Q50" s="114">
        <f t="shared" si="18"/>
        <v>-386913</v>
      </c>
      <c r="R50" s="114">
        <f t="shared" si="19"/>
        <v>-568946.00974889984</v>
      </c>
      <c r="S50" s="73" t="str">
        <f>'Giá tháng'!K40</f>
        <v>Được tính toán, rồi Link từ sheet Máy sang</v>
      </c>
    </row>
    <row r="51" spans="1:19" ht="30" x14ac:dyDescent="0.15">
      <c r="A51" s="84">
        <v>12</v>
      </c>
      <c r="B51" s="85" t="str">
        <f>'Giá tháng'!B41</f>
        <v>M101.0105</v>
      </c>
      <c r="C51" s="86" t="str">
        <f>'Giá tháng'!C41</f>
        <v>Máy đào một gầu, bánh xích - dung tích gầu : 1,25 m3</v>
      </c>
      <c r="D51" s="85" t="str">
        <f>'Giá tháng'!D41</f>
        <v>ca</v>
      </c>
      <c r="E51" s="150">
        <f>SUMIF(HaoPhiVatTu!S6:S315,3011,HaoPhiVatTu!H6:H315)</f>
        <v>2.8232596000000001</v>
      </c>
      <c r="F51" s="114">
        <f>'Giá tháng'!E41</f>
        <v>4000423</v>
      </c>
      <c r="G51" s="114">
        <f t="shared" si="11"/>
        <v>11294232.6388108</v>
      </c>
      <c r="H51" s="157">
        <f>'Giá tháng'!F41</f>
        <v>3498165</v>
      </c>
      <c r="I51" s="114">
        <f t="shared" si="12"/>
        <v>9876227.9186340012</v>
      </c>
      <c r="J51" s="87">
        <v>1</v>
      </c>
      <c r="K51" s="114">
        <f t="shared" si="13"/>
        <v>3498165</v>
      </c>
      <c r="L51" s="114">
        <f t="shared" si="14"/>
        <v>9876227.9186340012</v>
      </c>
      <c r="M51" s="114"/>
      <c r="N51" s="114">
        <f t="shared" si="15"/>
        <v>0</v>
      </c>
      <c r="O51" s="114">
        <f t="shared" si="16"/>
        <v>3498165</v>
      </c>
      <c r="P51" s="114">
        <f t="shared" si="17"/>
        <v>9876227.9186340012</v>
      </c>
      <c r="Q51" s="114">
        <f t="shared" si="18"/>
        <v>-502258</v>
      </c>
      <c r="R51" s="114">
        <f t="shared" si="19"/>
        <v>-1418004.7201767992</v>
      </c>
      <c r="S51" s="73" t="str">
        <f>'Giá tháng'!K41</f>
        <v>Được tính toán, rồi Link từ sheet Máy sang</v>
      </c>
    </row>
    <row r="52" spans="1:19" ht="30" x14ac:dyDescent="0.15">
      <c r="A52" s="84">
        <v>13</v>
      </c>
      <c r="B52" s="85" t="str">
        <f>'Giá tháng'!B42</f>
        <v>M112.1301</v>
      </c>
      <c r="C52" s="86" t="str">
        <f>'Giá tháng'!C42</f>
        <v>Máy đầm bê tông, dầm dùi - công suất : 1,5 kW</v>
      </c>
      <c r="D52" s="85" t="str">
        <f>'Giá tháng'!D42</f>
        <v>ca</v>
      </c>
      <c r="E52" s="150">
        <f>SUMIF(HaoPhiVatTu!S6:S315,3012,HaoPhiVatTu!H6:H315)</f>
        <v>99.226189999999974</v>
      </c>
      <c r="F52" s="114">
        <f>'Giá tháng'!E42</f>
        <v>276782</v>
      </c>
      <c r="G52" s="114">
        <f t="shared" si="11"/>
        <v>27464023.320579994</v>
      </c>
      <c r="H52" s="157">
        <f>'Giá tháng'!F42</f>
        <v>302675</v>
      </c>
      <c r="I52" s="114">
        <f t="shared" si="12"/>
        <v>30033287.058249991</v>
      </c>
      <c r="J52" s="87">
        <v>1</v>
      </c>
      <c r="K52" s="114">
        <f t="shared" si="13"/>
        <v>302675</v>
      </c>
      <c r="L52" s="114">
        <f t="shared" si="14"/>
        <v>30033287.058249991</v>
      </c>
      <c r="M52" s="114"/>
      <c r="N52" s="114">
        <f t="shared" si="15"/>
        <v>0</v>
      </c>
      <c r="O52" s="114">
        <f t="shared" si="16"/>
        <v>302675</v>
      </c>
      <c r="P52" s="114">
        <f t="shared" si="17"/>
        <v>30033287.058249991</v>
      </c>
      <c r="Q52" s="114">
        <f t="shared" si="18"/>
        <v>25893</v>
      </c>
      <c r="R52" s="114">
        <f t="shared" si="19"/>
        <v>2569263.7376699969</v>
      </c>
      <c r="S52" s="73" t="str">
        <f>'Giá tháng'!K42</f>
        <v>Được tính toán, rồi Link từ sheet Máy sang</v>
      </c>
    </row>
    <row r="53" spans="1:19" ht="30" x14ac:dyDescent="0.15">
      <c r="A53" s="84">
        <v>14</v>
      </c>
      <c r="B53" s="85" t="str">
        <f>'Giá tháng'!B43</f>
        <v>M101.0803</v>
      </c>
      <c r="C53" s="86" t="str">
        <f>'Giá tháng'!C43</f>
        <v>Máy đầm đất cầm tay - trọng lượng : 70 kg</v>
      </c>
      <c r="D53" s="85" t="str">
        <f>'Giá tháng'!D43</f>
        <v>ca</v>
      </c>
      <c r="E53" s="150">
        <f>SUMIF(HaoPhiVatTu!S6:S315,3013,HaoPhiVatTu!H6:H315)</f>
        <v>70.852972199999996</v>
      </c>
      <c r="F53" s="114">
        <f>'Giá tháng'!E43</f>
        <v>396542</v>
      </c>
      <c r="G53" s="114">
        <f t="shared" si="11"/>
        <v>28096179.302132398</v>
      </c>
      <c r="H53" s="157">
        <f>'Giá tháng'!F43</f>
        <v>390153</v>
      </c>
      <c r="I53" s="114">
        <f t="shared" si="12"/>
        <v>27643499.662746597</v>
      </c>
      <c r="J53" s="87">
        <v>1</v>
      </c>
      <c r="K53" s="114">
        <f t="shared" si="13"/>
        <v>390153</v>
      </c>
      <c r="L53" s="114">
        <f t="shared" si="14"/>
        <v>27643499.662746597</v>
      </c>
      <c r="M53" s="114"/>
      <c r="N53" s="114">
        <f t="shared" si="15"/>
        <v>0</v>
      </c>
      <c r="O53" s="114">
        <f t="shared" si="16"/>
        <v>390153</v>
      </c>
      <c r="P53" s="114">
        <f t="shared" si="17"/>
        <v>27643499.662746597</v>
      </c>
      <c r="Q53" s="114">
        <f t="shared" si="18"/>
        <v>-6389</v>
      </c>
      <c r="R53" s="114">
        <f t="shared" si="19"/>
        <v>-452679.63938580081</v>
      </c>
      <c r="S53" s="73" t="str">
        <f>'Giá tháng'!K43</f>
        <v>Được tính toán, rồi Link từ sheet Máy sang</v>
      </c>
    </row>
    <row r="54" spans="1:19" ht="30" x14ac:dyDescent="0.15">
      <c r="A54" s="84">
        <v>15</v>
      </c>
      <c r="B54" s="85" t="str">
        <f>'Giá tháng'!B44</f>
        <v>M103.0202</v>
      </c>
      <c r="C54" s="86" t="str">
        <f>'Giá tháng'!C44</f>
        <v>Máy đóng cọc chạy trên ray - trọng lượng đầu búa : 1,8 T</v>
      </c>
      <c r="D54" s="85" t="str">
        <f>'Giá tháng'!D44</f>
        <v>ca</v>
      </c>
      <c r="E54" s="150">
        <f>SUMIF(HaoPhiVatTu!S6:S315,3014,HaoPhiVatTu!H6:H315)</f>
        <v>213.87407999999999</v>
      </c>
      <c r="F54" s="114">
        <f>'Giá tháng'!E44</f>
        <v>1789199</v>
      </c>
      <c r="G54" s="114">
        <f t="shared" si="11"/>
        <v>382663290.06191999</v>
      </c>
      <c r="H54" s="157">
        <f>'Giá tháng'!F44</f>
        <v>1633554</v>
      </c>
      <c r="I54" s="114">
        <f t="shared" si="12"/>
        <v>349374858.88032001</v>
      </c>
      <c r="J54" s="87">
        <v>1</v>
      </c>
      <c r="K54" s="114">
        <f t="shared" si="13"/>
        <v>1633554</v>
      </c>
      <c r="L54" s="114">
        <f t="shared" si="14"/>
        <v>349374858.88032001</v>
      </c>
      <c r="M54" s="114"/>
      <c r="N54" s="114">
        <f t="shared" si="15"/>
        <v>0</v>
      </c>
      <c r="O54" s="114">
        <f t="shared" si="16"/>
        <v>1633554</v>
      </c>
      <c r="P54" s="114">
        <f t="shared" si="17"/>
        <v>349374858.88032001</v>
      </c>
      <c r="Q54" s="114">
        <f t="shared" si="18"/>
        <v>-155645</v>
      </c>
      <c r="R54" s="114">
        <f t="shared" si="19"/>
        <v>-33288431.181599975</v>
      </c>
      <c r="S54" s="73" t="str">
        <f>'Giá tháng'!K44</f>
        <v>Được tính toán, rồi Link từ sheet Máy sang</v>
      </c>
    </row>
    <row r="55" spans="1:19" ht="30" x14ac:dyDescent="0.15">
      <c r="A55" s="84">
        <v>16</v>
      </c>
      <c r="B55" s="85" t="str">
        <f>'Giá tháng'!B45</f>
        <v>M112.4003</v>
      </c>
      <c r="C55" s="86" t="str">
        <f>'Giá tháng'!C45</f>
        <v>Máy hàn xoay chiều - công suất : 23,0 kW</v>
      </c>
      <c r="D55" s="85" t="str">
        <f>'Giá tháng'!D45</f>
        <v>ca</v>
      </c>
      <c r="E55" s="150">
        <f>SUMIF(HaoPhiVatTu!S6:S315,3015,HaoPhiVatTu!H6:H315)</f>
        <v>55.536102000000007</v>
      </c>
      <c r="F55" s="114">
        <f>'Giá tháng'!E45</f>
        <v>411700</v>
      </c>
      <c r="G55" s="114">
        <f t="shared" si="11"/>
        <v>22864213.193400003</v>
      </c>
      <c r="H55" s="157">
        <f>'Giá tháng'!F45</f>
        <v>447485</v>
      </c>
      <c r="I55" s="114">
        <f t="shared" si="12"/>
        <v>24851572.603470001</v>
      </c>
      <c r="J55" s="87">
        <v>1</v>
      </c>
      <c r="K55" s="114">
        <f t="shared" si="13"/>
        <v>447485</v>
      </c>
      <c r="L55" s="114">
        <f t="shared" si="14"/>
        <v>24851572.603470001</v>
      </c>
      <c r="M55" s="114"/>
      <c r="N55" s="114">
        <f t="shared" si="15"/>
        <v>0</v>
      </c>
      <c r="O55" s="114">
        <f t="shared" si="16"/>
        <v>447485</v>
      </c>
      <c r="P55" s="114">
        <f t="shared" si="17"/>
        <v>24851572.603470001</v>
      </c>
      <c r="Q55" s="114">
        <f t="shared" si="18"/>
        <v>35785</v>
      </c>
      <c r="R55" s="114">
        <f t="shared" si="19"/>
        <v>1987359.4100699984</v>
      </c>
      <c r="S55" s="73" t="str">
        <f>'Giá tháng'!K45</f>
        <v>Được tính toán, rồi Link từ sheet Máy sang</v>
      </c>
    </row>
    <row r="56" spans="1:19" ht="30" x14ac:dyDescent="0.15">
      <c r="A56" s="84">
        <v>17</v>
      </c>
      <c r="B56" s="85" t="str">
        <f>'Giá tháng'!B46</f>
        <v>M108.0308</v>
      </c>
      <c r="C56" s="86" t="str">
        <f>'Giá tháng'!C46</f>
        <v>Máy nén khí, động cơ diezel - năng suất : 1200,00 m3/h</v>
      </c>
      <c r="D56" s="85" t="str">
        <f>'Giá tháng'!D46</f>
        <v>ca</v>
      </c>
      <c r="E56" s="150">
        <f>SUMIF(HaoPhiVatTu!S6:S315,3016,HaoPhiVatTu!H6:H315)</f>
        <v>65.715300000000013</v>
      </c>
      <c r="F56" s="114">
        <f>'Giá tháng'!E46</f>
        <v>3027990</v>
      </c>
      <c r="G56" s="114">
        <f t="shared" si="11"/>
        <v>198985271.24700004</v>
      </c>
      <c r="H56" s="157">
        <f>'Giá tháng'!F46</f>
        <v>2576996</v>
      </c>
      <c r="I56" s="114">
        <f t="shared" si="12"/>
        <v>169348065.23880005</v>
      </c>
      <c r="J56" s="87">
        <v>1</v>
      </c>
      <c r="K56" s="114">
        <f t="shared" si="13"/>
        <v>2576996</v>
      </c>
      <c r="L56" s="114">
        <f t="shared" si="14"/>
        <v>169348065.23880005</v>
      </c>
      <c r="M56" s="114"/>
      <c r="N56" s="114">
        <f t="shared" si="15"/>
        <v>0</v>
      </c>
      <c r="O56" s="114">
        <f t="shared" si="16"/>
        <v>2576996</v>
      </c>
      <c r="P56" s="114">
        <f t="shared" si="17"/>
        <v>169348065.23880005</v>
      </c>
      <c r="Q56" s="114">
        <f t="shared" si="18"/>
        <v>-450994</v>
      </c>
      <c r="R56" s="114">
        <f t="shared" si="19"/>
        <v>-29637206.00819999</v>
      </c>
      <c r="S56" s="73" t="str">
        <f>'Giá tháng'!K46</f>
        <v>Được tính toán, rồi Link từ sheet Máy sang</v>
      </c>
    </row>
    <row r="57" spans="1:19" ht="30" x14ac:dyDescent="0.15">
      <c r="A57" s="84">
        <v>18</v>
      </c>
      <c r="B57" s="85" t="str">
        <f>'Giá tháng'!B47</f>
        <v>M104.0102</v>
      </c>
      <c r="C57" s="86" t="str">
        <f>'Giá tháng'!C47</f>
        <v>Máy trộn bê tông - dung tích : 250,0 lít</v>
      </c>
      <c r="D57" s="85" t="str">
        <f>'Giá tháng'!D47</f>
        <v>ca</v>
      </c>
      <c r="E57" s="150">
        <f>SUMIF(HaoPhiVatTu!S6:S315,3017,HaoPhiVatTu!H6:H315)</f>
        <v>52.629078500000013</v>
      </c>
      <c r="F57" s="114">
        <f>'Giá tháng'!E47</f>
        <v>320806</v>
      </c>
      <c r="G57" s="114">
        <f t="shared" si="11"/>
        <v>16883724.157271005</v>
      </c>
      <c r="H57" s="157">
        <f>'Giá tháng'!F47</f>
        <v>347214</v>
      </c>
      <c r="I57" s="114">
        <f t="shared" si="12"/>
        <v>18273552.862299003</v>
      </c>
      <c r="J57" s="87">
        <v>1</v>
      </c>
      <c r="K57" s="114">
        <f t="shared" si="13"/>
        <v>347214</v>
      </c>
      <c r="L57" s="114">
        <f t="shared" si="14"/>
        <v>18273552.862299003</v>
      </c>
      <c r="M57" s="114"/>
      <c r="N57" s="114">
        <f t="shared" si="15"/>
        <v>0</v>
      </c>
      <c r="O57" s="114">
        <f t="shared" si="16"/>
        <v>347214</v>
      </c>
      <c r="P57" s="114">
        <f t="shared" si="17"/>
        <v>18273552.862299003</v>
      </c>
      <c r="Q57" s="114">
        <f t="shared" si="18"/>
        <v>26408</v>
      </c>
      <c r="R57" s="114">
        <f t="shared" si="19"/>
        <v>1389828.7050279975</v>
      </c>
      <c r="S57" s="73" t="str">
        <f>'Giá tháng'!K47</f>
        <v>Được tính toán, rồi Link từ sheet Máy sang</v>
      </c>
    </row>
    <row r="58" spans="1:19" ht="30" x14ac:dyDescent="0.15">
      <c r="A58" s="84">
        <v>19</v>
      </c>
      <c r="B58" s="85" t="str">
        <f>'Giá tháng'!B48</f>
        <v>M101.0503</v>
      </c>
      <c r="C58" s="86" t="str">
        <f>'Giá tháng'!C48</f>
        <v>Máy ủi - công suất : 110,0 CV</v>
      </c>
      <c r="D58" s="85" t="str">
        <f>'Giá tháng'!D48</f>
        <v>ca</v>
      </c>
      <c r="E58" s="150">
        <f>SUMIF(HaoPhiVatTu!S6:S315,3018,HaoPhiVatTu!H6:H315)</f>
        <v>0.32828600000000002</v>
      </c>
      <c r="F58" s="114">
        <f>'Giá tháng'!E48</f>
        <v>2096893</v>
      </c>
      <c r="G58" s="114">
        <f t="shared" si="11"/>
        <v>688380.61539799999</v>
      </c>
      <c r="H58" s="157">
        <f>'Giá tháng'!F48</f>
        <v>1831732</v>
      </c>
      <c r="I58" s="114">
        <f t="shared" si="12"/>
        <v>601331.97135200002</v>
      </c>
      <c r="J58" s="87">
        <v>1</v>
      </c>
      <c r="K58" s="114">
        <f t="shared" si="13"/>
        <v>1831732</v>
      </c>
      <c r="L58" s="114">
        <f t="shared" si="14"/>
        <v>601331.97135200002</v>
      </c>
      <c r="M58" s="114"/>
      <c r="N58" s="114">
        <f t="shared" si="15"/>
        <v>0</v>
      </c>
      <c r="O58" s="114">
        <f t="shared" si="16"/>
        <v>1831732</v>
      </c>
      <c r="P58" s="114">
        <f t="shared" si="17"/>
        <v>601331.97135200002</v>
      </c>
      <c r="Q58" s="114">
        <f t="shared" si="18"/>
        <v>-265161</v>
      </c>
      <c r="R58" s="114">
        <f t="shared" si="19"/>
        <v>-87048.644045999972</v>
      </c>
      <c r="S58" s="73" t="str">
        <f>'Giá tháng'!K48</f>
        <v>Được tính toán, rồi Link từ sheet Máy sang</v>
      </c>
    </row>
    <row r="59" spans="1:19" ht="30" x14ac:dyDescent="0.15">
      <c r="A59" s="84">
        <v>20</v>
      </c>
      <c r="B59" s="85" t="str">
        <f>'Giá tháng'!B49</f>
        <v>M102.1001</v>
      </c>
      <c r="C59" s="86" t="str">
        <f>'Giá tháng'!C49</f>
        <v>Máy vận thăng lồng - sức nâng : 3,0 T</v>
      </c>
      <c r="D59" s="85" t="str">
        <f>'Giá tháng'!D49</f>
        <v>ca</v>
      </c>
      <c r="E59" s="150">
        <f>SUMIF(HaoPhiVatTu!S6:S315,3019,HaoPhiVatTu!H6:H315)</f>
        <v>3.5628612</v>
      </c>
      <c r="F59" s="114">
        <f>'Giá tháng'!E49</f>
        <v>826454</v>
      </c>
      <c r="G59" s="114">
        <f t="shared" si="11"/>
        <v>2944540.8901848001</v>
      </c>
      <c r="H59" s="157">
        <f>'Giá tháng'!F49</f>
        <v>857495</v>
      </c>
      <c r="I59" s="114">
        <f t="shared" si="12"/>
        <v>3055135.664694</v>
      </c>
      <c r="J59" s="87">
        <v>1</v>
      </c>
      <c r="K59" s="114">
        <f t="shared" si="13"/>
        <v>857495</v>
      </c>
      <c r="L59" s="114">
        <f t="shared" si="14"/>
        <v>3055135.664694</v>
      </c>
      <c r="M59" s="114"/>
      <c r="N59" s="114">
        <f t="shared" si="15"/>
        <v>0</v>
      </c>
      <c r="O59" s="114">
        <f t="shared" si="16"/>
        <v>857495</v>
      </c>
      <c r="P59" s="114">
        <f t="shared" si="17"/>
        <v>3055135.664694</v>
      </c>
      <c r="Q59" s="114">
        <f t="shared" si="18"/>
        <v>31041</v>
      </c>
      <c r="R59" s="114">
        <f t="shared" si="19"/>
        <v>110594.77450919989</v>
      </c>
      <c r="S59" s="73" t="str">
        <f>'Giá tháng'!K49</f>
        <v>Được tính toán, rồi Link từ sheet Máy sang</v>
      </c>
    </row>
    <row r="60" spans="1:19" ht="30" x14ac:dyDescent="0.15">
      <c r="A60" s="84">
        <v>21</v>
      </c>
      <c r="B60" s="85" t="str">
        <f>'Giá tháng'!B50</f>
        <v>M106.0202</v>
      </c>
      <c r="C60" s="86" t="str">
        <f>'Giá tháng'!C50</f>
        <v>Ô tô tự đổ - trọng tải : 5,0 T</v>
      </c>
      <c r="D60" s="85" t="str">
        <f>'Giá tháng'!D50</f>
        <v>ca</v>
      </c>
      <c r="E60" s="150">
        <f>SUMIF(HaoPhiVatTu!S6:S315,3020,HaoPhiVatTu!H6:H315)</f>
        <v>53.673780000000008</v>
      </c>
      <c r="F60" s="114">
        <f>'Giá tháng'!E50</f>
        <v>1727890</v>
      </c>
      <c r="G60" s="114">
        <f t="shared" si="11"/>
        <v>92742387.72420001</v>
      </c>
      <c r="H60" s="157">
        <f>'Giá tháng'!F50</f>
        <v>1492461</v>
      </c>
      <c r="I60" s="114">
        <f t="shared" si="12"/>
        <v>80106023.372580007</v>
      </c>
      <c r="J60" s="87">
        <v>1</v>
      </c>
      <c r="K60" s="114">
        <f t="shared" si="13"/>
        <v>1492461</v>
      </c>
      <c r="L60" s="114">
        <f t="shared" si="14"/>
        <v>80106023.372580007</v>
      </c>
      <c r="M60" s="114"/>
      <c r="N60" s="114">
        <f t="shared" si="15"/>
        <v>0</v>
      </c>
      <c r="O60" s="114">
        <f t="shared" si="16"/>
        <v>1492461</v>
      </c>
      <c r="P60" s="114">
        <f t="shared" si="17"/>
        <v>80106023.372580007</v>
      </c>
      <c r="Q60" s="114">
        <f t="shared" si="18"/>
        <v>-235429</v>
      </c>
      <c r="R60" s="114">
        <f t="shared" si="19"/>
        <v>-12636364.351620004</v>
      </c>
      <c r="S60" s="73" t="str">
        <f>'Giá tháng'!K50</f>
        <v>Được tính toán, rồi Link từ sheet Máy sang</v>
      </c>
    </row>
    <row r="61" spans="1:19" ht="30" x14ac:dyDescent="0.15">
      <c r="A61" s="84">
        <v>22</v>
      </c>
      <c r="B61" s="85" t="str">
        <f>'Giá tháng'!B52</f>
        <v>M109.0104</v>
      </c>
      <c r="C61" s="86" t="str">
        <f>'Giá tháng'!C52</f>
        <v>Sà lan 400T</v>
      </c>
      <c r="D61" s="85" t="str">
        <f>'Giá tháng'!D52</f>
        <v>ca</v>
      </c>
      <c r="E61" s="150">
        <f>SUMIF(HaoPhiVatTu!S6:S315,3021,HaoPhiVatTu!H6:H315)</f>
        <v>65.715300000000013</v>
      </c>
      <c r="F61" s="114">
        <f>'Giá tháng'!E52</f>
        <v>891221</v>
      </c>
      <c r="G61" s="114">
        <f t="shared" si="11"/>
        <v>58566855.38130001</v>
      </c>
      <c r="H61" s="157">
        <f>'Giá tháng'!F52</f>
        <v>891221</v>
      </c>
      <c r="I61" s="114">
        <f t="shared" si="12"/>
        <v>58566855.38130001</v>
      </c>
      <c r="J61" s="87">
        <v>1</v>
      </c>
      <c r="K61" s="114">
        <f t="shared" si="13"/>
        <v>891221</v>
      </c>
      <c r="L61" s="114">
        <f t="shared" si="14"/>
        <v>58566855.38130001</v>
      </c>
      <c r="M61" s="114"/>
      <c r="N61" s="114">
        <f t="shared" si="15"/>
        <v>0</v>
      </c>
      <c r="O61" s="114">
        <f t="shared" si="16"/>
        <v>891221</v>
      </c>
      <c r="P61" s="114">
        <f t="shared" si="17"/>
        <v>58566855.38130001</v>
      </c>
      <c r="Q61" s="114">
        <f t="shared" si="18"/>
        <v>0</v>
      </c>
      <c r="R61" s="114">
        <f t="shared" si="19"/>
        <v>0</v>
      </c>
      <c r="S61" s="73" t="str">
        <f>'Giá tháng'!K52</f>
        <v>Được tính toán, rồi Link từ sheet Máy sang</v>
      </c>
    </row>
    <row r="62" spans="1:19" x14ac:dyDescent="0.15">
      <c r="A62" s="84">
        <v>23</v>
      </c>
      <c r="B62" s="85" t="s">
        <v>483</v>
      </c>
      <c r="C62" s="86" t="s">
        <v>484</v>
      </c>
      <c r="D62" s="85" t="s">
        <v>480</v>
      </c>
      <c r="E62" s="150"/>
      <c r="F62" s="114"/>
      <c r="G62" s="114">
        <f>HaoPhiVatTu!N4</f>
        <v>12613584.624727394</v>
      </c>
      <c r="H62" s="157"/>
      <c r="I62" s="114"/>
      <c r="J62" s="87"/>
      <c r="K62" s="114"/>
      <c r="L62" s="114"/>
      <c r="M62" s="114"/>
      <c r="N62" s="114"/>
      <c r="O62" s="114"/>
      <c r="P62" s="114">
        <f>HaoPhiVatTu!P4</f>
        <v>11649441.556753077</v>
      </c>
      <c r="Q62" s="114"/>
      <c r="R62" s="114">
        <f>P62-G62</f>
        <v>-964143.06797431782</v>
      </c>
    </row>
    <row r="63" spans="1:19" ht="14" x14ac:dyDescent="0.15">
      <c r="A63" s="158"/>
      <c r="B63" s="159"/>
      <c r="C63" s="160" t="s">
        <v>489</v>
      </c>
      <c r="D63" s="159"/>
      <c r="E63" s="161"/>
      <c r="F63" s="161"/>
      <c r="G63" s="161">
        <f>SUM(G40:G62)</f>
        <v>1453716573.8177426</v>
      </c>
      <c r="H63" s="162"/>
      <c r="I63" s="161">
        <f>SUM(I40:I62)</f>
        <v>1352583695.9434125</v>
      </c>
      <c r="J63" s="161"/>
      <c r="K63" s="161"/>
      <c r="L63" s="161">
        <f>SUM(L40:L62)</f>
        <v>1352583695.9434125</v>
      </c>
      <c r="M63" s="161"/>
      <c r="N63" s="161">
        <f>SUM(N40:N62)</f>
        <v>0</v>
      </c>
      <c r="O63" s="161"/>
      <c r="P63" s="161">
        <f>SUM(P40:P62)</f>
        <v>1364233137.5001657</v>
      </c>
      <c r="Q63" s="161"/>
      <c r="R63" s="161">
        <f>SUM(R40:R62)</f>
        <v>-89483436.317577362</v>
      </c>
    </row>
  </sheetData>
  <mergeCells count="3">
    <mergeCell ref="A1:R1"/>
    <mergeCell ref="A2:R2"/>
    <mergeCell ref="A3:R3"/>
  </mergeCells>
  <pageMargins left="1.1875" right="0" top="0.80208333333333337" bottom="0.80208333333333337" header="0.40625" footer="0.40625"/>
  <pageSetup paperSize="9" orientation="landscape" blackAndWhite="1" verticalDpi="0"/>
  <headerFooter alignWithMargins="0">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9ABA6-D10C-0C4E-91CE-57BF17525001}">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23C09-799D-704B-95C5-4D74E54E78C4}">
  <dimension ref="A1:BA25"/>
  <sheetViews>
    <sheetView showZeros="0" workbookViewId="0">
      <pane ySplit="5" topLeftCell="A21" activePane="bottomLeft" state="frozenSplit"/>
      <selection pane="bottomLeft" sqref="A1:AZ1"/>
    </sheetView>
  </sheetViews>
  <sheetFormatPr baseColWidth="10" defaultColWidth="10" defaultRowHeight="15" customHeight="1" x14ac:dyDescent="0.15"/>
  <cols>
    <col min="1" max="1" width="4.75" style="183" customWidth="1"/>
    <col min="2" max="2" width="13.75" style="183" customWidth="1"/>
    <col min="3" max="3" width="18.25" style="73" customWidth="1"/>
    <col min="4" max="4" width="9.25" style="183" customWidth="1"/>
    <col min="5" max="5" width="13.25" style="183" hidden="1" customWidth="1"/>
    <col min="6" max="6" width="46.25" style="73" hidden="1" customWidth="1"/>
    <col min="7" max="7" width="12.5" style="73" customWidth="1"/>
    <col min="8" max="8" width="14.5" style="73" customWidth="1"/>
    <col min="9" max="9" width="9.75" style="73" customWidth="1"/>
    <col min="10" max="10" width="6.25" style="73" hidden="1" customWidth="1"/>
    <col min="11" max="11" width="6.5" style="73" hidden="1" customWidth="1"/>
    <col min="12" max="12" width="6.25" style="183" customWidth="1"/>
    <col min="13" max="13" width="5.75" style="73" customWidth="1"/>
    <col min="14" max="14" width="8.25" style="73" customWidth="1"/>
    <col min="15" max="15" width="8.25" style="73" hidden="1" customWidth="1"/>
    <col min="16" max="16" width="8.25" style="73" customWidth="1"/>
    <col min="17" max="17" width="5.75" style="73" hidden="1" customWidth="1"/>
    <col min="18" max="21" width="7.25" style="183" customWidth="1"/>
    <col min="22" max="22" width="7.75" style="73" hidden="1" customWidth="1"/>
    <col min="23" max="23" width="7" style="73" hidden="1" customWidth="1"/>
    <col min="24" max="27" width="8" style="183" customWidth="1"/>
    <col min="28" max="28" width="11.75" style="183" hidden="1" customWidth="1"/>
    <col min="29" max="29" width="11.75" style="73" hidden="1" customWidth="1"/>
    <col min="30" max="30" width="11.75" style="73" customWidth="1"/>
    <col min="31" max="31" width="11.75" style="183" customWidth="1"/>
    <col min="32" max="32" width="11.75" style="73" hidden="1" customWidth="1"/>
    <col min="33" max="33" width="13.25" style="73" customWidth="1"/>
    <col min="34" max="34" width="7.75" style="73" customWidth="1"/>
    <col min="35" max="35" width="11.75" style="73" hidden="1" customWidth="1"/>
    <col min="36" max="47" width="11" style="73" hidden="1" customWidth="1"/>
    <col min="48" max="48" width="11.75" style="73" customWidth="1"/>
    <col min="49" max="49" width="17" style="73" hidden="1" customWidth="1"/>
    <col min="50" max="51" width="13.25" style="73" hidden="1" customWidth="1"/>
    <col min="52" max="52" width="17" style="73" hidden="1" customWidth="1"/>
    <col min="53" max="53" width="10" style="73" hidden="1" customWidth="1"/>
    <col min="54" max="16384" width="10" style="73"/>
  </cols>
  <sheetData>
    <row r="1" spans="1:53" ht="26.25" customHeight="1" x14ac:dyDescent="0.15">
      <c r="A1" s="354" t="s">
        <v>490</v>
      </c>
      <c r="B1" s="355"/>
      <c r="C1" s="343"/>
      <c r="D1" s="355"/>
      <c r="E1" s="355"/>
      <c r="F1" s="343"/>
      <c r="G1" s="343"/>
      <c r="H1" s="343"/>
      <c r="I1" s="343"/>
      <c r="J1" s="343"/>
      <c r="K1" s="343"/>
      <c r="L1" s="355"/>
      <c r="M1" s="343"/>
      <c r="N1" s="343"/>
      <c r="O1" s="343"/>
      <c r="P1" s="343"/>
      <c r="Q1" s="343"/>
      <c r="R1" s="355"/>
      <c r="S1" s="355"/>
      <c r="T1" s="355"/>
      <c r="U1" s="355"/>
      <c r="V1" s="343"/>
      <c r="W1" s="343"/>
      <c r="X1" s="355"/>
      <c r="Y1" s="355"/>
      <c r="Z1" s="355"/>
      <c r="AA1" s="355"/>
      <c r="AB1" s="355"/>
      <c r="AC1" s="343"/>
      <c r="AD1" s="343"/>
      <c r="AE1" s="355"/>
      <c r="AF1" s="343"/>
      <c r="AG1" s="343"/>
      <c r="AH1" s="343"/>
      <c r="AI1" s="343"/>
      <c r="AJ1" s="343"/>
      <c r="AK1" s="343"/>
      <c r="AL1" s="343"/>
      <c r="AM1" s="343"/>
      <c r="AN1" s="343"/>
      <c r="AO1" s="343"/>
      <c r="AP1" s="343"/>
      <c r="AQ1" s="343"/>
      <c r="AR1" s="343"/>
      <c r="AS1" s="343"/>
      <c r="AT1" s="343"/>
      <c r="AU1" s="343"/>
      <c r="AV1" s="343"/>
      <c r="AW1" s="343"/>
      <c r="AX1" s="343"/>
      <c r="AY1" s="343"/>
      <c r="AZ1" s="343"/>
    </row>
    <row r="2" spans="1:53" ht="30" customHeight="1" x14ac:dyDescent="0.15">
      <c r="A2" s="356" t="str">
        <f>'Công trình'!A2</f>
        <v>CÔNG TRÌNH : XÂY DỰNG HỆ THỐNG CỐNG HỘP KÊNH BẾN KEM ĐOẠN TỪ NHÀ ÔNG CHÍN ĐẾN KÊNH ĐẠI TRÀ 2, XÃ KIẾN MINH</v>
      </c>
      <c r="B2" s="355"/>
      <c r="C2" s="343"/>
      <c r="D2" s="355"/>
      <c r="E2" s="355"/>
      <c r="F2" s="343"/>
      <c r="G2" s="343"/>
      <c r="H2" s="343"/>
      <c r="I2" s="343"/>
      <c r="J2" s="343"/>
      <c r="K2" s="343"/>
      <c r="L2" s="355"/>
      <c r="M2" s="343"/>
      <c r="N2" s="343"/>
      <c r="O2" s="343"/>
      <c r="P2" s="343"/>
      <c r="Q2" s="343"/>
      <c r="R2" s="355"/>
      <c r="S2" s="355"/>
      <c r="T2" s="355"/>
      <c r="U2" s="355"/>
      <c r="V2" s="343"/>
      <c r="W2" s="343"/>
      <c r="X2" s="355"/>
      <c r="Y2" s="355"/>
      <c r="Z2" s="355"/>
      <c r="AA2" s="355"/>
      <c r="AB2" s="355"/>
      <c r="AC2" s="343"/>
      <c r="AD2" s="343"/>
      <c r="AE2" s="355"/>
      <c r="AF2" s="343"/>
      <c r="AG2" s="343"/>
      <c r="AH2" s="343"/>
      <c r="AI2" s="343"/>
      <c r="AJ2" s="343"/>
      <c r="AK2" s="343"/>
      <c r="AL2" s="343"/>
      <c r="AM2" s="343"/>
      <c r="AN2" s="343"/>
      <c r="AO2" s="343"/>
      <c r="AP2" s="343"/>
      <c r="AQ2" s="343"/>
      <c r="AR2" s="343"/>
      <c r="AS2" s="343"/>
      <c r="AT2" s="343"/>
      <c r="AU2" s="343"/>
      <c r="AV2" s="343"/>
      <c r="AW2" s="343"/>
      <c r="AX2" s="343"/>
      <c r="AY2" s="343"/>
      <c r="AZ2" s="343"/>
    </row>
    <row r="3" spans="1:53" ht="15" hidden="1" customHeight="1" x14ac:dyDescent="0.15"/>
    <row r="4" spans="1:53" ht="42" customHeight="1" x14ac:dyDescent="0.15">
      <c r="A4" s="357" t="s">
        <v>4</v>
      </c>
      <c r="B4" s="352" t="s">
        <v>224</v>
      </c>
      <c r="C4" s="331" t="s">
        <v>491</v>
      </c>
      <c r="D4" s="352" t="s">
        <v>492</v>
      </c>
      <c r="E4" s="352" t="s">
        <v>493</v>
      </c>
      <c r="F4" s="331" t="s">
        <v>494</v>
      </c>
      <c r="G4" s="331" t="s">
        <v>495</v>
      </c>
      <c r="H4" s="331" t="s">
        <v>496</v>
      </c>
      <c r="I4" s="331" t="s">
        <v>497</v>
      </c>
      <c r="J4" s="331" t="s">
        <v>498</v>
      </c>
      <c r="K4" s="331" t="s">
        <v>499</v>
      </c>
      <c r="L4" s="352" t="s">
        <v>500</v>
      </c>
      <c r="M4" s="333" t="s">
        <v>501</v>
      </c>
      <c r="N4" s="333" t="str">
        <f>""</f>
        <v/>
      </c>
      <c r="O4" s="333" t="str">
        <f>""</f>
        <v/>
      </c>
      <c r="P4" s="333" t="str">
        <f>""</f>
        <v/>
      </c>
      <c r="Q4" s="333" t="str">
        <f>""</f>
        <v/>
      </c>
      <c r="R4" s="350" t="str">
        <f>""</f>
        <v/>
      </c>
      <c r="S4" s="350" t="str">
        <f>""</f>
        <v/>
      </c>
      <c r="T4" s="351" t="str">
        <f>""</f>
        <v/>
      </c>
      <c r="U4" s="163" t="str">
        <f>""</f>
        <v/>
      </c>
      <c r="V4" s="331" t="s">
        <v>502</v>
      </c>
      <c r="W4" s="331" t="s">
        <v>503</v>
      </c>
      <c r="X4" s="352" t="s">
        <v>504</v>
      </c>
      <c r="Y4" s="352" t="s">
        <v>505</v>
      </c>
      <c r="Z4" s="352" t="s">
        <v>506</v>
      </c>
      <c r="AA4" s="352" t="s">
        <v>507</v>
      </c>
      <c r="AB4" s="352" t="s">
        <v>508</v>
      </c>
      <c r="AC4" s="331" t="s">
        <v>509</v>
      </c>
      <c r="AD4" s="331" t="s">
        <v>510</v>
      </c>
      <c r="AE4" s="352" t="s">
        <v>511</v>
      </c>
      <c r="AF4" s="331" t="s">
        <v>512</v>
      </c>
      <c r="AG4" s="331" t="s">
        <v>513</v>
      </c>
      <c r="AH4" s="331" t="s">
        <v>514</v>
      </c>
      <c r="AI4" s="331" t="s">
        <v>515</v>
      </c>
      <c r="AJ4" s="331" t="s">
        <v>516</v>
      </c>
      <c r="AK4" s="331" t="s">
        <v>517</v>
      </c>
      <c r="AL4" s="331" t="s">
        <v>518</v>
      </c>
      <c r="AM4" s="331" t="s">
        <v>519</v>
      </c>
      <c r="AN4" s="331" t="s">
        <v>520</v>
      </c>
      <c r="AO4" s="331" t="s">
        <v>521</v>
      </c>
      <c r="AP4" s="331" t="s">
        <v>522</v>
      </c>
      <c r="AQ4" s="331" t="s">
        <v>523</v>
      </c>
      <c r="AR4" s="331" t="s">
        <v>524</v>
      </c>
      <c r="AS4" s="331" t="s">
        <v>525</v>
      </c>
      <c r="AT4" s="331" t="s">
        <v>526</v>
      </c>
      <c r="AU4" s="331" t="s">
        <v>527</v>
      </c>
      <c r="AV4" s="331" t="s">
        <v>528</v>
      </c>
      <c r="AW4" s="331" t="s">
        <v>529</v>
      </c>
      <c r="AX4" s="331" t="s">
        <v>530</v>
      </c>
      <c r="AY4" s="331" t="s">
        <v>531</v>
      </c>
      <c r="AZ4" s="331" t="s">
        <v>532</v>
      </c>
    </row>
    <row r="5" spans="1:53" ht="68.25" customHeight="1" x14ac:dyDescent="0.15">
      <c r="A5" s="358" t="str">
        <f>""</f>
        <v/>
      </c>
      <c r="B5" s="353" t="str">
        <f>""</f>
        <v/>
      </c>
      <c r="C5" s="332" t="str">
        <f>""</f>
        <v/>
      </c>
      <c r="D5" s="353" t="str">
        <f>""</f>
        <v/>
      </c>
      <c r="E5" s="353" t="str">
        <f>""</f>
        <v/>
      </c>
      <c r="F5" s="332" t="str">
        <f>""</f>
        <v/>
      </c>
      <c r="G5" s="332" t="str">
        <f>""</f>
        <v/>
      </c>
      <c r="H5" s="332" t="str">
        <f>""</f>
        <v/>
      </c>
      <c r="I5" s="332" t="str">
        <f>""</f>
        <v/>
      </c>
      <c r="J5" s="332" t="str">
        <f>""</f>
        <v/>
      </c>
      <c r="K5" s="332" t="str">
        <f>""</f>
        <v/>
      </c>
      <c r="L5" s="353" t="str">
        <f>""</f>
        <v/>
      </c>
      <c r="M5" s="21" t="s">
        <v>533</v>
      </c>
      <c r="N5" s="21" t="s">
        <v>534</v>
      </c>
      <c r="O5" s="21" t="s">
        <v>535</v>
      </c>
      <c r="P5" s="21" t="s">
        <v>536</v>
      </c>
      <c r="Q5" s="21" t="s">
        <v>537</v>
      </c>
      <c r="R5" s="164" t="s">
        <v>538</v>
      </c>
      <c r="S5" s="164" t="s">
        <v>539</v>
      </c>
      <c r="T5" s="164" t="s">
        <v>540</v>
      </c>
      <c r="U5" s="164" t="s">
        <v>541</v>
      </c>
      <c r="V5" s="332" t="str">
        <f>""</f>
        <v/>
      </c>
      <c r="W5" s="332" t="str">
        <f>""</f>
        <v/>
      </c>
      <c r="X5" s="353" t="str">
        <f>""</f>
        <v/>
      </c>
      <c r="Y5" s="353" t="str">
        <f>""</f>
        <v/>
      </c>
      <c r="Z5" s="353" t="str">
        <f>""</f>
        <v/>
      </c>
      <c r="AA5" s="353" t="str">
        <f>""</f>
        <v/>
      </c>
      <c r="AB5" s="353" t="str">
        <f>""</f>
        <v/>
      </c>
      <c r="AC5" s="332" t="str">
        <f>""</f>
        <v/>
      </c>
      <c r="AD5" s="332" t="str">
        <f>""</f>
        <v/>
      </c>
      <c r="AE5" s="353" t="str">
        <f>""</f>
        <v/>
      </c>
      <c r="AF5" s="332" t="str">
        <f>""</f>
        <v/>
      </c>
      <c r="AG5" s="332" t="str">
        <f>""</f>
        <v/>
      </c>
      <c r="AH5" s="332" t="str">
        <f>""</f>
        <v/>
      </c>
      <c r="AI5" s="332" t="str">
        <f>""</f>
        <v/>
      </c>
      <c r="AJ5" s="332" t="str">
        <f>""</f>
        <v/>
      </c>
      <c r="AK5" s="332" t="str">
        <f>""</f>
        <v/>
      </c>
      <c r="AL5" s="332" t="str">
        <f>""</f>
        <v/>
      </c>
      <c r="AM5" s="332" t="str">
        <f>""</f>
        <v/>
      </c>
      <c r="AN5" s="332" t="str">
        <f>""</f>
        <v/>
      </c>
      <c r="AO5" s="332" t="str">
        <f>""</f>
        <v/>
      </c>
      <c r="AP5" s="332" t="str">
        <f>""</f>
        <v/>
      </c>
      <c r="AQ5" s="332" t="str">
        <f>""</f>
        <v/>
      </c>
      <c r="AR5" s="332" t="str">
        <f>""</f>
        <v/>
      </c>
      <c r="AS5" s="332" t="str">
        <f>""</f>
        <v/>
      </c>
      <c r="AT5" s="332" t="str">
        <f>""</f>
        <v/>
      </c>
      <c r="AU5" s="332" t="str">
        <f>""</f>
        <v/>
      </c>
      <c r="AV5" s="332" t="str">
        <f>""</f>
        <v/>
      </c>
      <c r="AW5" s="332" t="str">
        <f>""</f>
        <v/>
      </c>
      <c r="AX5" s="332" t="str">
        <f>""</f>
        <v/>
      </c>
      <c r="AY5" s="332" t="str">
        <f>""</f>
        <v/>
      </c>
      <c r="AZ5" s="332" t="str">
        <f>""</f>
        <v/>
      </c>
    </row>
    <row r="6" spans="1:53" ht="30" x14ac:dyDescent="0.15">
      <c r="A6" s="165">
        <v>1</v>
      </c>
      <c r="B6" s="166" t="s">
        <v>232</v>
      </c>
      <c r="C6" s="86" t="s">
        <v>233</v>
      </c>
      <c r="D6" s="166" t="s">
        <v>91</v>
      </c>
      <c r="E6" s="167">
        <f>'Tổng hợp VT'!E10</f>
        <v>1082.5487000000001</v>
      </c>
      <c r="F6" s="86" t="s">
        <v>233</v>
      </c>
      <c r="G6" s="168">
        <v>1</v>
      </c>
      <c r="H6" s="86"/>
      <c r="I6" s="169" t="s">
        <v>542</v>
      </c>
      <c r="J6" s="85">
        <v>1</v>
      </c>
      <c r="K6" s="136">
        <v>1</v>
      </c>
      <c r="L6" s="167"/>
      <c r="M6" s="150"/>
      <c r="N6" s="85"/>
      <c r="O6" s="85"/>
      <c r="P6" s="87">
        <v>1</v>
      </c>
      <c r="Q6" s="150"/>
      <c r="R6" s="167">
        <v>0</v>
      </c>
      <c r="S6" s="170">
        <v>0</v>
      </c>
      <c r="T6" s="170">
        <v>0</v>
      </c>
      <c r="U6" s="167">
        <v>0</v>
      </c>
      <c r="V6" s="87">
        <v>1</v>
      </c>
      <c r="W6" s="87">
        <v>1</v>
      </c>
      <c r="X6" s="171"/>
      <c r="Y6" s="171"/>
      <c r="Z6" s="171"/>
      <c r="AA6" s="171"/>
      <c r="AB6" s="171"/>
      <c r="AC6" s="172"/>
      <c r="AD6" s="114">
        <v>1</v>
      </c>
      <c r="AE6" s="173">
        <f t="shared" ref="AE6:AE25" si="0">ROUND(K6*P6*V6*W6*(R6*X6+S6*Y6+T6*Z6+0.95*U6*AA6)*AD6,1)</f>
        <v>0</v>
      </c>
      <c r="AF6" s="114">
        <v>0</v>
      </c>
      <c r="AG6" s="114">
        <f t="shared" ref="AG6:AG25" si="1">ROUND(G6*(AE6+AF6),0)</f>
        <v>0</v>
      </c>
      <c r="AH6" s="87">
        <v>1</v>
      </c>
      <c r="AI6" s="114">
        <f t="shared" ref="AI6:AI25" si="2">ROUND(AG6*AH6,0)</f>
        <v>0</v>
      </c>
      <c r="AJ6" s="87"/>
      <c r="AK6" s="87"/>
      <c r="AL6" s="87"/>
      <c r="AM6" s="87"/>
      <c r="AN6" s="87">
        <f t="shared" ref="AN6:AN25" si="3">ROUND((AK6+AL6)*AM6,0)</f>
        <v>0</v>
      </c>
      <c r="AO6" s="87"/>
      <c r="AP6" s="87">
        <f t="shared" ref="AP6:AP25" si="4">ROUND(AO6*AX6,0)</f>
        <v>0</v>
      </c>
      <c r="AQ6" s="87"/>
      <c r="AR6" s="87"/>
      <c r="AS6" s="87">
        <f t="shared" ref="AS6:AS25" si="5">ROUND(AM6*(AQ6+AR6),0)</f>
        <v>0</v>
      </c>
      <c r="AT6" s="87"/>
      <c r="AU6" s="87">
        <f t="shared" ref="AU6:AU25" si="6">ROUND(AT6*((AI6+AJ6)/1.1+AN6+AP6+AX6),0)</f>
        <v>0</v>
      </c>
      <c r="AV6" s="114">
        <f t="shared" ref="AV6:AV25" si="7">ROUND((AI6+AJ6)/1+AN6+AP6+AS6+AU6,0)</f>
        <v>0</v>
      </c>
      <c r="AW6" s="87">
        <f t="shared" ref="AW6:AW25" si="8">ROUND(E6*AV6,0)</f>
        <v>0</v>
      </c>
      <c r="AX6" s="114">
        <f>'Tổng hợp VT'!K10</f>
        <v>280000</v>
      </c>
      <c r="AY6" s="87">
        <f t="shared" ref="AY6:AY25" si="9">ROUND(AV6+AX6,0)</f>
        <v>280000</v>
      </c>
      <c r="AZ6" s="87">
        <f t="shared" ref="AZ6:AZ25" si="10">ROUND(E6*AY6,0)</f>
        <v>303113636</v>
      </c>
      <c r="BA6" s="73">
        <v>1</v>
      </c>
    </row>
    <row r="7" spans="1:53" ht="30" x14ac:dyDescent="0.15">
      <c r="A7" s="165">
        <v>2</v>
      </c>
      <c r="B7" s="166" t="s">
        <v>236</v>
      </c>
      <c r="C7" s="86" t="s">
        <v>237</v>
      </c>
      <c r="D7" s="166" t="s">
        <v>91</v>
      </c>
      <c r="E7" s="167">
        <f>'Tổng hợp VT'!E11</f>
        <v>357.71083603749997</v>
      </c>
      <c r="F7" s="86" t="s">
        <v>233</v>
      </c>
      <c r="G7" s="168">
        <v>1</v>
      </c>
      <c r="H7" s="86"/>
      <c r="I7" s="169" t="s">
        <v>542</v>
      </c>
      <c r="J7" s="85">
        <v>1</v>
      </c>
      <c r="K7" s="136">
        <v>1</v>
      </c>
      <c r="L7" s="167"/>
      <c r="M7" s="150"/>
      <c r="N7" s="85"/>
      <c r="O7" s="85"/>
      <c r="P7" s="87">
        <v>1</v>
      </c>
      <c r="Q7" s="150"/>
      <c r="R7" s="167">
        <v>0</v>
      </c>
      <c r="S7" s="170">
        <v>0</v>
      </c>
      <c r="T7" s="170">
        <v>0</v>
      </c>
      <c r="U7" s="167">
        <v>0</v>
      </c>
      <c r="V7" s="87">
        <v>1</v>
      </c>
      <c r="W7" s="87">
        <v>1</v>
      </c>
      <c r="X7" s="171"/>
      <c r="Y7" s="171"/>
      <c r="Z7" s="171"/>
      <c r="AA7" s="171"/>
      <c r="AB7" s="171"/>
      <c r="AC7" s="172"/>
      <c r="AD7" s="114">
        <v>1</v>
      </c>
      <c r="AE7" s="173">
        <f t="shared" si="0"/>
        <v>0</v>
      </c>
      <c r="AF7" s="114">
        <v>0</v>
      </c>
      <c r="AG7" s="114">
        <f t="shared" si="1"/>
        <v>0</v>
      </c>
      <c r="AH7" s="87">
        <v>1</v>
      </c>
      <c r="AI7" s="114">
        <f t="shared" si="2"/>
        <v>0</v>
      </c>
      <c r="AJ7" s="87"/>
      <c r="AK7" s="87"/>
      <c r="AL7" s="87"/>
      <c r="AM7" s="87"/>
      <c r="AN7" s="87">
        <f t="shared" si="3"/>
        <v>0</v>
      </c>
      <c r="AO7" s="87"/>
      <c r="AP7" s="87">
        <f t="shared" si="4"/>
        <v>0</v>
      </c>
      <c r="AQ7" s="87"/>
      <c r="AR7" s="87"/>
      <c r="AS7" s="87">
        <f t="shared" si="5"/>
        <v>0</v>
      </c>
      <c r="AT7" s="87"/>
      <c r="AU7" s="87">
        <f t="shared" si="6"/>
        <v>0</v>
      </c>
      <c r="AV7" s="114">
        <f t="shared" si="7"/>
        <v>0</v>
      </c>
      <c r="AW7" s="87">
        <f t="shared" si="8"/>
        <v>0</v>
      </c>
      <c r="AX7" s="114">
        <f>'Tổng hợp VT'!K11</f>
        <v>750000</v>
      </c>
      <c r="AY7" s="87">
        <f t="shared" si="9"/>
        <v>750000</v>
      </c>
      <c r="AZ7" s="87">
        <f t="shared" si="10"/>
        <v>268283127</v>
      </c>
      <c r="BA7" s="73">
        <v>1</v>
      </c>
    </row>
    <row r="8" spans="1:53" ht="45" x14ac:dyDescent="0.15">
      <c r="A8" s="165">
        <v>3</v>
      </c>
      <c r="B8" s="166" t="s">
        <v>240</v>
      </c>
      <c r="C8" s="86" t="s">
        <v>241</v>
      </c>
      <c r="D8" s="166" t="s">
        <v>84</v>
      </c>
      <c r="E8" s="167">
        <f>'Tổng hợp VT'!E12</f>
        <v>779.82299999999998</v>
      </c>
      <c r="F8" s="86"/>
      <c r="G8" s="168"/>
      <c r="H8" s="86"/>
      <c r="I8" s="169" t="s">
        <v>543</v>
      </c>
      <c r="J8" s="85">
        <v>1</v>
      </c>
      <c r="K8" s="136">
        <v>1</v>
      </c>
      <c r="L8" s="167"/>
      <c r="M8" s="150"/>
      <c r="N8" s="85"/>
      <c r="O8" s="85"/>
      <c r="P8" s="87">
        <v>1</v>
      </c>
      <c r="Q8" s="150"/>
      <c r="R8" s="167">
        <v>0</v>
      </c>
      <c r="S8" s="170">
        <v>0</v>
      </c>
      <c r="T8" s="170">
        <v>0</v>
      </c>
      <c r="U8" s="167">
        <v>0</v>
      </c>
      <c r="V8" s="87">
        <v>1</v>
      </c>
      <c r="W8" s="87">
        <v>1</v>
      </c>
      <c r="X8" s="171"/>
      <c r="Y8" s="171"/>
      <c r="Z8" s="171"/>
      <c r="AA8" s="171"/>
      <c r="AB8" s="171"/>
      <c r="AC8" s="172"/>
      <c r="AD8" s="114">
        <v>1</v>
      </c>
      <c r="AE8" s="173">
        <f t="shared" si="0"/>
        <v>0</v>
      </c>
      <c r="AF8" s="114">
        <v>0</v>
      </c>
      <c r="AG8" s="114">
        <f t="shared" si="1"/>
        <v>0</v>
      </c>
      <c r="AH8" s="87">
        <v>1</v>
      </c>
      <c r="AI8" s="114">
        <f t="shared" si="2"/>
        <v>0</v>
      </c>
      <c r="AJ8" s="87"/>
      <c r="AK8" s="87"/>
      <c r="AL8" s="87"/>
      <c r="AM8" s="87"/>
      <c r="AN8" s="87">
        <f t="shared" si="3"/>
        <v>0</v>
      </c>
      <c r="AO8" s="87"/>
      <c r="AP8" s="87">
        <f t="shared" si="4"/>
        <v>0</v>
      </c>
      <c r="AQ8" s="87"/>
      <c r="AR8" s="87"/>
      <c r="AS8" s="87">
        <f t="shared" si="5"/>
        <v>0</v>
      </c>
      <c r="AT8" s="87"/>
      <c r="AU8" s="87">
        <f t="shared" si="6"/>
        <v>0</v>
      </c>
      <c r="AV8" s="114">
        <f t="shared" si="7"/>
        <v>0</v>
      </c>
      <c r="AW8" s="87">
        <f t="shared" si="8"/>
        <v>0</v>
      </c>
      <c r="AX8" s="114">
        <f>'Tổng hợp VT'!K12</f>
        <v>22000</v>
      </c>
      <c r="AY8" s="87">
        <f t="shared" si="9"/>
        <v>22000</v>
      </c>
      <c r="AZ8" s="87">
        <f t="shared" si="10"/>
        <v>17156106</v>
      </c>
      <c r="BA8" s="73">
        <v>1</v>
      </c>
    </row>
    <row r="9" spans="1:53" ht="45" x14ac:dyDescent="0.15">
      <c r="A9" s="165">
        <v>4</v>
      </c>
      <c r="B9" s="166" t="s">
        <v>243</v>
      </c>
      <c r="C9" s="86" t="s">
        <v>244</v>
      </c>
      <c r="D9" s="166" t="s">
        <v>65</v>
      </c>
      <c r="E9" s="167">
        <f>'Tổng hợp VT'!E13</f>
        <v>49625.1</v>
      </c>
      <c r="F9" s="86"/>
      <c r="G9" s="168"/>
      <c r="H9" s="86"/>
      <c r="I9" s="169" t="s">
        <v>543</v>
      </c>
      <c r="J9" s="85">
        <v>1</v>
      </c>
      <c r="K9" s="136">
        <v>1</v>
      </c>
      <c r="L9" s="167"/>
      <c r="M9" s="150"/>
      <c r="N9" s="85"/>
      <c r="O9" s="85"/>
      <c r="P9" s="87">
        <v>1</v>
      </c>
      <c r="Q9" s="150"/>
      <c r="R9" s="167">
        <v>0</v>
      </c>
      <c r="S9" s="170">
        <v>0</v>
      </c>
      <c r="T9" s="170">
        <v>0</v>
      </c>
      <c r="U9" s="167">
        <v>0</v>
      </c>
      <c r="V9" s="87">
        <v>1</v>
      </c>
      <c r="W9" s="87">
        <v>1</v>
      </c>
      <c r="X9" s="171"/>
      <c r="Y9" s="171"/>
      <c r="Z9" s="171"/>
      <c r="AA9" s="171"/>
      <c r="AB9" s="171"/>
      <c r="AC9" s="172"/>
      <c r="AD9" s="114">
        <v>1</v>
      </c>
      <c r="AE9" s="173">
        <f t="shared" si="0"/>
        <v>0</v>
      </c>
      <c r="AF9" s="114">
        <v>0</v>
      </c>
      <c r="AG9" s="114">
        <f t="shared" si="1"/>
        <v>0</v>
      </c>
      <c r="AH9" s="87">
        <v>1</v>
      </c>
      <c r="AI9" s="114">
        <f t="shared" si="2"/>
        <v>0</v>
      </c>
      <c r="AJ9" s="87"/>
      <c r="AK9" s="87"/>
      <c r="AL9" s="87"/>
      <c r="AM9" s="87"/>
      <c r="AN9" s="87">
        <f t="shared" si="3"/>
        <v>0</v>
      </c>
      <c r="AO9" s="87"/>
      <c r="AP9" s="87">
        <f t="shared" si="4"/>
        <v>0</v>
      </c>
      <c r="AQ9" s="87"/>
      <c r="AR9" s="87"/>
      <c r="AS9" s="87">
        <f t="shared" si="5"/>
        <v>0</v>
      </c>
      <c r="AT9" s="87"/>
      <c r="AU9" s="87">
        <f t="shared" si="6"/>
        <v>0</v>
      </c>
      <c r="AV9" s="114">
        <f t="shared" si="7"/>
        <v>0</v>
      </c>
      <c r="AW9" s="87">
        <f t="shared" si="8"/>
        <v>0</v>
      </c>
      <c r="AX9" s="114">
        <f>'Tổng hợp VT'!K13</f>
        <v>4800</v>
      </c>
      <c r="AY9" s="87">
        <f t="shared" si="9"/>
        <v>4800</v>
      </c>
      <c r="AZ9" s="87">
        <f t="shared" si="10"/>
        <v>238200480</v>
      </c>
      <c r="BA9" s="73">
        <v>1</v>
      </c>
    </row>
    <row r="10" spans="1:53" ht="45" x14ac:dyDescent="0.15">
      <c r="A10" s="165">
        <v>5</v>
      </c>
      <c r="B10" s="166" t="s">
        <v>246</v>
      </c>
      <c r="C10" s="86" t="s">
        <v>247</v>
      </c>
      <c r="D10" s="166" t="s">
        <v>65</v>
      </c>
      <c r="E10" s="167">
        <f>'Tổng hợp VT'!E14</f>
        <v>9608</v>
      </c>
      <c r="F10" s="86"/>
      <c r="G10" s="168"/>
      <c r="H10" s="86"/>
      <c r="I10" s="169" t="s">
        <v>543</v>
      </c>
      <c r="J10" s="85">
        <v>1</v>
      </c>
      <c r="K10" s="136">
        <v>1</v>
      </c>
      <c r="L10" s="167"/>
      <c r="M10" s="150"/>
      <c r="N10" s="85"/>
      <c r="O10" s="85"/>
      <c r="P10" s="87">
        <v>1</v>
      </c>
      <c r="Q10" s="150"/>
      <c r="R10" s="167">
        <v>0</v>
      </c>
      <c r="S10" s="170">
        <v>0</v>
      </c>
      <c r="T10" s="170">
        <v>0</v>
      </c>
      <c r="U10" s="167">
        <v>0</v>
      </c>
      <c r="V10" s="87">
        <v>1</v>
      </c>
      <c r="W10" s="87">
        <v>1</v>
      </c>
      <c r="X10" s="171"/>
      <c r="Y10" s="171"/>
      <c r="Z10" s="171"/>
      <c r="AA10" s="171"/>
      <c r="AB10" s="171"/>
      <c r="AC10" s="172"/>
      <c r="AD10" s="114">
        <v>1</v>
      </c>
      <c r="AE10" s="173">
        <f t="shared" si="0"/>
        <v>0</v>
      </c>
      <c r="AF10" s="114">
        <v>0</v>
      </c>
      <c r="AG10" s="114">
        <f t="shared" si="1"/>
        <v>0</v>
      </c>
      <c r="AH10" s="87">
        <v>1</v>
      </c>
      <c r="AI10" s="114">
        <f t="shared" si="2"/>
        <v>0</v>
      </c>
      <c r="AJ10" s="87"/>
      <c r="AK10" s="87"/>
      <c r="AL10" s="87"/>
      <c r="AM10" s="87"/>
      <c r="AN10" s="87">
        <f t="shared" si="3"/>
        <v>0</v>
      </c>
      <c r="AO10" s="87"/>
      <c r="AP10" s="87">
        <f t="shared" si="4"/>
        <v>0</v>
      </c>
      <c r="AQ10" s="87"/>
      <c r="AR10" s="87"/>
      <c r="AS10" s="87">
        <f t="shared" si="5"/>
        <v>0</v>
      </c>
      <c r="AT10" s="87"/>
      <c r="AU10" s="87">
        <f t="shared" si="6"/>
        <v>0</v>
      </c>
      <c r="AV10" s="114">
        <f t="shared" si="7"/>
        <v>0</v>
      </c>
      <c r="AW10" s="87">
        <f t="shared" si="8"/>
        <v>0</v>
      </c>
      <c r="AX10" s="114"/>
      <c r="AY10" s="87">
        <f t="shared" si="9"/>
        <v>0</v>
      </c>
      <c r="AZ10" s="87">
        <f t="shared" si="10"/>
        <v>0</v>
      </c>
      <c r="BA10" s="73">
        <v>1</v>
      </c>
    </row>
    <row r="11" spans="1:53" ht="45" x14ac:dyDescent="0.15">
      <c r="A11" s="165">
        <v>6</v>
      </c>
      <c r="B11" s="166" t="s">
        <v>249</v>
      </c>
      <c r="C11" s="86" t="s">
        <v>250</v>
      </c>
      <c r="D11" s="166" t="s">
        <v>251</v>
      </c>
      <c r="E11" s="167">
        <f>'Tổng hợp VT'!E15</f>
        <v>1068.904125</v>
      </c>
      <c r="F11" s="86" t="s">
        <v>544</v>
      </c>
      <c r="G11" s="168">
        <v>1E-3</v>
      </c>
      <c r="H11" s="86"/>
      <c r="I11" s="169" t="s">
        <v>543</v>
      </c>
      <c r="J11" s="85">
        <v>1</v>
      </c>
      <c r="K11" s="136">
        <v>1</v>
      </c>
      <c r="L11" s="167"/>
      <c r="M11" s="150"/>
      <c r="N11" s="85"/>
      <c r="O11" s="85"/>
      <c r="P11" s="87">
        <v>1</v>
      </c>
      <c r="Q11" s="150"/>
      <c r="R11" s="167">
        <v>0</v>
      </c>
      <c r="S11" s="170">
        <v>0</v>
      </c>
      <c r="T11" s="170">
        <v>0</v>
      </c>
      <c r="U11" s="167">
        <v>0</v>
      </c>
      <c r="V11" s="87">
        <v>1</v>
      </c>
      <c r="W11" s="87">
        <v>1</v>
      </c>
      <c r="X11" s="171"/>
      <c r="Y11" s="171"/>
      <c r="Z11" s="171"/>
      <c r="AA11" s="171"/>
      <c r="AB11" s="171"/>
      <c r="AC11" s="172"/>
      <c r="AD11" s="114">
        <v>1</v>
      </c>
      <c r="AE11" s="173">
        <f t="shared" si="0"/>
        <v>0</v>
      </c>
      <c r="AF11" s="114">
        <v>0</v>
      </c>
      <c r="AG11" s="114">
        <f t="shared" si="1"/>
        <v>0</v>
      </c>
      <c r="AH11" s="87">
        <v>1</v>
      </c>
      <c r="AI11" s="114">
        <f t="shared" si="2"/>
        <v>0</v>
      </c>
      <c r="AJ11" s="87"/>
      <c r="AK11" s="87"/>
      <c r="AL11" s="87"/>
      <c r="AM11" s="87"/>
      <c r="AN11" s="87">
        <f t="shared" si="3"/>
        <v>0</v>
      </c>
      <c r="AO11" s="87"/>
      <c r="AP11" s="87">
        <f t="shared" si="4"/>
        <v>0</v>
      </c>
      <c r="AQ11" s="87"/>
      <c r="AR11" s="87"/>
      <c r="AS11" s="87">
        <f t="shared" si="5"/>
        <v>0</v>
      </c>
      <c r="AT11" s="87"/>
      <c r="AU11" s="87">
        <f t="shared" si="6"/>
        <v>0</v>
      </c>
      <c r="AV11" s="114">
        <f t="shared" si="7"/>
        <v>0</v>
      </c>
      <c r="AW11" s="87">
        <f t="shared" si="8"/>
        <v>0</v>
      </c>
      <c r="AX11" s="114">
        <f>'Tổng hợp VT'!K15</f>
        <v>12627</v>
      </c>
      <c r="AY11" s="87">
        <f t="shared" si="9"/>
        <v>12627</v>
      </c>
      <c r="AZ11" s="87">
        <f t="shared" si="10"/>
        <v>13497052</v>
      </c>
      <c r="BA11" s="73">
        <v>1</v>
      </c>
    </row>
    <row r="12" spans="1:53" ht="30" x14ac:dyDescent="0.15">
      <c r="A12" s="165">
        <v>7</v>
      </c>
      <c r="B12" s="166" t="s">
        <v>253</v>
      </c>
      <c r="C12" s="86" t="s">
        <v>254</v>
      </c>
      <c r="D12" s="166" t="s">
        <v>251</v>
      </c>
      <c r="E12" s="167">
        <f>'Tổng hợp VT'!E16</f>
        <v>607.82014300000003</v>
      </c>
      <c r="F12" s="86" t="s">
        <v>544</v>
      </c>
      <c r="G12" s="168">
        <v>1E-3</v>
      </c>
      <c r="H12" s="86"/>
      <c r="I12" s="169" t="s">
        <v>542</v>
      </c>
      <c r="J12" s="85">
        <v>1</v>
      </c>
      <c r="K12" s="136">
        <v>1</v>
      </c>
      <c r="L12" s="167"/>
      <c r="M12" s="150"/>
      <c r="N12" s="85"/>
      <c r="O12" s="85"/>
      <c r="P12" s="87">
        <v>1</v>
      </c>
      <c r="Q12" s="150"/>
      <c r="R12" s="167">
        <v>0</v>
      </c>
      <c r="S12" s="170">
        <v>0</v>
      </c>
      <c r="T12" s="170">
        <v>0</v>
      </c>
      <c r="U12" s="167">
        <v>0</v>
      </c>
      <c r="V12" s="87">
        <v>1</v>
      </c>
      <c r="W12" s="87">
        <v>1</v>
      </c>
      <c r="X12" s="171"/>
      <c r="Y12" s="171"/>
      <c r="Z12" s="171"/>
      <c r="AA12" s="171"/>
      <c r="AB12" s="171"/>
      <c r="AC12" s="172"/>
      <c r="AD12" s="114">
        <v>1</v>
      </c>
      <c r="AE12" s="173">
        <f t="shared" si="0"/>
        <v>0</v>
      </c>
      <c r="AF12" s="114">
        <v>0</v>
      </c>
      <c r="AG12" s="114">
        <f t="shared" si="1"/>
        <v>0</v>
      </c>
      <c r="AH12" s="87">
        <v>1</v>
      </c>
      <c r="AI12" s="114">
        <f t="shared" si="2"/>
        <v>0</v>
      </c>
      <c r="AJ12" s="87"/>
      <c r="AK12" s="87"/>
      <c r="AL12" s="87"/>
      <c r="AM12" s="87"/>
      <c r="AN12" s="87">
        <f t="shared" si="3"/>
        <v>0</v>
      </c>
      <c r="AO12" s="87"/>
      <c r="AP12" s="87">
        <f t="shared" si="4"/>
        <v>0</v>
      </c>
      <c r="AQ12" s="87"/>
      <c r="AR12" s="87"/>
      <c r="AS12" s="87">
        <f t="shared" si="5"/>
        <v>0</v>
      </c>
      <c r="AT12" s="87"/>
      <c r="AU12" s="87">
        <f t="shared" si="6"/>
        <v>0</v>
      </c>
      <c r="AV12" s="114">
        <f t="shared" si="7"/>
        <v>0</v>
      </c>
      <c r="AW12" s="87">
        <f t="shared" si="8"/>
        <v>0</v>
      </c>
      <c r="AX12" s="114">
        <f>'Tổng hợp VT'!K16</f>
        <v>20000</v>
      </c>
      <c r="AY12" s="87">
        <f t="shared" si="9"/>
        <v>20000</v>
      </c>
      <c r="AZ12" s="87">
        <f t="shared" si="10"/>
        <v>12156403</v>
      </c>
      <c r="BA12" s="73">
        <v>1</v>
      </c>
    </row>
    <row r="13" spans="1:53" ht="30" x14ac:dyDescent="0.15">
      <c r="A13" s="165">
        <v>8</v>
      </c>
      <c r="B13" s="166" t="s">
        <v>256</v>
      </c>
      <c r="C13" s="86" t="s">
        <v>257</v>
      </c>
      <c r="D13" s="166" t="s">
        <v>91</v>
      </c>
      <c r="E13" s="167">
        <f>'Tổng hợp VT'!E17</f>
        <v>589.23498971499987</v>
      </c>
      <c r="F13" s="86" t="s">
        <v>545</v>
      </c>
      <c r="G13" s="168">
        <v>1</v>
      </c>
      <c r="H13" s="86"/>
      <c r="I13" s="169" t="s">
        <v>542</v>
      </c>
      <c r="J13" s="85">
        <v>1</v>
      </c>
      <c r="K13" s="136">
        <v>1</v>
      </c>
      <c r="L13" s="167"/>
      <c r="M13" s="150"/>
      <c r="N13" s="85"/>
      <c r="O13" s="85"/>
      <c r="P13" s="87">
        <v>1</v>
      </c>
      <c r="Q13" s="150"/>
      <c r="R13" s="167">
        <v>0</v>
      </c>
      <c r="S13" s="170">
        <v>0</v>
      </c>
      <c r="T13" s="170">
        <v>0</v>
      </c>
      <c r="U13" s="167">
        <v>0</v>
      </c>
      <c r="V13" s="87">
        <v>1</v>
      </c>
      <c r="W13" s="87">
        <v>1</v>
      </c>
      <c r="X13" s="171"/>
      <c r="Y13" s="171"/>
      <c r="Z13" s="171"/>
      <c r="AA13" s="171"/>
      <c r="AB13" s="171"/>
      <c r="AC13" s="172"/>
      <c r="AD13" s="114">
        <v>1</v>
      </c>
      <c r="AE13" s="173">
        <f t="shared" si="0"/>
        <v>0</v>
      </c>
      <c r="AF13" s="114">
        <v>0</v>
      </c>
      <c r="AG13" s="114">
        <f t="shared" si="1"/>
        <v>0</v>
      </c>
      <c r="AH13" s="87">
        <v>1</v>
      </c>
      <c r="AI13" s="114">
        <f t="shared" si="2"/>
        <v>0</v>
      </c>
      <c r="AJ13" s="87"/>
      <c r="AK13" s="87"/>
      <c r="AL13" s="87"/>
      <c r="AM13" s="87"/>
      <c r="AN13" s="87">
        <f t="shared" si="3"/>
        <v>0</v>
      </c>
      <c r="AO13" s="87"/>
      <c r="AP13" s="87">
        <f t="shared" si="4"/>
        <v>0</v>
      </c>
      <c r="AQ13" s="87"/>
      <c r="AR13" s="87"/>
      <c r="AS13" s="87">
        <f t="shared" si="5"/>
        <v>0</v>
      </c>
      <c r="AT13" s="87"/>
      <c r="AU13" s="87">
        <f t="shared" si="6"/>
        <v>0</v>
      </c>
      <c r="AV13" s="114">
        <f t="shared" si="7"/>
        <v>0</v>
      </c>
      <c r="AW13" s="87">
        <f t="shared" si="8"/>
        <v>0</v>
      </c>
      <c r="AX13" s="114">
        <f>'Tổng hợp VT'!K17</f>
        <v>470000</v>
      </c>
      <c r="AY13" s="87">
        <f t="shared" si="9"/>
        <v>470000</v>
      </c>
      <c r="AZ13" s="87">
        <f t="shared" si="10"/>
        <v>276940445</v>
      </c>
      <c r="BA13" s="73">
        <v>1</v>
      </c>
    </row>
    <row r="14" spans="1:53" ht="45" x14ac:dyDescent="0.15">
      <c r="A14" s="165">
        <v>9</v>
      </c>
      <c r="B14" s="166" t="s">
        <v>260</v>
      </c>
      <c r="C14" s="86" t="s">
        <v>261</v>
      </c>
      <c r="D14" s="166" t="s">
        <v>91</v>
      </c>
      <c r="E14" s="167">
        <f>'Tổng hợp VT'!E18</f>
        <v>4.7262000000000004</v>
      </c>
      <c r="F14" s="86" t="s">
        <v>546</v>
      </c>
      <c r="G14" s="168"/>
      <c r="H14" s="86"/>
      <c r="I14" s="169" t="s">
        <v>543</v>
      </c>
      <c r="J14" s="85">
        <v>1</v>
      </c>
      <c r="K14" s="136">
        <v>1</v>
      </c>
      <c r="L14" s="167"/>
      <c r="M14" s="150"/>
      <c r="N14" s="85"/>
      <c r="O14" s="85"/>
      <c r="P14" s="87">
        <v>1</v>
      </c>
      <c r="Q14" s="150"/>
      <c r="R14" s="167">
        <v>0</v>
      </c>
      <c r="S14" s="170">
        <v>0</v>
      </c>
      <c r="T14" s="170">
        <v>0</v>
      </c>
      <c r="U14" s="167">
        <v>0</v>
      </c>
      <c r="V14" s="87">
        <v>1</v>
      </c>
      <c r="W14" s="87">
        <v>1</v>
      </c>
      <c r="X14" s="171"/>
      <c r="Y14" s="171"/>
      <c r="Z14" s="171"/>
      <c r="AA14" s="171"/>
      <c r="AB14" s="171"/>
      <c r="AC14" s="172"/>
      <c r="AD14" s="114">
        <v>1</v>
      </c>
      <c r="AE14" s="173">
        <f t="shared" si="0"/>
        <v>0</v>
      </c>
      <c r="AF14" s="114">
        <v>0</v>
      </c>
      <c r="AG14" s="114">
        <f t="shared" si="1"/>
        <v>0</v>
      </c>
      <c r="AH14" s="87">
        <v>1</v>
      </c>
      <c r="AI14" s="114">
        <f t="shared" si="2"/>
        <v>0</v>
      </c>
      <c r="AJ14" s="87"/>
      <c r="AK14" s="87"/>
      <c r="AL14" s="87"/>
      <c r="AM14" s="87"/>
      <c r="AN14" s="87">
        <f t="shared" si="3"/>
        <v>0</v>
      </c>
      <c r="AO14" s="87"/>
      <c r="AP14" s="87">
        <f t="shared" si="4"/>
        <v>0</v>
      </c>
      <c r="AQ14" s="87"/>
      <c r="AR14" s="87"/>
      <c r="AS14" s="87">
        <f t="shared" si="5"/>
        <v>0</v>
      </c>
      <c r="AT14" s="87"/>
      <c r="AU14" s="87">
        <f t="shared" si="6"/>
        <v>0</v>
      </c>
      <c r="AV14" s="114">
        <f t="shared" si="7"/>
        <v>0</v>
      </c>
      <c r="AW14" s="87">
        <f t="shared" si="8"/>
        <v>0</v>
      </c>
      <c r="AX14" s="114">
        <f>'Tổng hợp VT'!K18</f>
        <v>3300000</v>
      </c>
      <c r="AY14" s="87">
        <f t="shared" si="9"/>
        <v>3300000</v>
      </c>
      <c r="AZ14" s="87">
        <f t="shared" si="10"/>
        <v>15596460</v>
      </c>
      <c r="BA14" s="73">
        <v>1</v>
      </c>
    </row>
    <row r="15" spans="1:53" ht="45" x14ac:dyDescent="0.15">
      <c r="A15" s="165">
        <v>10</v>
      </c>
      <c r="B15" s="166" t="s">
        <v>264</v>
      </c>
      <c r="C15" s="86" t="s">
        <v>265</v>
      </c>
      <c r="D15" s="166" t="s">
        <v>266</v>
      </c>
      <c r="E15" s="167">
        <f>'Tổng hợp VT'!E19</f>
        <v>130221.99614749997</v>
      </c>
      <c r="F15" s="86"/>
      <c r="G15" s="168"/>
      <c r="H15" s="86"/>
      <c r="I15" s="169" t="s">
        <v>543</v>
      </c>
      <c r="J15" s="85">
        <v>1</v>
      </c>
      <c r="K15" s="136">
        <v>1</v>
      </c>
      <c r="L15" s="167"/>
      <c r="M15" s="150"/>
      <c r="N15" s="85"/>
      <c r="O15" s="85"/>
      <c r="P15" s="87">
        <v>1</v>
      </c>
      <c r="Q15" s="150"/>
      <c r="R15" s="167">
        <v>0</v>
      </c>
      <c r="S15" s="170">
        <v>0</v>
      </c>
      <c r="T15" s="170">
        <v>0</v>
      </c>
      <c r="U15" s="167">
        <v>0</v>
      </c>
      <c r="V15" s="87">
        <v>1</v>
      </c>
      <c r="W15" s="87">
        <v>1</v>
      </c>
      <c r="X15" s="171"/>
      <c r="Y15" s="171"/>
      <c r="Z15" s="171"/>
      <c r="AA15" s="171"/>
      <c r="AB15" s="171"/>
      <c r="AC15" s="172"/>
      <c r="AD15" s="114">
        <v>1</v>
      </c>
      <c r="AE15" s="173">
        <f t="shared" si="0"/>
        <v>0</v>
      </c>
      <c r="AF15" s="114">
        <v>0</v>
      </c>
      <c r="AG15" s="114">
        <f t="shared" si="1"/>
        <v>0</v>
      </c>
      <c r="AH15" s="87">
        <v>1</v>
      </c>
      <c r="AI15" s="114">
        <f t="shared" si="2"/>
        <v>0</v>
      </c>
      <c r="AJ15" s="87"/>
      <c r="AK15" s="87"/>
      <c r="AL15" s="87"/>
      <c r="AM15" s="87"/>
      <c r="AN15" s="87">
        <f t="shared" si="3"/>
        <v>0</v>
      </c>
      <c r="AO15" s="87"/>
      <c r="AP15" s="87">
        <f t="shared" si="4"/>
        <v>0</v>
      </c>
      <c r="AQ15" s="87"/>
      <c r="AR15" s="87"/>
      <c r="AS15" s="87">
        <f t="shared" si="5"/>
        <v>0</v>
      </c>
      <c r="AT15" s="87"/>
      <c r="AU15" s="87">
        <f t="shared" si="6"/>
        <v>0</v>
      </c>
      <c r="AV15" s="114">
        <f t="shared" si="7"/>
        <v>0</v>
      </c>
      <c r="AW15" s="87">
        <f t="shared" si="8"/>
        <v>0</v>
      </c>
      <c r="AX15" s="114">
        <f>'Tổng hợp VT'!K19</f>
        <v>12</v>
      </c>
      <c r="AY15" s="87">
        <f t="shared" si="9"/>
        <v>12</v>
      </c>
      <c r="AZ15" s="87">
        <f t="shared" si="10"/>
        <v>1562664</v>
      </c>
      <c r="BA15" s="73">
        <v>1</v>
      </c>
    </row>
    <row r="16" spans="1:53" ht="45" x14ac:dyDescent="0.15">
      <c r="A16" s="165">
        <v>11</v>
      </c>
      <c r="B16" s="166" t="s">
        <v>268</v>
      </c>
      <c r="C16" s="86" t="s">
        <v>269</v>
      </c>
      <c r="D16" s="166" t="s">
        <v>65</v>
      </c>
      <c r="E16" s="167">
        <f>'Tổng hợp VT'!E20</f>
        <v>5.7645000000000008</v>
      </c>
      <c r="F16" s="86"/>
      <c r="G16" s="168"/>
      <c r="H16" s="86"/>
      <c r="I16" s="169" t="s">
        <v>543</v>
      </c>
      <c r="J16" s="85">
        <v>1</v>
      </c>
      <c r="K16" s="136">
        <v>1</v>
      </c>
      <c r="L16" s="167"/>
      <c r="M16" s="150"/>
      <c r="N16" s="85"/>
      <c r="O16" s="85"/>
      <c r="P16" s="87">
        <v>1</v>
      </c>
      <c r="Q16" s="150"/>
      <c r="R16" s="167">
        <v>0</v>
      </c>
      <c r="S16" s="170">
        <v>0</v>
      </c>
      <c r="T16" s="170">
        <v>0</v>
      </c>
      <c r="U16" s="167">
        <v>0</v>
      </c>
      <c r="V16" s="87">
        <v>1</v>
      </c>
      <c r="W16" s="87">
        <v>1</v>
      </c>
      <c r="X16" s="171"/>
      <c r="Y16" s="171"/>
      <c r="Z16" s="171"/>
      <c r="AA16" s="171"/>
      <c r="AB16" s="171"/>
      <c r="AC16" s="172"/>
      <c r="AD16" s="114">
        <v>1</v>
      </c>
      <c r="AE16" s="173">
        <f t="shared" si="0"/>
        <v>0</v>
      </c>
      <c r="AF16" s="114">
        <v>0</v>
      </c>
      <c r="AG16" s="114">
        <f t="shared" si="1"/>
        <v>0</v>
      </c>
      <c r="AH16" s="87">
        <v>1</v>
      </c>
      <c r="AI16" s="114">
        <f t="shared" si="2"/>
        <v>0</v>
      </c>
      <c r="AJ16" s="87"/>
      <c r="AK16" s="87"/>
      <c r="AL16" s="87"/>
      <c r="AM16" s="87"/>
      <c r="AN16" s="87">
        <f t="shared" si="3"/>
        <v>0</v>
      </c>
      <c r="AO16" s="87"/>
      <c r="AP16" s="87">
        <f t="shared" si="4"/>
        <v>0</v>
      </c>
      <c r="AQ16" s="87"/>
      <c r="AR16" s="87"/>
      <c r="AS16" s="87">
        <f t="shared" si="5"/>
        <v>0</v>
      </c>
      <c r="AT16" s="87"/>
      <c r="AU16" s="87">
        <f t="shared" si="6"/>
        <v>0</v>
      </c>
      <c r="AV16" s="114">
        <f t="shared" si="7"/>
        <v>0</v>
      </c>
      <c r="AW16" s="87">
        <f t="shared" si="8"/>
        <v>0</v>
      </c>
      <c r="AX16" s="114">
        <f>'Tổng hợp VT'!K20</f>
        <v>350000</v>
      </c>
      <c r="AY16" s="87">
        <f t="shared" si="9"/>
        <v>350000</v>
      </c>
      <c r="AZ16" s="87">
        <f t="shared" si="10"/>
        <v>2017575</v>
      </c>
      <c r="BA16" s="73">
        <v>1</v>
      </c>
    </row>
    <row r="17" spans="1:53" ht="45" x14ac:dyDescent="0.15">
      <c r="A17" s="165">
        <v>12</v>
      </c>
      <c r="B17" s="166" t="s">
        <v>271</v>
      </c>
      <c r="C17" s="86" t="s">
        <v>272</v>
      </c>
      <c r="D17" s="166" t="s">
        <v>65</v>
      </c>
      <c r="E17" s="167">
        <f>'Tổng hợp VT'!E21</f>
        <v>5.7645000000000008</v>
      </c>
      <c r="F17" s="86"/>
      <c r="G17" s="168"/>
      <c r="H17" s="86"/>
      <c r="I17" s="169" t="s">
        <v>543</v>
      </c>
      <c r="J17" s="85">
        <v>1</v>
      </c>
      <c r="K17" s="136">
        <v>1</v>
      </c>
      <c r="L17" s="167"/>
      <c r="M17" s="150"/>
      <c r="N17" s="85"/>
      <c r="O17" s="85"/>
      <c r="P17" s="87">
        <v>1</v>
      </c>
      <c r="Q17" s="150"/>
      <c r="R17" s="167">
        <v>0</v>
      </c>
      <c r="S17" s="170">
        <v>0</v>
      </c>
      <c r="T17" s="170">
        <v>0</v>
      </c>
      <c r="U17" s="167">
        <v>0</v>
      </c>
      <c r="V17" s="87">
        <v>1</v>
      </c>
      <c r="W17" s="87">
        <v>1</v>
      </c>
      <c r="X17" s="171"/>
      <c r="Y17" s="171"/>
      <c r="Z17" s="171"/>
      <c r="AA17" s="171"/>
      <c r="AB17" s="171"/>
      <c r="AC17" s="172"/>
      <c r="AD17" s="114">
        <v>1</v>
      </c>
      <c r="AE17" s="173">
        <f t="shared" si="0"/>
        <v>0</v>
      </c>
      <c r="AF17" s="114">
        <v>0</v>
      </c>
      <c r="AG17" s="114">
        <f t="shared" si="1"/>
        <v>0</v>
      </c>
      <c r="AH17" s="87">
        <v>1</v>
      </c>
      <c r="AI17" s="114">
        <f t="shared" si="2"/>
        <v>0</v>
      </c>
      <c r="AJ17" s="87"/>
      <c r="AK17" s="87"/>
      <c r="AL17" s="87"/>
      <c r="AM17" s="87"/>
      <c r="AN17" s="87">
        <f t="shared" si="3"/>
        <v>0</v>
      </c>
      <c r="AO17" s="87"/>
      <c r="AP17" s="87">
        <f t="shared" si="4"/>
        <v>0</v>
      </c>
      <c r="AQ17" s="87"/>
      <c r="AR17" s="87"/>
      <c r="AS17" s="87">
        <f t="shared" si="5"/>
        <v>0</v>
      </c>
      <c r="AT17" s="87"/>
      <c r="AU17" s="87">
        <f t="shared" si="6"/>
        <v>0</v>
      </c>
      <c r="AV17" s="114">
        <f t="shared" si="7"/>
        <v>0</v>
      </c>
      <c r="AW17" s="87">
        <f t="shared" si="8"/>
        <v>0</v>
      </c>
      <c r="AX17" s="114">
        <f>'Tổng hợp VT'!K21</f>
        <v>550000</v>
      </c>
      <c r="AY17" s="87">
        <f t="shared" si="9"/>
        <v>550000</v>
      </c>
      <c r="AZ17" s="87">
        <f t="shared" si="10"/>
        <v>3170475</v>
      </c>
      <c r="BA17" s="73">
        <v>1</v>
      </c>
    </row>
    <row r="18" spans="1:53" ht="45" x14ac:dyDescent="0.15">
      <c r="A18" s="165">
        <v>13</v>
      </c>
      <c r="B18" s="166" t="s">
        <v>273</v>
      </c>
      <c r="C18" s="86" t="s">
        <v>274</v>
      </c>
      <c r="D18" s="166" t="s">
        <v>65</v>
      </c>
      <c r="E18" s="167">
        <f>'Tổng hợp VT'!E22</f>
        <v>5.7645000000000008</v>
      </c>
      <c r="F18" s="86"/>
      <c r="G18" s="168"/>
      <c r="H18" s="86"/>
      <c r="I18" s="169" t="s">
        <v>543</v>
      </c>
      <c r="J18" s="85">
        <v>1</v>
      </c>
      <c r="K18" s="136">
        <v>1</v>
      </c>
      <c r="L18" s="167"/>
      <c r="M18" s="150"/>
      <c r="N18" s="85"/>
      <c r="O18" s="85"/>
      <c r="P18" s="87">
        <v>1</v>
      </c>
      <c r="Q18" s="150"/>
      <c r="R18" s="167">
        <v>0</v>
      </c>
      <c r="S18" s="170">
        <v>0</v>
      </c>
      <c r="T18" s="170">
        <v>0</v>
      </c>
      <c r="U18" s="167">
        <v>0</v>
      </c>
      <c r="V18" s="87">
        <v>1</v>
      </c>
      <c r="W18" s="87">
        <v>1</v>
      </c>
      <c r="X18" s="171"/>
      <c r="Y18" s="171"/>
      <c r="Z18" s="171"/>
      <c r="AA18" s="171"/>
      <c r="AB18" s="171"/>
      <c r="AC18" s="172"/>
      <c r="AD18" s="114">
        <v>1</v>
      </c>
      <c r="AE18" s="173">
        <f t="shared" si="0"/>
        <v>0</v>
      </c>
      <c r="AF18" s="114">
        <v>0</v>
      </c>
      <c r="AG18" s="114">
        <f t="shared" si="1"/>
        <v>0</v>
      </c>
      <c r="AH18" s="87">
        <v>1</v>
      </c>
      <c r="AI18" s="114">
        <f t="shared" si="2"/>
        <v>0</v>
      </c>
      <c r="AJ18" s="87"/>
      <c r="AK18" s="87"/>
      <c r="AL18" s="87"/>
      <c r="AM18" s="87"/>
      <c r="AN18" s="87">
        <f t="shared" si="3"/>
        <v>0</v>
      </c>
      <c r="AO18" s="87"/>
      <c r="AP18" s="87">
        <f t="shared" si="4"/>
        <v>0</v>
      </c>
      <c r="AQ18" s="87"/>
      <c r="AR18" s="87"/>
      <c r="AS18" s="87">
        <f t="shared" si="5"/>
        <v>0</v>
      </c>
      <c r="AT18" s="87"/>
      <c r="AU18" s="87">
        <f t="shared" si="6"/>
        <v>0</v>
      </c>
      <c r="AV18" s="114">
        <f t="shared" si="7"/>
        <v>0</v>
      </c>
      <c r="AW18" s="87">
        <f t="shared" si="8"/>
        <v>0</v>
      </c>
      <c r="AX18" s="114">
        <f>'Tổng hợp VT'!K22</f>
        <v>55000</v>
      </c>
      <c r="AY18" s="87">
        <f t="shared" si="9"/>
        <v>55000</v>
      </c>
      <c r="AZ18" s="87">
        <f t="shared" si="10"/>
        <v>317048</v>
      </c>
      <c r="BA18" s="73">
        <v>1</v>
      </c>
    </row>
    <row r="19" spans="1:53" ht="45" x14ac:dyDescent="0.15">
      <c r="A19" s="165">
        <v>14</v>
      </c>
      <c r="B19" s="166" t="s">
        <v>275</v>
      </c>
      <c r="C19" s="86" t="s">
        <v>276</v>
      </c>
      <c r="D19" s="166" t="s">
        <v>251</v>
      </c>
      <c r="E19" s="167">
        <f>'Tổng hợp VT'!E23</f>
        <v>211.76020399999996</v>
      </c>
      <c r="F19" s="86" t="s">
        <v>544</v>
      </c>
      <c r="G19" s="168">
        <v>1E-3</v>
      </c>
      <c r="H19" s="86"/>
      <c r="I19" s="169" t="s">
        <v>543</v>
      </c>
      <c r="J19" s="85">
        <v>1</v>
      </c>
      <c r="K19" s="136">
        <v>1</v>
      </c>
      <c r="L19" s="167"/>
      <c r="M19" s="150"/>
      <c r="N19" s="85"/>
      <c r="O19" s="85"/>
      <c r="P19" s="87">
        <v>1</v>
      </c>
      <c r="Q19" s="150"/>
      <c r="R19" s="167">
        <v>0</v>
      </c>
      <c r="S19" s="170">
        <v>0</v>
      </c>
      <c r="T19" s="170">
        <v>0</v>
      </c>
      <c r="U19" s="167">
        <v>0</v>
      </c>
      <c r="V19" s="87">
        <v>1</v>
      </c>
      <c r="W19" s="87">
        <v>1</v>
      </c>
      <c r="X19" s="171"/>
      <c r="Y19" s="171"/>
      <c r="Z19" s="171"/>
      <c r="AA19" s="171"/>
      <c r="AB19" s="171"/>
      <c r="AC19" s="172"/>
      <c r="AD19" s="114">
        <v>1</v>
      </c>
      <c r="AE19" s="173">
        <f t="shared" si="0"/>
        <v>0</v>
      </c>
      <c r="AF19" s="114">
        <v>0</v>
      </c>
      <c r="AG19" s="114">
        <f t="shared" si="1"/>
        <v>0</v>
      </c>
      <c r="AH19" s="87">
        <v>1</v>
      </c>
      <c r="AI19" s="114">
        <f t="shared" si="2"/>
        <v>0</v>
      </c>
      <c r="AJ19" s="87"/>
      <c r="AK19" s="87"/>
      <c r="AL19" s="87"/>
      <c r="AM19" s="87"/>
      <c r="AN19" s="87">
        <f t="shared" si="3"/>
        <v>0</v>
      </c>
      <c r="AO19" s="87"/>
      <c r="AP19" s="87">
        <f t="shared" si="4"/>
        <v>0</v>
      </c>
      <c r="AQ19" s="87"/>
      <c r="AR19" s="87"/>
      <c r="AS19" s="87">
        <f t="shared" si="5"/>
        <v>0</v>
      </c>
      <c r="AT19" s="87"/>
      <c r="AU19" s="87">
        <f t="shared" si="6"/>
        <v>0</v>
      </c>
      <c r="AV19" s="114">
        <f t="shared" si="7"/>
        <v>0</v>
      </c>
      <c r="AW19" s="87">
        <f t="shared" si="8"/>
        <v>0</v>
      </c>
      <c r="AX19" s="114">
        <f>'Tổng hợp VT'!K23</f>
        <v>25000</v>
      </c>
      <c r="AY19" s="87">
        <f t="shared" si="9"/>
        <v>25000</v>
      </c>
      <c r="AZ19" s="87">
        <f t="shared" si="10"/>
        <v>5294005</v>
      </c>
      <c r="BA19" s="73">
        <v>1</v>
      </c>
    </row>
    <row r="20" spans="1:53" ht="45" x14ac:dyDescent="0.15">
      <c r="A20" s="165">
        <v>15</v>
      </c>
      <c r="B20" s="166" t="s">
        <v>278</v>
      </c>
      <c r="C20" s="86" t="s">
        <v>279</v>
      </c>
      <c r="D20" s="166" t="s">
        <v>251</v>
      </c>
      <c r="E20" s="167">
        <f>'Tổng hợp VT'!E24</f>
        <v>1387.5283599999998</v>
      </c>
      <c r="F20" s="86" t="s">
        <v>544</v>
      </c>
      <c r="G20" s="168">
        <v>1E-3</v>
      </c>
      <c r="H20" s="86"/>
      <c r="I20" s="169" t="s">
        <v>543</v>
      </c>
      <c r="J20" s="85">
        <v>1</v>
      </c>
      <c r="K20" s="136">
        <v>1</v>
      </c>
      <c r="L20" s="167"/>
      <c r="M20" s="150"/>
      <c r="N20" s="85"/>
      <c r="O20" s="85"/>
      <c r="P20" s="87">
        <v>1</v>
      </c>
      <c r="Q20" s="150"/>
      <c r="R20" s="167">
        <v>0</v>
      </c>
      <c r="S20" s="170">
        <v>0</v>
      </c>
      <c r="T20" s="170">
        <v>0</v>
      </c>
      <c r="U20" s="167">
        <v>0</v>
      </c>
      <c r="V20" s="87">
        <v>1</v>
      </c>
      <c r="W20" s="87">
        <v>1</v>
      </c>
      <c r="X20" s="171"/>
      <c r="Y20" s="171"/>
      <c r="Z20" s="171"/>
      <c r="AA20" s="171"/>
      <c r="AB20" s="171"/>
      <c r="AC20" s="172"/>
      <c r="AD20" s="114">
        <v>1</v>
      </c>
      <c r="AE20" s="173">
        <f t="shared" si="0"/>
        <v>0</v>
      </c>
      <c r="AF20" s="114">
        <v>0</v>
      </c>
      <c r="AG20" s="114">
        <f t="shared" si="1"/>
        <v>0</v>
      </c>
      <c r="AH20" s="87">
        <v>1</v>
      </c>
      <c r="AI20" s="114">
        <f t="shared" si="2"/>
        <v>0</v>
      </c>
      <c r="AJ20" s="87"/>
      <c r="AK20" s="87"/>
      <c r="AL20" s="87"/>
      <c r="AM20" s="87"/>
      <c r="AN20" s="87">
        <f t="shared" si="3"/>
        <v>0</v>
      </c>
      <c r="AO20" s="87"/>
      <c r="AP20" s="87">
        <f t="shared" si="4"/>
        <v>0</v>
      </c>
      <c r="AQ20" s="87"/>
      <c r="AR20" s="87"/>
      <c r="AS20" s="87">
        <f t="shared" si="5"/>
        <v>0</v>
      </c>
      <c r="AT20" s="87"/>
      <c r="AU20" s="87">
        <f t="shared" si="6"/>
        <v>0</v>
      </c>
      <c r="AV20" s="114">
        <f t="shared" si="7"/>
        <v>0</v>
      </c>
      <c r="AW20" s="87">
        <f t="shared" si="8"/>
        <v>0</v>
      </c>
      <c r="AX20" s="114">
        <f>'Tổng hợp VT'!K24</f>
        <v>18800</v>
      </c>
      <c r="AY20" s="87">
        <f t="shared" si="9"/>
        <v>18800</v>
      </c>
      <c r="AZ20" s="87">
        <f t="shared" si="10"/>
        <v>26085533</v>
      </c>
      <c r="BA20" s="73">
        <v>1</v>
      </c>
    </row>
    <row r="21" spans="1:53" ht="45" x14ac:dyDescent="0.15">
      <c r="A21" s="165">
        <v>16</v>
      </c>
      <c r="B21" s="166" t="s">
        <v>281</v>
      </c>
      <c r="C21" s="86" t="s">
        <v>282</v>
      </c>
      <c r="D21" s="166" t="s">
        <v>251</v>
      </c>
      <c r="E21" s="167">
        <f>'Tổng hợp VT'!E25</f>
        <v>1558.988805</v>
      </c>
      <c r="F21" s="86" t="s">
        <v>544</v>
      </c>
      <c r="G21" s="168">
        <v>1E-3</v>
      </c>
      <c r="H21" s="86"/>
      <c r="I21" s="169" t="s">
        <v>543</v>
      </c>
      <c r="J21" s="85">
        <v>1</v>
      </c>
      <c r="K21" s="136">
        <v>1</v>
      </c>
      <c r="L21" s="167"/>
      <c r="M21" s="150"/>
      <c r="N21" s="85"/>
      <c r="O21" s="85"/>
      <c r="P21" s="87">
        <v>1</v>
      </c>
      <c r="Q21" s="150"/>
      <c r="R21" s="167">
        <v>0</v>
      </c>
      <c r="S21" s="170">
        <v>0</v>
      </c>
      <c r="T21" s="170">
        <v>0</v>
      </c>
      <c r="U21" s="167">
        <v>0</v>
      </c>
      <c r="V21" s="87">
        <v>1</v>
      </c>
      <c r="W21" s="87">
        <v>1</v>
      </c>
      <c r="X21" s="171"/>
      <c r="Y21" s="171"/>
      <c r="Z21" s="171"/>
      <c r="AA21" s="171"/>
      <c r="AB21" s="171"/>
      <c r="AC21" s="172"/>
      <c r="AD21" s="114">
        <v>1</v>
      </c>
      <c r="AE21" s="173">
        <f t="shared" si="0"/>
        <v>0</v>
      </c>
      <c r="AF21" s="114">
        <v>0</v>
      </c>
      <c r="AG21" s="114">
        <f t="shared" si="1"/>
        <v>0</v>
      </c>
      <c r="AH21" s="87">
        <v>1</v>
      </c>
      <c r="AI21" s="114">
        <f t="shared" si="2"/>
        <v>0</v>
      </c>
      <c r="AJ21" s="87"/>
      <c r="AK21" s="87"/>
      <c r="AL21" s="87"/>
      <c r="AM21" s="87"/>
      <c r="AN21" s="87">
        <f t="shared" si="3"/>
        <v>0</v>
      </c>
      <c r="AO21" s="87"/>
      <c r="AP21" s="87">
        <f t="shared" si="4"/>
        <v>0</v>
      </c>
      <c r="AQ21" s="87"/>
      <c r="AR21" s="87"/>
      <c r="AS21" s="87">
        <f t="shared" si="5"/>
        <v>0</v>
      </c>
      <c r="AT21" s="87"/>
      <c r="AU21" s="87">
        <f t="shared" si="6"/>
        <v>0</v>
      </c>
      <c r="AV21" s="114">
        <f t="shared" si="7"/>
        <v>0</v>
      </c>
      <c r="AW21" s="87">
        <f t="shared" si="8"/>
        <v>0</v>
      </c>
      <c r="AX21" s="114">
        <f>'Tổng hợp VT'!K25</f>
        <v>18800</v>
      </c>
      <c r="AY21" s="87">
        <f t="shared" si="9"/>
        <v>18800</v>
      </c>
      <c r="AZ21" s="87">
        <f t="shared" si="10"/>
        <v>29308990</v>
      </c>
      <c r="BA21" s="73">
        <v>1</v>
      </c>
    </row>
    <row r="22" spans="1:53" ht="45" x14ac:dyDescent="0.15">
      <c r="A22" s="165">
        <v>17</v>
      </c>
      <c r="B22" s="166" t="s">
        <v>284</v>
      </c>
      <c r="C22" s="86" t="s">
        <v>285</v>
      </c>
      <c r="D22" s="166" t="s">
        <v>251</v>
      </c>
      <c r="E22" s="167">
        <f>'Tổng hợp VT'!E26</f>
        <v>32017.792500000003</v>
      </c>
      <c r="F22" s="86" t="s">
        <v>544</v>
      </c>
      <c r="G22" s="168">
        <v>1E-3</v>
      </c>
      <c r="H22" s="86"/>
      <c r="I22" s="169" t="s">
        <v>543</v>
      </c>
      <c r="J22" s="85">
        <v>1</v>
      </c>
      <c r="K22" s="136">
        <v>1</v>
      </c>
      <c r="L22" s="167"/>
      <c r="M22" s="150"/>
      <c r="N22" s="85"/>
      <c r="O22" s="85"/>
      <c r="P22" s="87">
        <v>1</v>
      </c>
      <c r="Q22" s="150"/>
      <c r="R22" s="167">
        <v>0</v>
      </c>
      <c r="S22" s="170">
        <v>0</v>
      </c>
      <c r="T22" s="170">
        <v>0</v>
      </c>
      <c r="U22" s="167">
        <v>0</v>
      </c>
      <c r="V22" s="87">
        <v>1</v>
      </c>
      <c r="W22" s="87">
        <v>1</v>
      </c>
      <c r="X22" s="171"/>
      <c r="Y22" s="171"/>
      <c r="Z22" s="171"/>
      <c r="AA22" s="171"/>
      <c r="AB22" s="171"/>
      <c r="AC22" s="172"/>
      <c r="AD22" s="114">
        <v>1</v>
      </c>
      <c r="AE22" s="173">
        <f t="shared" si="0"/>
        <v>0</v>
      </c>
      <c r="AF22" s="114">
        <v>0</v>
      </c>
      <c r="AG22" s="114">
        <f t="shared" si="1"/>
        <v>0</v>
      </c>
      <c r="AH22" s="87">
        <v>1</v>
      </c>
      <c r="AI22" s="114">
        <f t="shared" si="2"/>
        <v>0</v>
      </c>
      <c r="AJ22" s="87"/>
      <c r="AK22" s="87"/>
      <c r="AL22" s="87"/>
      <c r="AM22" s="87"/>
      <c r="AN22" s="87">
        <f t="shared" si="3"/>
        <v>0</v>
      </c>
      <c r="AO22" s="87"/>
      <c r="AP22" s="87">
        <f t="shared" si="4"/>
        <v>0</v>
      </c>
      <c r="AQ22" s="87"/>
      <c r="AR22" s="87"/>
      <c r="AS22" s="87">
        <f t="shared" si="5"/>
        <v>0</v>
      </c>
      <c r="AT22" s="87"/>
      <c r="AU22" s="87">
        <f t="shared" si="6"/>
        <v>0</v>
      </c>
      <c r="AV22" s="114">
        <f t="shared" si="7"/>
        <v>0</v>
      </c>
      <c r="AW22" s="87">
        <f t="shared" si="8"/>
        <v>0</v>
      </c>
      <c r="AX22" s="114">
        <f>'Tổng hợp VT'!K26</f>
        <v>14700</v>
      </c>
      <c r="AY22" s="87">
        <f t="shared" si="9"/>
        <v>14700</v>
      </c>
      <c r="AZ22" s="87">
        <f t="shared" si="10"/>
        <v>470661550</v>
      </c>
      <c r="BA22" s="73">
        <v>1</v>
      </c>
    </row>
    <row r="23" spans="1:53" ht="45" x14ac:dyDescent="0.15">
      <c r="A23" s="165">
        <v>18</v>
      </c>
      <c r="B23" s="166" t="s">
        <v>287</v>
      </c>
      <c r="C23" s="86" t="s">
        <v>288</v>
      </c>
      <c r="D23" s="166" t="s">
        <v>251</v>
      </c>
      <c r="E23" s="167">
        <f>'Tổng hợp VT'!E27</f>
        <v>10535.682000000001</v>
      </c>
      <c r="F23" s="86" t="s">
        <v>544</v>
      </c>
      <c r="G23" s="168">
        <v>1E-3</v>
      </c>
      <c r="H23" s="86"/>
      <c r="I23" s="169" t="s">
        <v>543</v>
      </c>
      <c r="J23" s="85">
        <v>1</v>
      </c>
      <c r="K23" s="136">
        <v>1</v>
      </c>
      <c r="L23" s="167"/>
      <c r="M23" s="150"/>
      <c r="N23" s="85"/>
      <c r="O23" s="85"/>
      <c r="P23" s="87">
        <v>1</v>
      </c>
      <c r="Q23" s="150"/>
      <c r="R23" s="167">
        <v>0</v>
      </c>
      <c r="S23" s="170">
        <v>0</v>
      </c>
      <c r="T23" s="170">
        <v>0</v>
      </c>
      <c r="U23" s="167">
        <v>0</v>
      </c>
      <c r="V23" s="87">
        <v>1</v>
      </c>
      <c r="W23" s="87">
        <v>1</v>
      </c>
      <c r="X23" s="171"/>
      <c r="Y23" s="171"/>
      <c r="Z23" s="171"/>
      <c r="AA23" s="171"/>
      <c r="AB23" s="171"/>
      <c r="AC23" s="172"/>
      <c r="AD23" s="114">
        <v>1</v>
      </c>
      <c r="AE23" s="173">
        <f t="shared" si="0"/>
        <v>0</v>
      </c>
      <c r="AF23" s="114">
        <v>0</v>
      </c>
      <c r="AG23" s="114">
        <f t="shared" si="1"/>
        <v>0</v>
      </c>
      <c r="AH23" s="87">
        <v>1</v>
      </c>
      <c r="AI23" s="114">
        <f t="shared" si="2"/>
        <v>0</v>
      </c>
      <c r="AJ23" s="87"/>
      <c r="AK23" s="87"/>
      <c r="AL23" s="87"/>
      <c r="AM23" s="87"/>
      <c r="AN23" s="87">
        <f t="shared" si="3"/>
        <v>0</v>
      </c>
      <c r="AO23" s="87"/>
      <c r="AP23" s="87">
        <f t="shared" si="4"/>
        <v>0</v>
      </c>
      <c r="AQ23" s="87"/>
      <c r="AR23" s="87"/>
      <c r="AS23" s="87">
        <f t="shared" si="5"/>
        <v>0</v>
      </c>
      <c r="AT23" s="87"/>
      <c r="AU23" s="87">
        <f t="shared" si="6"/>
        <v>0</v>
      </c>
      <c r="AV23" s="114">
        <f t="shared" si="7"/>
        <v>0</v>
      </c>
      <c r="AW23" s="87">
        <f t="shared" si="8"/>
        <v>0</v>
      </c>
      <c r="AX23" s="114">
        <f>'Tổng hợp VT'!K27</f>
        <v>14700</v>
      </c>
      <c r="AY23" s="87">
        <f t="shared" si="9"/>
        <v>14700</v>
      </c>
      <c r="AZ23" s="87">
        <f t="shared" si="10"/>
        <v>154874525</v>
      </c>
      <c r="BA23" s="73">
        <v>1</v>
      </c>
    </row>
    <row r="24" spans="1:53" ht="45" x14ac:dyDescent="0.15">
      <c r="A24" s="165">
        <v>19</v>
      </c>
      <c r="B24" s="166" t="s">
        <v>290</v>
      </c>
      <c r="C24" s="86" t="s">
        <v>291</v>
      </c>
      <c r="D24" s="166" t="s">
        <v>172</v>
      </c>
      <c r="E24" s="167">
        <f>'Tổng hợp VT'!E28</f>
        <v>151.19999999999999</v>
      </c>
      <c r="F24" s="86"/>
      <c r="G24" s="168"/>
      <c r="H24" s="86"/>
      <c r="I24" s="169" t="s">
        <v>543</v>
      </c>
      <c r="J24" s="85">
        <v>1</v>
      </c>
      <c r="K24" s="136">
        <v>1</v>
      </c>
      <c r="L24" s="167"/>
      <c r="M24" s="150"/>
      <c r="N24" s="85"/>
      <c r="O24" s="85"/>
      <c r="P24" s="87">
        <v>1</v>
      </c>
      <c r="Q24" s="150"/>
      <c r="R24" s="167">
        <v>0</v>
      </c>
      <c r="S24" s="170">
        <v>0</v>
      </c>
      <c r="T24" s="170">
        <v>0</v>
      </c>
      <c r="U24" s="167">
        <v>0</v>
      </c>
      <c r="V24" s="87">
        <v>1</v>
      </c>
      <c r="W24" s="87">
        <v>1</v>
      </c>
      <c r="X24" s="171"/>
      <c r="Y24" s="171"/>
      <c r="Z24" s="171"/>
      <c r="AA24" s="171"/>
      <c r="AB24" s="171"/>
      <c r="AC24" s="172"/>
      <c r="AD24" s="114">
        <v>1</v>
      </c>
      <c r="AE24" s="173">
        <f t="shared" si="0"/>
        <v>0</v>
      </c>
      <c r="AF24" s="114">
        <v>0</v>
      </c>
      <c r="AG24" s="114">
        <f t="shared" si="1"/>
        <v>0</v>
      </c>
      <c r="AH24" s="87">
        <v>1</v>
      </c>
      <c r="AI24" s="114">
        <f t="shared" si="2"/>
        <v>0</v>
      </c>
      <c r="AJ24" s="87"/>
      <c r="AK24" s="87"/>
      <c r="AL24" s="87"/>
      <c r="AM24" s="87"/>
      <c r="AN24" s="87">
        <f t="shared" si="3"/>
        <v>0</v>
      </c>
      <c r="AO24" s="87"/>
      <c r="AP24" s="87">
        <f t="shared" si="4"/>
        <v>0</v>
      </c>
      <c r="AQ24" s="87"/>
      <c r="AR24" s="87"/>
      <c r="AS24" s="87">
        <f t="shared" si="5"/>
        <v>0</v>
      </c>
      <c r="AT24" s="87"/>
      <c r="AU24" s="87">
        <f t="shared" si="6"/>
        <v>0</v>
      </c>
      <c r="AV24" s="114">
        <f t="shared" si="7"/>
        <v>0</v>
      </c>
      <c r="AW24" s="87">
        <f t="shared" si="8"/>
        <v>0</v>
      </c>
      <c r="AX24" s="114">
        <f>'Tổng hợp VT'!K28</f>
        <v>10400</v>
      </c>
      <c r="AY24" s="87">
        <f t="shared" si="9"/>
        <v>10400</v>
      </c>
      <c r="AZ24" s="87">
        <f t="shared" si="10"/>
        <v>1572480</v>
      </c>
      <c r="BA24" s="73">
        <v>1</v>
      </c>
    </row>
    <row r="25" spans="1:53" ht="45" x14ac:dyDescent="0.15">
      <c r="A25" s="174">
        <v>20</v>
      </c>
      <c r="B25" s="175" t="s">
        <v>294</v>
      </c>
      <c r="C25" s="94" t="s">
        <v>295</v>
      </c>
      <c r="D25" s="175" t="s">
        <v>251</v>
      </c>
      <c r="E25" s="176">
        <f>'Tổng hợp VT'!E29</f>
        <v>245126.5442</v>
      </c>
      <c r="F25" s="94" t="s">
        <v>547</v>
      </c>
      <c r="G25" s="177">
        <v>1E-3</v>
      </c>
      <c r="H25" s="94"/>
      <c r="I25" s="178" t="s">
        <v>543</v>
      </c>
      <c r="J25" s="93">
        <v>1</v>
      </c>
      <c r="K25" s="153">
        <v>1</v>
      </c>
      <c r="L25" s="176"/>
      <c r="M25" s="151"/>
      <c r="N25" s="93"/>
      <c r="O25" s="93"/>
      <c r="P25" s="95">
        <v>1</v>
      </c>
      <c r="Q25" s="151"/>
      <c r="R25" s="176">
        <v>0</v>
      </c>
      <c r="S25" s="179">
        <v>0</v>
      </c>
      <c r="T25" s="179">
        <v>0</v>
      </c>
      <c r="U25" s="176">
        <v>0</v>
      </c>
      <c r="V25" s="95">
        <v>1</v>
      </c>
      <c r="W25" s="95">
        <v>1</v>
      </c>
      <c r="X25" s="180"/>
      <c r="Y25" s="180"/>
      <c r="Z25" s="180"/>
      <c r="AA25" s="180"/>
      <c r="AB25" s="180"/>
      <c r="AC25" s="181"/>
      <c r="AD25" s="118">
        <v>1</v>
      </c>
      <c r="AE25" s="182">
        <f t="shared" si="0"/>
        <v>0</v>
      </c>
      <c r="AF25" s="118">
        <v>0</v>
      </c>
      <c r="AG25" s="118">
        <f t="shared" si="1"/>
        <v>0</v>
      </c>
      <c r="AH25" s="95">
        <v>1</v>
      </c>
      <c r="AI25" s="118">
        <f t="shared" si="2"/>
        <v>0</v>
      </c>
      <c r="AJ25" s="95"/>
      <c r="AK25" s="95"/>
      <c r="AL25" s="95"/>
      <c r="AM25" s="95"/>
      <c r="AN25" s="95">
        <f t="shared" si="3"/>
        <v>0</v>
      </c>
      <c r="AO25" s="95"/>
      <c r="AP25" s="95">
        <f t="shared" si="4"/>
        <v>0</v>
      </c>
      <c r="AQ25" s="95"/>
      <c r="AR25" s="95"/>
      <c r="AS25" s="95">
        <f t="shared" si="5"/>
        <v>0</v>
      </c>
      <c r="AT25" s="95"/>
      <c r="AU25" s="95">
        <f t="shared" si="6"/>
        <v>0</v>
      </c>
      <c r="AV25" s="118">
        <f t="shared" si="7"/>
        <v>0</v>
      </c>
      <c r="AW25" s="95">
        <f t="shared" si="8"/>
        <v>0</v>
      </c>
      <c r="AX25" s="118">
        <f>'Tổng hợp VT'!K29</f>
        <v>1597</v>
      </c>
      <c r="AY25" s="95">
        <f t="shared" si="9"/>
        <v>1597</v>
      </c>
      <c r="AZ25" s="95">
        <f t="shared" si="10"/>
        <v>391467091</v>
      </c>
      <c r="BA25" s="73">
        <v>1</v>
      </c>
    </row>
  </sheetData>
  <mergeCells count="46">
    <mergeCell ref="A1:AZ1"/>
    <mergeCell ref="A2:AZ2"/>
    <mergeCell ref="A4:A5"/>
    <mergeCell ref="B4:B5"/>
    <mergeCell ref="C4:C5"/>
    <mergeCell ref="D4:D5"/>
    <mergeCell ref="E4:E5"/>
    <mergeCell ref="F4:F5"/>
    <mergeCell ref="G4:G5"/>
    <mergeCell ref="H4:H5"/>
    <mergeCell ref="AC4:AC5"/>
    <mergeCell ref="I4:I5"/>
    <mergeCell ref="J4:J5"/>
    <mergeCell ref="K4:K5"/>
    <mergeCell ref="L4:L5"/>
    <mergeCell ref="V4:V5"/>
    <mergeCell ref="W4:W5"/>
    <mergeCell ref="AT4:AT5"/>
    <mergeCell ref="AU4:AU5"/>
    <mergeCell ref="AJ4:AJ5"/>
    <mergeCell ref="AK4:AK5"/>
    <mergeCell ref="AL4:AL5"/>
    <mergeCell ref="AM4:AM5"/>
    <mergeCell ref="AN4:AN5"/>
    <mergeCell ref="AO4:AO5"/>
    <mergeCell ref="M4:T4"/>
    <mergeCell ref="AP4:AP5"/>
    <mergeCell ref="AQ4:AQ5"/>
    <mergeCell ref="AR4:AR5"/>
    <mergeCell ref="AS4:AS5"/>
    <mergeCell ref="AD4:AD5"/>
    <mergeCell ref="AE4:AE5"/>
    <mergeCell ref="AF4:AF5"/>
    <mergeCell ref="AG4:AG5"/>
    <mergeCell ref="AH4:AH5"/>
    <mergeCell ref="AI4:AI5"/>
    <mergeCell ref="X4:X5"/>
    <mergeCell ref="Y4:Y5"/>
    <mergeCell ref="Z4:Z5"/>
    <mergeCell ref="AA4:AA5"/>
    <mergeCell ref="AB4:AB5"/>
    <mergeCell ref="AV4:AV5"/>
    <mergeCell ref="AW4:AW5"/>
    <mergeCell ref="AX4:AX5"/>
    <mergeCell ref="AY4:AY5"/>
    <mergeCell ref="AZ4:AZ5"/>
  </mergeCells>
  <pageMargins left="1.0208333333333333" right="0" top="0.80208333333333337" bottom="0.80208333333333337" header="0.40625" footer="0.40625"/>
  <pageSetup paperSize="9" orientation="landscape" blackAndWhite="1" verticalDpi="0"/>
  <headerFooter alignWithMargins="0">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828E5-65AF-7A40-A659-FBF3B210CF98}">
  <dimension ref="A1:AB25"/>
  <sheetViews>
    <sheetView showZeros="0" workbookViewId="0">
      <pane ySplit="5" topLeftCell="A6" activePane="bottomLeft" state="frozenSplit"/>
      <selection pane="bottomLeft" sqref="A1:AA1"/>
    </sheetView>
  </sheetViews>
  <sheetFormatPr baseColWidth="10" defaultColWidth="10" defaultRowHeight="15" customHeight="1" x14ac:dyDescent="0.15"/>
  <cols>
    <col min="1" max="1" width="6.75" style="183" customWidth="1"/>
    <col min="2" max="2" width="13.25" style="183" customWidth="1"/>
    <col min="3" max="3" width="15.75" style="73" customWidth="1"/>
    <col min="4" max="4" width="6.75" style="183" customWidth="1"/>
    <col min="5" max="5" width="13.25" style="183" hidden="1" customWidth="1"/>
    <col min="6" max="6" width="46.25" style="73" hidden="1" customWidth="1"/>
    <col min="7" max="7" width="11.25" style="73" customWidth="1"/>
    <col min="8" max="8" width="5.75" style="73" customWidth="1"/>
    <col min="9" max="9" width="9.5" style="73" customWidth="1"/>
    <col min="10" max="10" width="6" style="73" customWidth="1"/>
    <col min="11" max="11" width="9.5" style="183" customWidth="1"/>
    <col min="12" max="17" width="13.25" style="73" customWidth="1"/>
    <col min="18" max="18" width="7.5" style="73" customWidth="1"/>
    <col min="19" max="19" width="13.25" style="73" customWidth="1"/>
    <col min="20" max="22" width="7.5" style="73" customWidth="1"/>
    <col min="23" max="23" width="13.25" style="73" customWidth="1"/>
    <col min="24" max="24" width="18" style="183" hidden="1" customWidth="1"/>
    <col min="25" max="27" width="13.25" style="183" hidden="1" customWidth="1"/>
    <col min="28" max="16384" width="10" style="73"/>
  </cols>
  <sheetData>
    <row r="1" spans="1:28" ht="26.25" customHeight="1" x14ac:dyDescent="0.15">
      <c r="A1" s="354" t="s">
        <v>548</v>
      </c>
      <c r="B1" s="355"/>
      <c r="C1" s="343"/>
      <c r="D1" s="355"/>
      <c r="E1" s="355"/>
      <c r="F1" s="343"/>
      <c r="G1" s="343"/>
      <c r="H1" s="343"/>
      <c r="I1" s="343"/>
      <c r="J1" s="343"/>
      <c r="K1" s="355"/>
      <c r="L1" s="343"/>
      <c r="M1" s="343"/>
      <c r="N1" s="343"/>
      <c r="O1" s="343"/>
      <c r="P1" s="343"/>
      <c r="Q1" s="343"/>
      <c r="R1" s="343"/>
      <c r="S1" s="343"/>
      <c r="T1" s="343"/>
      <c r="U1" s="343"/>
      <c r="V1" s="343"/>
      <c r="W1" s="343"/>
      <c r="X1" s="355"/>
      <c r="Y1" s="355"/>
      <c r="Z1" s="355"/>
      <c r="AA1" s="355"/>
    </row>
    <row r="2" spans="1:28" ht="30" customHeight="1" x14ac:dyDescent="0.15">
      <c r="A2" s="356" t="str">
        <f>'Công trình'!A2</f>
        <v>CÔNG TRÌNH : XÂY DỰNG HỆ THỐNG CỐNG HỘP KÊNH BẾN KEM ĐOẠN TỪ NHÀ ÔNG CHÍN ĐẾN KÊNH ĐẠI TRÀ 2, XÃ KIẾN MINH</v>
      </c>
      <c r="B2" s="355"/>
      <c r="C2" s="343"/>
      <c r="D2" s="355"/>
      <c r="E2" s="355"/>
      <c r="F2" s="343"/>
      <c r="G2" s="343"/>
      <c r="H2" s="343"/>
      <c r="I2" s="343"/>
      <c r="J2" s="343"/>
      <c r="K2" s="355"/>
      <c r="L2" s="343"/>
      <c r="M2" s="343"/>
      <c r="N2" s="343"/>
      <c r="O2" s="343"/>
      <c r="P2" s="343"/>
      <c r="Q2" s="343"/>
      <c r="R2" s="343"/>
      <c r="S2" s="343"/>
      <c r="T2" s="343"/>
      <c r="U2" s="343"/>
      <c r="V2" s="343"/>
      <c r="W2" s="343"/>
      <c r="X2" s="355"/>
      <c r="Y2" s="355"/>
      <c r="Z2" s="355"/>
      <c r="AA2" s="355"/>
    </row>
    <row r="3" spans="1:28" ht="15" hidden="1" customHeight="1" x14ac:dyDescent="0.15"/>
    <row r="4" spans="1:28" ht="67.5" customHeight="1" x14ac:dyDescent="0.15">
      <c r="A4" s="357" t="s">
        <v>4</v>
      </c>
      <c r="B4" s="352" t="s">
        <v>224</v>
      </c>
      <c r="C4" s="331" t="s">
        <v>549</v>
      </c>
      <c r="D4" s="352" t="s">
        <v>492</v>
      </c>
      <c r="E4" s="352" t="s">
        <v>493</v>
      </c>
      <c r="F4" s="331" t="s">
        <v>494</v>
      </c>
      <c r="G4" s="331" t="s">
        <v>550</v>
      </c>
      <c r="H4" s="331" t="s">
        <v>551</v>
      </c>
      <c r="I4" s="331" t="s">
        <v>552</v>
      </c>
      <c r="J4" s="331" t="s">
        <v>553</v>
      </c>
      <c r="K4" s="352" t="s">
        <v>554</v>
      </c>
      <c r="L4" s="333" t="s">
        <v>555</v>
      </c>
      <c r="M4" s="333" t="str">
        <f>""</f>
        <v/>
      </c>
      <c r="N4" s="334" t="str">
        <f>""</f>
        <v/>
      </c>
      <c r="O4" s="333" t="s">
        <v>556</v>
      </c>
      <c r="P4" s="333" t="str">
        <f>""</f>
        <v/>
      </c>
      <c r="Q4" s="334" t="str">
        <f>""</f>
        <v/>
      </c>
      <c r="R4" s="331" t="s">
        <v>557</v>
      </c>
      <c r="S4" s="331" t="s">
        <v>558</v>
      </c>
      <c r="T4" s="331" t="s">
        <v>559</v>
      </c>
      <c r="U4" s="331" t="s">
        <v>560</v>
      </c>
      <c r="V4" s="331" t="s">
        <v>561</v>
      </c>
      <c r="W4" s="331" t="s">
        <v>562</v>
      </c>
      <c r="X4" s="352" t="s">
        <v>563</v>
      </c>
      <c r="Y4" s="352" t="s">
        <v>530</v>
      </c>
      <c r="Z4" s="352" t="s">
        <v>531</v>
      </c>
      <c r="AA4" s="352" t="s">
        <v>532</v>
      </c>
      <c r="AB4" s="184" t="s">
        <v>564</v>
      </c>
    </row>
    <row r="5" spans="1:28" ht="28.5" customHeight="1" x14ac:dyDescent="0.15">
      <c r="A5" s="358" t="str">
        <f>""</f>
        <v/>
      </c>
      <c r="B5" s="353" t="str">
        <f>""</f>
        <v/>
      </c>
      <c r="C5" s="332" t="str">
        <f>""</f>
        <v/>
      </c>
      <c r="D5" s="353" t="str">
        <f>""</f>
        <v/>
      </c>
      <c r="E5" s="353" t="str">
        <f>""</f>
        <v/>
      </c>
      <c r="F5" s="332" t="str">
        <f>""</f>
        <v/>
      </c>
      <c r="G5" s="332" t="str">
        <f>""</f>
        <v/>
      </c>
      <c r="H5" s="332" t="str">
        <f>""</f>
        <v/>
      </c>
      <c r="I5" s="332" t="str">
        <f>""</f>
        <v/>
      </c>
      <c r="J5" s="332" t="str">
        <f>""</f>
        <v/>
      </c>
      <c r="K5" s="353" t="str">
        <f>""</f>
        <v/>
      </c>
      <c r="L5" s="21" t="s">
        <v>565</v>
      </c>
      <c r="M5" s="21" t="s">
        <v>566</v>
      </c>
      <c r="N5" s="21" t="s">
        <v>567</v>
      </c>
      <c r="O5" s="21" t="s">
        <v>565</v>
      </c>
      <c r="P5" s="21" t="s">
        <v>566</v>
      </c>
      <c r="Q5" s="21" t="s">
        <v>567</v>
      </c>
      <c r="R5" s="332" t="str">
        <f>""</f>
        <v/>
      </c>
      <c r="S5" s="332" t="str">
        <f>""</f>
        <v/>
      </c>
      <c r="T5" s="332" t="str">
        <f>""</f>
        <v/>
      </c>
      <c r="U5" s="332" t="str">
        <f>""</f>
        <v/>
      </c>
      <c r="V5" s="332" t="str">
        <f>""</f>
        <v/>
      </c>
      <c r="W5" s="332" t="str">
        <f>""</f>
        <v/>
      </c>
      <c r="X5" s="353" t="str">
        <f>""</f>
        <v/>
      </c>
      <c r="Y5" s="353" t="str">
        <f>""</f>
        <v/>
      </c>
      <c r="Z5" s="353" t="str">
        <f>""</f>
        <v/>
      </c>
      <c r="AA5" s="353" t="str">
        <f>""</f>
        <v/>
      </c>
      <c r="AB5" s="185">
        <v>100000</v>
      </c>
    </row>
    <row r="6" spans="1:28" ht="30" x14ac:dyDescent="0.15">
      <c r="A6" s="165">
        <v>1</v>
      </c>
      <c r="B6" s="166" t="s">
        <v>232</v>
      </c>
      <c r="C6" s="86" t="s">
        <v>233</v>
      </c>
      <c r="D6" s="166" t="s">
        <v>91</v>
      </c>
      <c r="E6" s="167">
        <f>'Tổng hợp VT'!E10</f>
        <v>1082.5487000000001</v>
      </c>
      <c r="F6" s="86" t="s">
        <v>568</v>
      </c>
      <c r="G6" s="169"/>
      <c r="H6" s="89" t="b">
        <v>0</v>
      </c>
      <c r="I6" s="150"/>
      <c r="J6" s="87">
        <v>1</v>
      </c>
      <c r="K6" s="167"/>
      <c r="L6" s="172"/>
      <c r="M6" s="172"/>
      <c r="N6" s="172"/>
      <c r="O6" s="114"/>
      <c r="P6" s="114"/>
      <c r="Q6" s="114"/>
      <c r="R6" s="87">
        <v>1</v>
      </c>
      <c r="S6" s="114"/>
      <c r="T6" s="87">
        <v>1</v>
      </c>
      <c r="U6" s="87">
        <v>1</v>
      </c>
      <c r="V6" s="172">
        <v>1</v>
      </c>
      <c r="W6" s="114">
        <f t="shared" ref="W6:W25" si="0">ROUND(SUM(S6:S6)*T6*U6*V6,1)</f>
        <v>0</v>
      </c>
      <c r="X6" s="173"/>
      <c r="Y6" s="173">
        <f>'Tổng hợp VT'!K10</f>
        <v>280000</v>
      </c>
      <c r="Z6" s="170">
        <f>ROUND(W6+Y6,0)</f>
        <v>280000</v>
      </c>
      <c r="AA6" s="170">
        <f>ROUND(E6*Z6,0)</f>
        <v>303113636</v>
      </c>
    </row>
    <row r="7" spans="1:28" ht="30" x14ac:dyDescent="0.15">
      <c r="A7" s="165">
        <v>2</v>
      </c>
      <c r="B7" s="166" t="s">
        <v>236</v>
      </c>
      <c r="C7" s="86" t="s">
        <v>237</v>
      </c>
      <c r="D7" s="166" t="s">
        <v>91</v>
      </c>
      <c r="E7" s="167">
        <f>'Tổng hợp VT'!E11</f>
        <v>357.71083603749997</v>
      </c>
      <c r="F7" s="86" t="s">
        <v>568</v>
      </c>
      <c r="G7" s="169"/>
      <c r="H7" s="89" t="b">
        <v>0</v>
      </c>
      <c r="I7" s="150"/>
      <c r="J7" s="87">
        <v>1</v>
      </c>
      <c r="K7" s="167"/>
      <c r="L7" s="172"/>
      <c r="M7" s="172"/>
      <c r="N7" s="172"/>
      <c r="O7" s="114"/>
      <c r="P7" s="114"/>
      <c r="Q7" s="114"/>
      <c r="R7" s="87">
        <v>1</v>
      </c>
      <c r="S7" s="114"/>
      <c r="T7" s="87">
        <v>1</v>
      </c>
      <c r="U7" s="87">
        <v>1</v>
      </c>
      <c r="V7" s="172">
        <v>1</v>
      </c>
      <c r="W7" s="114">
        <f t="shared" si="0"/>
        <v>0</v>
      </c>
      <c r="X7" s="173"/>
      <c r="Y7" s="173">
        <f>'Tổng hợp VT'!K11</f>
        <v>750000</v>
      </c>
      <c r="Z7" s="170">
        <f>ROUND(W7+Y7,0)</f>
        <v>750000</v>
      </c>
      <c r="AA7" s="170">
        <f>ROUND(E7*Z7,0)</f>
        <v>268283127</v>
      </c>
    </row>
    <row r="8" spans="1:28" ht="30" x14ac:dyDescent="0.15">
      <c r="A8" s="165">
        <v>3</v>
      </c>
      <c r="B8" s="166" t="s">
        <v>240</v>
      </c>
      <c r="C8" s="86" t="s">
        <v>241</v>
      </c>
      <c r="D8" s="166" t="s">
        <v>84</v>
      </c>
      <c r="E8" s="167">
        <f>'Tổng hợp VT'!E12</f>
        <v>779.82299999999998</v>
      </c>
      <c r="F8" s="86" t="s">
        <v>569</v>
      </c>
      <c r="G8" s="169"/>
      <c r="H8" s="89" t="b">
        <v>0</v>
      </c>
      <c r="I8" s="150"/>
      <c r="J8" s="87">
        <v>1</v>
      </c>
      <c r="K8" s="167"/>
      <c r="L8" s="172"/>
      <c r="M8" s="172"/>
      <c r="N8" s="172"/>
      <c r="O8" s="114"/>
      <c r="P8" s="114"/>
      <c r="Q8" s="114"/>
      <c r="R8" s="87">
        <v>1</v>
      </c>
      <c r="S8" s="114"/>
      <c r="T8" s="87">
        <v>1</v>
      </c>
      <c r="U8" s="87">
        <v>1</v>
      </c>
      <c r="V8" s="172">
        <v>0.01</v>
      </c>
      <c r="W8" s="114">
        <f t="shared" si="0"/>
        <v>0</v>
      </c>
      <c r="X8" s="173"/>
      <c r="Y8" s="173">
        <f>'Tổng hợp VT'!K12</f>
        <v>22000</v>
      </c>
      <c r="Z8" s="170">
        <f>ROUND(W8+Y8,0)</f>
        <v>22000</v>
      </c>
      <c r="AA8" s="170">
        <f>ROUND(E8*Z8,0)</f>
        <v>17156106</v>
      </c>
    </row>
    <row r="9" spans="1:28" ht="30" x14ac:dyDescent="0.15">
      <c r="A9" s="165">
        <v>4</v>
      </c>
      <c r="B9" s="166" t="s">
        <v>243</v>
      </c>
      <c r="C9" s="86" t="s">
        <v>244</v>
      </c>
      <c r="D9" s="166" t="s">
        <v>65</v>
      </c>
      <c r="E9" s="167">
        <f>'Tổng hợp VT'!E13</f>
        <v>49625.1</v>
      </c>
      <c r="F9" s="86"/>
      <c r="G9" s="169"/>
      <c r="H9" s="89" t="b">
        <v>0</v>
      </c>
      <c r="I9" s="150"/>
      <c r="J9" s="87">
        <v>1</v>
      </c>
      <c r="K9" s="167"/>
      <c r="L9" s="172"/>
      <c r="M9" s="172"/>
      <c r="N9" s="172"/>
      <c r="O9" s="114"/>
      <c r="P9" s="114"/>
      <c r="Q9" s="114"/>
      <c r="R9" s="87">
        <v>1</v>
      </c>
      <c r="S9" s="114"/>
      <c r="T9" s="87">
        <v>1</v>
      </c>
      <c r="U9" s="87">
        <v>1</v>
      </c>
      <c r="V9" s="172">
        <v>1</v>
      </c>
      <c r="W9" s="114">
        <f t="shared" si="0"/>
        <v>0</v>
      </c>
      <c r="X9" s="173"/>
      <c r="Y9" s="173">
        <f>'Tổng hợp VT'!K13</f>
        <v>4800</v>
      </c>
      <c r="Z9" s="170">
        <f>ROUND(W9+Y9,0)</f>
        <v>4800</v>
      </c>
      <c r="AA9" s="170">
        <f>ROUND(E9*Z9,0)</f>
        <v>238200480</v>
      </c>
    </row>
    <row r="10" spans="1:28" ht="30" x14ac:dyDescent="0.15">
      <c r="A10" s="165">
        <v>5</v>
      </c>
      <c r="B10" s="166" t="s">
        <v>246</v>
      </c>
      <c r="C10" s="86" t="s">
        <v>247</v>
      </c>
      <c r="D10" s="166" t="s">
        <v>65</v>
      </c>
      <c r="E10" s="167">
        <f>'Tổng hợp VT'!E14</f>
        <v>9608</v>
      </c>
      <c r="F10" s="86"/>
      <c r="G10" s="169"/>
      <c r="H10" s="89" t="b">
        <v>0</v>
      </c>
      <c r="I10" s="150"/>
      <c r="J10" s="87">
        <v>1</v>
      </c>
      <c r="K10" s="167"/>
      <c r="L10" s="172"/>
      <c r="M10" s="172"/>
      <c r="N10" s="172"/>
      <c r="O10" s="114"/>
      <c r="P10" s="114"/>
      <c r="Q10" s="114"/>
      <c r="R10" s="87">
        <v>1</v>
      </c>
      <c r="S10" s="114"/>
      <c r="T10" s="87">
        <v>1</v>
      </c>
      <c r="U10" s="87">
        <v>1</v>
      </c>
      <c r="V10" s="172">
        <v>1</v>
      </c>
      <c r="W10" s="114">
        <f t="shared" si="0"/>
        <v>0</v>
      </c>
      <c r="X10" s="173"/>
      <c r="Y10" s="173"/>
      <c r="Z10" s="170"/>
      <c r="AA10" s="170"/>
    </row>
    <row r="11" spans="1:28" ht="30" x14ac:dyDescent="0.15">
      <c r="A11" s="165">
        <v>6</v>
      </c>
      <c r="B11" s="166" t="s">
        <v>249</v>
      </c>
      <c r="C11" s="86" t="s">
        <v>250</v>
      </c>
      <c r="D11" s="166" t="s">
        <v>251</v>
      </c>
      <c r="E11" s="167">
        <f>'Tổng hợp VT'!E15</f>
        <v>1068.904125</v>
      </c>
      <c r="F11" s="86" t="s">
        <v>544</v>
      </c>
      <c r="G11" s="169"/>
      <c r="H11" s="89" t="b">
        <v>0</v>
      </c>
      <c r="I11" s="150"/>
      <c r="J11" s="87">
        <v>1</v>
      </c>
      <c r="K11" s="167"/>
      <c r="L11" s="172"/>
      <c r="M11" s="172"/>
      <c r="N11" s="172"/>
      <c r="O11" s="114"/>
      <c r="P11" s="114"/>
      <c r="Q11" s="114"/>
      <c r="R11" s="87">
        <v>1</v>
      </c>
      <c r="S11" s="114"/>
      <c r="T11" s="87">
        <v>1</v>
      </c>
      <c r="U11" s="87">
        <v>1</v>
      </c>
      <c r="V11" s="172">
        <v>1E-3</v>
      </c>
      <c r="W11" s="114">
        <f t="shared" si="0"/>
        <v>0</v>
      </c>
      <c r="X11" s="173"/>
      <c r="Y11" s="173">
        <f>'Tổng hợp VT'!K15</f>
        <v>12627</v>
      </c>
      <c r="Z11" s="170">
        <f t="shared" ref="Z11:Z25" si="1">ROUND(W11+Y11,0)</f>
        <v>12627</v>
      </c>
      <c r="AA11" s="170">
        <f t="shared" ref="AA11:AA25" si="2">ROUND(E11*Z11,0)</f>
        <v>13497052</v>
      </c>
    </row>
    <row r="12" spans="1:28" ht="30" x14ac:dyDescent="0.15">
      <c r="A12" s="165">
        <v>7</v>
      </c>
      <c r="B12" s="166" t="s">
        <v>253</v>
      </c>
      <c r="C12" s="86" t="s">
        <v>254</v>
      </c>
      <c r="D12" s="166" t="s">
        <v>251</v>
      </c>
      <c r="E12" s="167">
        <f>'Tổng hợp VT'!E16</f>
        <v>607.82014300000003</v>
      </c>
      <c r="F12" s="86" t="s">
        <v>544</v>
      </c>
      <c r="G12" s="169"/>
      <c r="H12" s="89" t="b">
        <v>0</v>
      </c>
      <c r="I12" s="150"/>
      <c r="J12" s="87">
        <v>1</v>
      </c>
      <c r="K12" s="167"/>
      <c r="L12" s="172"/>
      <c r="M12" s="172"/>
      <c r="N12" s="172"/>
      <c r="O12" s="114"/>
      <c r="P12" s="114"/>
      <c r="Q12" s="114"/>
      <c r="R12" s="87">
        <v>1</v>
      </c>
      <c r="S12" s="114"/>
      <c r="T12" s="87">
        <v>1</v>
      </c>
      <c r="U12" s="87">
        <v>1</v>
      </c>
      <c r="V12" s="172">
        <v>1E-3</v>
      </c>
      <c r="W12" s="114">
        <f t="shared" si="0"/>
        <v>0</v>
      </c>
      <c r="X12" s="173"/>
      <c r="Y12" s="173">
        <f>'Tổng hợp VT'!K16</f>
        <v>20000</v>
      </c>
      <c r="Z12" s="170">
        <f t="shared" si="1"/>
        <v>20000</v>
      </c>
      <c r="AA12" s="170">
        <f t="shared" si="2"/>
        <v>12156403</v>
      </c>
    </row>
    <row r="13" spans="1:28" ht="30" x14ac:dyDescent="0.15">
      <c r="A13" s="165">
        <v>8</v>
      </c>
      <c r="B13" s="166" t="s">
        <v>256</v>
      </c>
      <c r="C13" s="86" t="s">
        <v>257</v>
      </c>
      <c r="D13" s="166" t="s">
        <v>91</v>
      </c>
      <c r="E13" s="167">
        <f>'Tổng hợp VT'!E17</f>
        <v>589.23498971499987</v>
      </c>
      <c r="F13" s="86" t="s">
        <v>570</v>
      </c>
      <c r="G13" s="169"/>
      <c r="H13" s="89" t="b">
        <v>0</v>
      </c>
      <c r="I13" s="150"/>
      <c r="J13" s="87">
        <v>1</v>
      </c>
      <c r="K13" s="167"/>
      <c r="L13" s="172"/>
      <c r="M13" s="172"/>
      <c r="N13" s="172"/>
      <c r="O13" s="114"/>
      <c r="P13" s="114"/>
      <c r="Q13" s="114"/>
      <c r="R13" s="87">
        <v>1</v>
      </c>
      <c r="S13" s="114"/>
      <c r="T13" s="87">
        <v>1</v>
      </c>
      <c r="U13" s="87">
        <v>1</v>
      </c>
      <c r="V13" s="172">
        <v>1</v>
      </c>
      <c r="W13" s="114">
        <f t="shared" si="0"/>
        <v>0</v>
      </c>
      <c r="X13" s="173"/>
      <c r="Y13" s="173">
        <f>'Tổng hợp VT'!K17</f>
        <v>470000</v>
      </c>
      <c r="Z13" s="170">
        <f t="shared" si="1"/>
        <v>470000</v>
      </c>
      <c r="AA13" s="170">
        <f t="shared" si="2"/>
        <v>276940445</v>
      </c>
    </row>
    <row r="14" spans="1:28" ht="30" x14ac:dyDescent="0.15">
      <c r="A14" s="165">
        <v>9</v>
      </c>
      <c r="B14" s="166" t="s">
        <v>260</v>
      </c>
      <c r="C14" s="86" t="s">
        <v>261</v>
      </c>
      <c r="D14" s="166" t="s">
        <v>91</v>
      </c>
      <c r="E14" s="167">
        <f>'Tổng hợp VT'!E18</f>
        <v>4.7262000000000004</v>
      </c>
      <c r="F14" s="86" t="s">
        <v>546</v>
      </c>
      <c r="G14" s="169"/>
      <c r="H14" s="89" t="b">
        <v>0</v>
      </c>
      <c r="I14" s="150"/>
      <c r="J14" s="87">
        <v>1</v>
      </c>
      <c r="K14" s="167"/>
      <c r="L14" s="172"/>
      <c r="M14" s="172"/>
      <c r="N14" s="172"/>
      <c r="O14" s="114"/>
      <c r="P14" s="114"/>
      <c r="Q14" s="114"/>
      <c r="R14" s="87">
        <v>1</v>
      </c>
      <c r="S14" s="114"/>
      <c r="T14" s="87">
        <v>1</v>
      </c>
      <c r="U14" s="87">
        <v>1</v>
      </c>
      <c r="V14" s="172">
        <v>1</v>
      </c>
      <c r="W14" s="114">
        <f t="shared" si="0"/>
        <v>0</v>
      </c>
      <c r="X14" s="173"/>
      <c r="Y14" s="173">
        <f>'Tổng hợp VT'!K18</f>
        <v>3300000</v>
      </c>
      <c r="Z14" s="170">
        <f t="shared" si="1"/>
        <v>3300000</v>
      </c>
      <c r="AA14" s="170">
        <f t="shared" si="2"/>
        <v>15596460</v>
      </c>
    </row>
    <row r="15" spans="1:28" ht="30" x14ac:dyDescent="0.15">
      <c r="A15" s="165">
        <v>10</v>
      </c>
      <c r="B15" s="166" t="s">
        <v>264</v>
      </c>
      <c r="C15" s="86" t="s">
        <v>265</v>
      </c>
      <c r="D15" s="166" t="s">
        <v>266</v>
      </c>
      <c r="E15" s="167">
        <f>'Tổng hợp VT'!E19</f>
        <v>130221.99614749997</v>
      </c>
      <c r="F15" s="86"/>
      <c r="G15" s="169"/>
      <c r="H15" s="89" t="b">
        <v>0</v>
      </c>
      <c r="I15" s="150"/>
      <c r="J15" s="87">
        <v>1</v>
      </c>
      <c r="K15" s="167"/>
      <c r="L15" s="172"/>
      <c r="M15" s="172"/>
      <c r="N15" s="172"/>
      <c r="O15" s="114"/>
      <c r="P15" s="114"/>
      <c r="Q15" s="114"/>
      <c r="R15" s="87">
        <v>1</v>
      </c>
      <c r="S15" s="114"/>
      <c r="T15" s="87">
        <v>1</v>
      </c>
      <c r="U15" s="87">
        <v>1</v>
      </c>
      <c r="V15" s="172">
        <v>1</v>
      </c>
      <c r="W15" s="114">
        <f t="shared" si="0"/>
        <v>0</v>
      </c>
      <c r="X15" s="173"/>
      <c r="Y15" s="173">
        <f>'Tổng hợp VT'!K19</f>
        <v>12</v>
      </c>
      <c r="Z15" s="170">
        <f t="shared" si="1"/>
        <v>12</v>
      </c>
      <c r="AA15" s="170">
        <f t="shared" si="2"/>
        <v>1562664</v>
      </c>
    </row>
    <row r="16" spans="1:28" ht="30" x14ac:dyDescent="0.15">
      <c r="A16" s="165">
        <v>11</v>
      </c>
      <c r="B16" s="166" t="s">
        <v>268</v>
      </c>
      <c r="C16" s="86" t="s">
        <v>269</v>
      </c>
      <c r="D16" s="166" t="s">
        <v>65</v>
      </c>
      <c r="E16" s="167">
        <f>'Tổng hợp VT'!E20</f>
        <v>5.7645000000000008</v>
      </c>
      <c r="F16" s="86"/>
      <c r="G16" s="169"/>
      <c r="H16" s="89" t="b">
        <v>0</v>
      </c>
      <c r="I16" s="150"/>
      <c r="J16" s="87">
        <v>1</v>
      </c>
      <c r="K16" s="167"/>
      <c r="L16" s="172"/>
      <c r="M16" s="172"/>
      <c r="N16" s="172"/>
      <c r="O16" s="114"/>
      <c r="P16" s="114"/>
      <c r="Q16" s="114"/>
      <c r="R16" s="87">
        <v>1</v>
      </c>
      <c r="S16" s="114"/>
      <c r="T16" s="87">
        <v>1</v>
      </c>
      <c r="U16" s="87">
        <v>1</v>
      </c>
      <c r="V16" s="172">
        <v>1</v>
      </c>
      <c r="W16" s="114">
        <f t="shared" si="0"/>
        <v>0</v>
      </c>
      <c r="X16" s="173"/>
      <c r="Y16" s="173">
        <f>'Tổng hợp VT'!K20</f>
        <v>350000</v>
      </c>
      <c r="Z16" s="170">
        <f t="shared" si="1"/>
        <v>350000</v>
      </c>
      <c r="AA16" s="170">
        <f t="shared" si="2"/>
        <v>2017575</v>
      </c>
    </row>
    <row r="17" spans="1:27" ht="30" x14ac:dyDescent="0.15">
      <c r="A17" s="165">
        <v>12</v>
      </c>
      <c r="B17" s="166" t="s">
        <v>271</v>
      </c>
      <c r="C17" s="86" t="s">
        <v>272</v>
      </c>
      <c r="D17" s="166" t="s">
        <v>65</v>
      </c>
      <c r="E17" s="167">
        <f>'Tổng hợp VT'!E21</f>
        <v>5.7645000000000008</v>
      </c>
      <c r="F17" s="86"/>
      <c r="G17" s="169"/>
      <c r="H17" s="89" t="b">
        <v>0</v>
      </c>
      <c r="I17" s="150"/>
      <c r="J17" s="87">
        <v>1</v>
      </c>
      <c r="K17" s="167"/>
      <c r="L17" s="172"/>
      <c r="M17" s="172"/>
      <c r="N17" s="172"/>
      <c r="O17" s="114"/>
      <c r="P17" s="114"/>
      <c r="Q17" s="114"/>
      <c r="R17" s="87">
        <v>1</v>
      </c>
      <c r="S17" s="114"/>
      <c r="T17" s="87">
        <v>1</v>
      </c>
      <c r="U17" s="87">
        <v>1</v>
      </c>
      <c r="V17" s="172">
        <v>1</v>
      </c>
      <c r="W17" s="114">
        <f t="shared" si="0"/>
        <v>0</v>
      </c>
      <c r="X17" s="173"/>
      <c r="Y17" s="173">
        <f>'Tổng hợp VT'!K21</f>
        <v>550000</v>
      </c>
      <c r="Z17" s="170">
        <f t="shared" si="1"/>
        <v>550000</v>
      </c>
      <c r="AA17" s="170">
        <f t="shared" si="2"/>
        <v>3170475</v>
      </c>
    </row>
    <row r="18" spans="1:27" ht="30" x14ac:dyDescent="0.15">
      <c r="A18" s="165">
        <v>13</v>
      </c>
      <c r="B18" s="166" t="s">
        <v>273</v>
      </c>
      <c r="C18" s="86" t="s">
        <v>274</v>
      </c>
      <c r="D18" s="166" t="s">
        <v>65</v>
      </c>
      <c r="E18" s="167">
        <f>'Tổng hợp VT'!E22</f>
        <v>5.7645000000000008</v>
      </c>
      <c r="F18" s="86"/>
      <c r="G18" s="169"/>
      <c r="H18" s="89" t="b">
        <v>0</v>
      </c>
      <c r="I18" s="150"/>
      <c r="J18" s="87">
        <v>1</v>
      </c>
      <c r="K18" s="167"/>
      <c r="L18" s="172"/>
      <c r="M18" s="172"/>
      <c r="N18" s="172"/>
      <c r="O18" s="114"/>
      <c r="P18" s="114"/>
      <c r="Q18" s="114"/>
      <c r="R18" s="87">
        <v>1</v>
      </c>
      <c r="S18" s="114"/>
      <c r="T18" s="87">
        <v>1</v>
      </c>
      <c r="U18" s="87">
        <v>1</v>
      </c>
      <c r="V18" s="172">
        <v>1</v>
      </c>
      <c r="W18" s="114">
        <f t="shared" si="0"/>
        <v>0</v>
      </c>
      <c r="X18" s="173"/>
      <c r="Y18" s="173">
        <f>'Tổng hợp VT'!K22</f>
        <v>55000</v>
      </c>
      <c r="Z18" s="170">
        <f t="shared" si="1"/>
        <v>55000</v>
      </c>
      <c r="AA18" s="170">
        <f t="shared" si="2"/>
        <v>317048</v>
      </c>
    </row>
    <row r="19" spans="1:27" ht="30" x14ac:dyDescent="0.15">
      <c r="A19" s="165">
        <v>14</v>
      </c>
      <c r="B19" s="166" t="s">
        <v>275</v>
      </c>
      <c r="C19" s="86" t="s">
        <v>276</v>
      </c>
      <c r="D19" s="166" t="s">
        <v>251</v>
      </c>
      <c r="E19" s="167">
        <f>'Tổng hợp VT'!E23</f>
        <v>211.76020399999996</v>
      </c>
      <c r="F19" s="86" t="s">
        <v>544</v>
      </c>
      <c r="G19" s="169"/>
      <c r="H19" s="89" t="b">
        <v>0</v>
      </c>
      <c r="I19" s="150"/>
      <c r="J19" s="87">
        <v>1</v>
      </c>
      <c r="K19" s="167"/>
      <c r="L19" s="172"/>
      <c r="M19" s="172"/>
      <c r="N19" s="172"/>
      <c r="O19" s="114"/>
      <c r="P19" s="114"/>
      <c r="Q19" s="114"/>
      <c r="R19" s="87">
        <v>1</v>
      </c>
      <c r="S19" s="114"/>
      <c r="T19" s="87">
        <v>1</v>
      </c>
      <c r="U19" s="87">
        <v>1</v>
      </c>
      <c r="V19" s="172">
        <v>1E-3</v>
      </c>
      <c r="W19" s="114">
        <f t="shared" si="0"/>
        <v>0</v>
      </c>
      <c r="X19" s="173"/>
      <c r="Y19" s="173">
        <f>'Tổng hợp VT'!K23</f>
        <v>25000</v>
      </c>
      <c r="Z19" s="170">
        <f t="shared" si="1"/>
        <v>25000</v>
      </c>
      <c r="AA19" s="170">
        <f t="shared" si="2"/>
        <v>5294005</v>
      </c>
    </row>
    <row r="20" spans="1:27" ht="30" x14ac:dyDescent="0.15">
      <c r="A20" s="165">
        <v>15</v>
      </c>
      <c r="B20" s="166" t="s">
        <v>278</v>
      </c>
      <c r="C20" s="86" t="s">
        <v>279</v>
      </c>
      <c r="D20" s="166" t="s">
        <v>251</v>
      </c>
      <c r="E20" s="167">
        <f>'Tổng hợp VT'!E24</f>
        <v>1387.5283599999998</v>
      </c>
      <c r="F20" s="86" t="s">
        <v>544</v>
      </c>
      <c r="G20" s="169"/>
      <c r="H20" s="89" t="b">
        <v>0</v>
      </c>
      <c r="I20" s="150"/>
      <c r="J20" s="87">
        <v>1</v>
      </c>
      <c r="K20" s="167"/>
      <c r="L20" s="172"/>
      <c r="M20" s="172"/>
      <c r="N20" s="172"/>
      <c r="O20" s="114"/>
      <c r="P20" s="114"/>
      <c r="Q20" s="114"/>
      <c r="R20" s="87">
        <v>1</v>
      </c>
      <c r="S20" s="114"/>
      <c r="T20" s="87">
        <v>1</v>
      </c>
      <c r="U20" s="87">
        <v>1</v>
      </c>
      <c r="V20" s="172">
        <v>1E-3</v>
      </c>
      <c r="W20" s="114">
        <f t="shared" si="0"/>
        <v>0</v>
      </c>
      <c r="X20" s="173"/>
      <c r="Y20" s="173">
        <f>'Tổng hợp VT'!K24</f>
        <v>18800</v>
      </c>
      <c r="Z20" s="170">
        <f t="shared" si="1"/>
        <v>18800</v>
      </c>
      <c r="AA20" s="170">
        <f t="shared" si="2"/>
        <v>26085533</v>
      </c>
    </row>
    <row r="21" spans="1:27" ht="30" x14ac:dyDescent="0.15">
      <c r="A21" s="165">
        <v>16</v>
      </c>
      <c r="B21" s="166" t="s">
        <v>281</v>
      </c>
      <c r="C21" s="86" t="s">
        <v>282</v>
      </c>
      <c r="D21" s="166" t="s">
        <v>251</v>
      </c>
      <c r="E21" s="167">
        <f>'Tổng hợp VT'!E25</f>
        <v>1558.988805</v>
      </c>
      <c r="F21" s="86" t="s">
        <v>544</v>
      </c>
      <c r="G21" s="169"/>
      <c r="H21" s="89" t="b">
        <v>0</v>
      </c>
      <c r="I21" s="150"/>
      <c r="J21" s="87">
        <v>1</v>
      </c>
      <c r="K21" s="167"/>
      <c r="L21" s="172"/>
      <c r="M21" s="172"/>
      <c r="N21" s="172"/>
      <c r="O21" s="114"/>
      <c r="P21" s="114"/>
      <c r="Q21" s="114"/>
      <c r="R21" s="87">
        <v>1</v>
      </c>
      <c r="S21" s="114"/>
      <c r="T21" s="87">
        <v>1</v>
      </c>
      <c r="U21" s="87">
        <v>1</v>
      </c>
      <c r="V21" s="172">
        <v>1E-3</v>
      </c>
      <c r="W21" s="114">
        <f t="shared" si="0"/>
        <v>0</v>
      </c>
      <c r="X21" s="173"/>
      <c r="Y21" s="173">
        <f>'Tổng hợp VT'!K25</f>
        <v>18800</v>
      </c>
      <c r="Z21" s="170">
        <f t="shared" si="1"/>
        <v>18800</v>
      </c>
      <c r="AA21" s="170">
        <f t="shared" si="2"/>
        <v>29308990</v>
      </c>
    </row>
    <row r="22" spans="1:27" ht="30" x14ac:dyDescent="0.15">
      <c r="A22" s="165">
        <v>17</v>
      </c>
      <c r="B22" s="166" t="s">
        <v>284</v>
      </c>
      <c r="C22" s="86" t="s">
        <v>285</v>
      </c>
      <c r="D22" s="166" t="s">
        <v>251</v>
      </c>
      <c r="E22" s="167">
        <f>'Tổng hợp VT'!E26</f>
        <v>32017.792500000003</v>
      </c>
      <c r="F22" s="86" t="s">
        <v>544</v>
      </c>
      <c r="G22" s="169"/>
      <c r="H22" s="89" t="b">
        <v>0</v>
      </c>
      <c r="I22" s="150"/>
      <c r="J22" s="87">
        <v>1</v>
      </c>
      <c r="K22" s="167"/>
      <c r="L22" s="172"/>
      <c r="M22" s="172"/>
      <c r="N22" s="172"/>
      <c r="O22" s="114"/>
      <c r="P22" s="114"/>
      <c r="Q22" s="114"/>
      <c r="R22" s="87">
        <v>1</v>
      </c>
      <c r="S22" s="114"/>
      <c r="T22" s="87">
        <v>1</v>
      </c>
      <c r="U22" s="87">
        <v>1</v>
      </c>
      <c r="V22" s="172">
        <v>1E-3</v>
      </c>
      <c r="W22" s="114">
        <f t="shared" si="0"/>
        <v>0</v>
      </c>
      <c r="X22" s="173"/>
      <c r="Y22" s="173">
        <f>'Tổng hợp VT'!K26</f>
        <v>14700</v>
      </c>
      <c r="Z22" s="170">
        <f t="shared" si="1"/>
        <v>14700</v>
      </c>
      <c r="AA22" s="170">
        <f t="shared" si="2"/>
        <v>470661550</v>
      </c>
    </row>
    <row r="23" spans="1:27" ht="30" x14ac:dyDescent="0.15">
      <c r="A23" s="165">
        <v>18</v>
      </c>
      <c r="B23" s="166" t="s">
        <v>287</v>
      </c>
      <c r="C23" s="86" t="s">
        <v>288</v>
      </c>
      <c r="D23" s="166" t="s">
        <v>251</v>
      </c>
      <c r="E23" s="167">
        <f>'Tổng hợp VT'!E27</f>
        <v>10535.682000000001</v>
      </c>
      <c r="F23" s="86" t="s">
        <v>544</v>
      </c>
      <c r="G23" s="169"/>
      <c r="H23" s="89" t="b">
        <v>0</v>
      </c>
      <c r="I23" s="150"/>
      <c r="J23" s="87">
        <v>1</v>
      </c>
      <c r="K23" s="167"/>
      <c r="L23" s="172"/>
      <c r="M23" s="172"/>
      <c r="N23" s="172"/>
      <c r="O23" s="114"/>
      <c r="P23" s="114"/>
      <c r="Q23" s="114"/>
      <c r="R23" s="87">
        <v>1</v>
      </c>
      <c r="S23" s="114"/>
      <c r="T23" s="87">
        <v>1</v>
      </c>
      <c r="U23" s="87">
        <v>1</v>
      </c>
      <c r="V23" s="172">
        <v>1E-3</v>
      </c>
      <c r="W23" s="114">
        <f t="shared" si="0"/>
        <v>0</v>
      </c>
      <c r="X23" s="173"/>
      <c r="Y23" s="173">
        <f>'Tổng hợp VT'!K27</f>
        <v>14700</v>
      </c>
      <c r="Z23" s="170">
        <f t="shared" si="1"/>
        <v>14700</v>
      </c>
      <c r="AA23" s="170">
        <f t="shared" si="2"/>
        <v>154874525</v>
      </c>
    </row>
    <row r="24" spans="1:27" ht="30" x14ac:dyDescent="0.15">
      <c r="A24" s="165">
        <v>19</v>
      </c>
      <c r="B24" s="166" t="s">
        <v>290</v>
      </c>
      <c r="C24" s="86" t="s">
        <v>291</v>
      </c>
      <c r="D24" s="166" t="s">
        <v>172</v>
      </c>
      <c r="E24" s="167">
        <f>'Tổng hợp VT'!E28</f>
        <v>151.19999999999999</v>
      </c>
      <c r="F24" s="86"/>
      <c r="G24" s="169"/>
      <c r="H24" s="89" t="b">
        <v>0</v>
      </c>
      <c r="I24" s="150"/>
      <c r="J24" s="87">
        <v>1</v>
      </c>
      <c r="K24" s="167"/>
      <c r="L24" s="172"/>
      <c r="M24" s="172"/>
      <c r="N24" s="172"/>
      <c r="O24" s="114"/>
      <c r="P24" s="114"/>
      <c r="Q24" s="114"/>
      <c r="R24" s="87">
        <v>1</v>
      </c>
      <c r="S24" s="114"/>
      <c r="T24" s="87">
        <v>1</v>
      </c>
      <c r="U24" s="87">
        <v>1</v>
      </c>
      <c r="V24" s="172">
        <v>1</v>
      </c>
      <c r="W24" s="114">
        <f t="shared" si="0"/>
        <v>0</v>
      </c>
      <c r="X24" s="173"/>
      <c r="Y24" s="173">
        <f>'Tổng hợp VT'!K28</f>
        <v>10400</v>
      </c>
      <c r="Z24" s="170">
        <f t="shared" si="1"/>
        <v>10400</v>
      </c>
      <c r="AA24" s="170">
        <f t="shared" si="2"/>
        <v>1572480</v>
      </c>
    </row>
    <row r="25" spans="1:27" ht="30" x14ac:dyDescent="0.15">
      <c r="A25" s="174">
        <v>20</v>
      </c>
      <c r="B25" s="175" t="s">
        <v>294</v>
      </c>
      <c r="C25" s="94" t="s">
        <v>295</v>
      </c>
      <c r="D25" s="175" t="s">
        <v>251</v>
      </c>
      <c r="E25" s="176">
        <f>'Tổng hợp VT'!E29</f>
        <v>245126.5442</v>
      </c>
      <c r="F25" s="94" t="s">
        <v>547</v>
      </c>
      <c r="G25" s="178"/>
      <c r="H25" s="97" t="b">
        <v>0</v>
      </c>
      <c r="I25" s="151"/>
      <c r="J25" s="95">
        <v>1</v>
      </c>
      <c r="K25" s="176"/>
      <c r="L25" s="181"/>
      <c r="M25" s="181"/>
      <c r="N25" s="181"/>
      <c r="O25" s="118"/>
      <c r="P25" s="118"/>
      <c r="Q25" s="118"/>
      <c r="R25" s="95">
        <v>1</v>
      </c>
      <c r="S25" s="118"/>
      <c r="T25" s="95">
        <v>1</v>
      </c>
      <c r="U25" s="95">
        <v>1</v>
      </c>
      <c r="V25" s="181">
        <v>1E-3</v>
      </c>
      <c r="W25" s="118">
        <f t="shared" si="0"/>
        <v>0</v>
      </c>
      <c r="X25" s="182"/>
      <c r="Y25" s="182">
        <f>'Tổng hợp VT'!K29</f>
        <v>1597</v>
      </c>
      <c r="Z25" s="179">
        <f t="shared" si="1"/>
        <v>1597</v>
      </c>
      <c r="AA25" s="179">
        <f t="shared" si="2"/>
        <v>391467091</v>
      </c>
    </row>
  </sheetData>
  <mergeCells count="25">
    <mergeCell ref="A1:AA1"/>
    <mergeCell ref="A2:AA2"/>
    <mergeCell ref="A4:A5"/>
    <mergeCell ref="B4:B5"/>
    <mergeCell ref="C4:C5"/>
    <mergeCell ref="D4:D5"/>
    <mergeCell ref="E4:E5"/>
    <mergeCell ref="F4:F5"/>
    <mergeCell ref="G4:G5"/>
    <mergeCell ref="H4:H5"/>
    <mergeCell ref="I4:I5"/>
    <mergeCell ref="J4:J5"/>
    <mergeCell ref="K4:K5"/>
    <mergeCell ref="R4:R5"/>
    <mergeCell ref="S4:S5"/>
    <mergeCell ref="AA4:AA5"/>
    <mergeCell ref="X4:X5"/>
    <mergeCell ref="Y4:Y5"/>
    <mergeCell ref="Z4:Z5"/>
    <mergeCell ref="T4:T5"/>
    <mergeCell ref="L4:N4"/>
    <mergeCell ref="O4:Q4"/>
    <mergeCell ref="U4:U5"/>
    <mergeCell ref="V4:V5"/>
    <mergeCell ref="W4:W5"/>
  </mergeCells>
  <pageMargins left="0.65625" right="0" top="0.80208333333333337" bottom="0.80208333333333337" header="0.40625" footer="0.40625"/>
  <pageSetup paperSize="9" orientation="landscape" blackAndWhite="1" verticalDpi="0"/>
  <headerFooter alignWithMargins="0">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B323E-6208-FC43-A91B-3145A05D4212}">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portrait" blackAndWhite="1" useFirstPageNumber="1" horizontalDpi="0" verticalDpi="0" copies="0"/>
  <headerFooter alignWithMargins="0">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04898-A11C-3447-9C73-1AFB860179E8}">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7AB0D-03D8-A147-A423-0D5056B33D54}">
  <dimension ref="A1:H29"/>
  <sheetViews>
    <sheetView showZeros="0" tabSelected="1" workbookViewId="0">
      <selection activeCell="H21" sqref="H21"/>
    </sheetView>
  </sheetViews>
  <sheetFormatPr baseColWidth="10" defaultColWidth="10" defaultRowHeight="15" customHeight="1" x14ac:dyDescent="0.15"/>
  <cols>
    <col min="1" max="1" width="6.75" style="78" customWidth="1"/>
    <col min="2" max="2" width="71.75" style="78" customWidth="1"/>
    <col min="3" max="3" width="13.25" style="78" customWidth="1"/>
    <col min="4" max="4" width="36.75" style="78" customWidth="1"/>
    <col min="5" max="7" width="10" style="78" hidden="1" customWidth="1"/>
    <col min="8" max="8" width="25" style="78" customWidth="1"/>
    <col min="9" max="16384" width="10" style="78"/>
  </cols>
  <sheetData>
    <row r="1" spans="1:8" ht="26.25" customHeight="1" x14ac:dyDescent="0.15">
      <c r="A1" s="313" t="s">
        <v>571</v>
      </c>
      <c r="B1" s="314"/>
      <c r="C1" s="314"/>
      <c r="D1" s="314"/>
      <c r="E1" s="314"/>
      <c r="F1" s="314"/>
      <c r="G1" s="314"/>
      <c r="H1" s="314"/>
    </row>
    <row r="2" spans="1:8" ht="32.25" customHeight="1" x14ac:dyDescent="0.15">
      <c r="A2" s="359" t="s">
        <v>572</v>
      </c>
      <c r="B2" s="314"/>
      <c r="C2" s="314"/>
      <c r="D2" s="314"/>
      <c r="E2" s="314"/>
      <c r="F2" s="314"/>
      <c r="G2" s="314"/>
      <c r="H2" s="314"/>
    </row>
    <row r="3" spans="1:8" ht="18.75" customHeight="1" x14ac:dyDescent="0.15">
      <c r="A3" s="359" t="s">
        <v>573</v>
      </c>
      <c r="B3" s="314"/>
      <c r="C3" s="314"/>
      <c r="D3" s="314"/>
      <c r="E3" s="314"/>
      <c r="F3" s="314"/>
      <c r="G3" s="314"/>
      <c r="H3" s="314"/>
    </row>
    <row r="4" spans="1:8" ht="30" customHeight="1" x14ac:dyDescent="0.15">
      <c r="A4" s="79" t="s">
        <v>4</v>
      </c>
      <c r="B4" s="19" t="s">
        <v>574</v>
      </c>
      <c r="C4" s="19" t="s">
        <v>422</v>
      </c>
      <c r="D4" s="19" t="s">
        <v>575</v>
      </c>
      <c r="E4" s="19"/>
      <c r="F4" s="19"/>
      <c r="G4" s="19" t="s">
        <v>227</v>
      </c>
      <c r="H4" s="19" t="str">
        <f>"Giá trị_x000D_
"&amp;'Công trình'!AM1</f>
        <v>Giá trị_x000D_
(đ)</v>
      </c>
    </row>
    <row r="5" spans="1:8" ht="16.5" customHeight="1" x14ac:dyDescent="0.15">
      <c r="A5" s="84" t="s">
        <v>230</v>
      </c>
      <c r="B5" s="86" t="s">
        <v>576</v>
      </c>
      <c r="C5" s="85"/>
      <c r="D5" s="85"/>
      <c r="E5" s="86"/>
      <c r="F5" s="86"/>
      <c r="G5" s="85"/>
      <c r="H5" s="114"/>
    </row>
    <row r="6" spans="1:8" ht="16.5" customHeight="1" x14ac:dyDescent="0.15">
      <c r="A6" s="186" t="s">
        <v>577</v>
      </c>
      <c r="B6" s="187" t="s">
        <v>578</v>
      </c>
      <c r="C6" s="188" t="s">
        <v>579</v>
      </c>
      <c r="D6" s="85" t="str">
        <f>C9</f>
        <v>A</v>
      </c>
      <c r="E6" s="187"/>
      <c r="F6" s="187"/>
      <c r="G6" s="188"/>
      <c r="H6" s="189">
        <f>H9</f>
        <v>4066972571.140996</v>
      </c>
    </row>
    <row r="7" spans="1:8" ht="16.5" customHeight="1" x14ac:dyDescent="0.15">
      <c r="A7" s="84"/>
      <c r="B7" s="86" t="s">
        <v>580</v>
      </c>
      <c r="C7" s="85" t="s">
        <v>581</v>
      </c>
      <c r="D7" s="85" t="s">
        <v>582</v>
      </c>
      <c r="E7" s="86"/>
      <c r="F7" s="86"/>
      <c r="G7" s="85"/>
      <c r="H7" s="114">
        <f>'Công trình'!U119+'Công trình'!V119</f>
        <v>2476286230.3803997</v>
      </c>
    </row>
    <row r="8" spans="1:8" ht="16.5" customHeight="1" x14ac:dyDescent="0.15">
      <c r="A8" s="84"/>
      <c r="B8" s="86" t="s">
        <v>583</v>
      </c>
      <c r="C8" s="85" t="s">
        <v>584</v>
      </c>
      <c r="D8" s="85" t="s">
        <v>585</v>
      </c>
      <c r="E8" s="86"/>
      <c r="F8" s="86"/>
      <c r="G8" s="85"/>
      <c r="H8" s="114">
        <f>'Tổng hợp VT'!R31</f>
        <v>1590686340.760596</v>
      </c>
    </row>
    <row r="9" spans="1:8" ht="16.5" customHeight="1" x14ac:dyDescent="0.15">
      <c r="A9" s="84"/>
      <c r="B9" s="86" t="s">
        <v>586</v>
      </c>
      <c r="C9" s="85" t="s">
        <v>587</v>
      </c>
      <c r="D9" s="85" t="s">
        <v>588</v>
      </c>
      <c r="E9" s="86"/>
      <c r="F9" s="86"/>
      <c r="G9" s="85"/>
      <c r="H9" s="114">
        <f>H7+H8</f>
        <v>4066972571.140996</v>
      </c>
    </row>
    <row r="10" spans="1:8" ht="16.5" customHeight="1" x14ac:dyDescent="0.15">
      <c r="A10" s="186" t="s">
        <v>589</v>
      </c>
      <c r="B10" s="187" t="s">
        <v>590</v>
      </c>
      <c r="C10" s="188" t="s">
        <v>591</v>
      </c>
      <c r="D10" s="85" t="str">
        <f>C13</f>
        <v>B</v>
      </c>
      <c r="E10" s="187"/>
      <c r="F10" s="187"/>
      <c r="G10" s="188"/>
      <c r="H10" s="189">
        <f>H13</f>
        <v>1321571200.944731</v>
      </c>
    </row>
    <row r="11" spans="1:8" ht="16.5" customHeight="1" x14ac:dyDescent="0.15">
      <c r="A11" s="84"/>
      <c r="B11" s="86" t="s">
        <v>580</v>
      </c>
      <c r="C11" s="85" t="s">
        <v>592</v>
      </c>
      <c r="D11" s="85" t="s">
        <v>582</v>
      </c>
      <c r="E11" s="86"/>
      <c r="F11" s="86"/>
      <c r="G11" s="85"/>
      <c r="H11" s="114">
        <f>'Công trình'!W119</f>
        <v>1200528719.4837999</v>
      </c>
    </row>
    <row r="12" spans="1:8" ht="16.5" customHeight="1" x14ac:dyDescent="0.15">
      <c r="A12" s="84"/>
      <c r="B12" s="86" t="s">
        <v>593</v>
      </c>
      <c r="C12" s="85" t="s">
        <v>594</v>
      </c>
      <c r="D12" s="85" t="s">
        <v>585</v>
      </c>
      <c r="E12" s="86"/>
      <c r="F12" s="86"/>
      <c r="G12" s="85"/>
      <c r="H12" s="114">
        <f>'Tổng hợp VT'!R38</f>
        <v>121042481.46093102</v>
      </c>
    </row>
    <row r="13" spans="1:8" ht="16.5" customHeight="1" x14ac:dyDescent="0.15">
      <c r="A13" s="84"/>
      <c r="B13" s="86" t="s">
        <v>586</v>
      </c>
      <c r="C13" s="85" t="s">
        <v>595</v>
      </c>
      <c r="D13" s="85" t="s">
        <v>596</v>
      </c>
      <c r="E13" s="86"/>
      <c r="F13" s="86"/>
      <c r="G13" s="85"/>
      <c r="H13" s="114">
        <f>H11+H12</f>
        <v>1321571200.944731</v>
      </c>
    </row>
    <row r="14" spans="1:8" ht="16.5" customHeight="1" x14ac:dyDescent="0.15">
      <c r="A14" s="186" t="s">
        <v>597</v>
      </c>
      <c r="B14" s="187" t="s">
        <v>598</v>
      </c>
      <c r="C14" s="188" t="s">
        <v>599</v>
      </c>
      <c r="D14" s="85" t="str">
        <f>C17</f>
        <v>C</v>
      </c>
      <c r="E14" s="187"/>
      <c r="F14" s="187"/>
      <c r="G14" s="188"/>
      <c r="H14" s="189">
        <f>H17</f>
        <v>1364233560.0446224</v>
      </c>
    </row>
    <row r="15" spans="1:8" ht="16.5" customHeight="1" x14ac:dyDescent="0.15">
      <c r="A15" s="84"/>
      <c r="B15" s="86" t="s">
        <v>580</v>
      </c>
      <c r="C15" s="85" t="s">
        <v>600</v>
      </c>
      <c r="D15" s="85" t="s">
        <v>582</v>
      </c>
      <c r="E15" s="86"/>
      <c r="F15" s="86"/>
      <c r="G15" s="85"/>
      <c r="H15" s="114">
        <f>'Công trình'!X119</f>
        <v>1453716996.3621998</v>
      </c>
    </row>
    <row r="16" spans="1:8" ht="16.5" customHeight="1" x14ac:dyDescent="0.15">
      <c r="A16" s="84"/>
      <c r="B16" s="86" t="s">
        <v>601</v>
      </c>
      <c r="C16" s="85" t="s">
        <v>602</v>
      </c>
      <c r="D16" s="85" t="s">
        <v>585</v>
      </c>
      <c r="E16" s="86"/>
      <c r="F16" s="86"/>
      <c r="G16" s="85"/>
      <c r="H16" s="114">
        <f>'Tổng hợp VT'!R63</f>
        <v>-89483436.317577362</v>
      </c>
    </row>
    <row r="17" spans="1:8" ht="16.5" customHeight="1" x14ac:dyDescent="0.15">
      <c r="A17" s="84"/>
      <c r="B17" s="86" t="s">
        <v>586</v>
      </c>
      <c r="C17" s="85" t="s">
        <v>603</v>
      </c>
      <c r="D17" s="85" t="s">
        <v>604</v>
      </c>
      <c r="E17" s="86"/>
      <c r="F17" s="86"/>
      <c r="G17" s="85"/>
      <c r="H17" s="114">
        <f>H15+H16</f>
        <v>1364233560.0446224</v>
      </c>
    </row>
    <row r="18" spans="1:8" ht="16.5" customHeight="1" x14ac:dyDescent="0.15">
      <c r="A18" s="141" t="str">
        <f>""</f>
        <v/>
      </c>
      <c r="B18" s="123" t="s">
        <v>605</v>
      </c>
      <c r="C18" s="122" t="s">
        <v>606</v>
      </c>
      <c r="D18" s="85" t="s">
        <v>607</v>
      </c>
      <c r="E18" s="123"/>
      <c r="F18" s="123"/>
      <c r="G18" s="190"/>
      <c r="H18" s="126">
        <f>H6+H10+H14</f>
        <v>6752777332.1303492</v>
      </c>
    </row>
    <row r="19" spans="1:8" ht="16.5" customHeight="1" x14ac:dyDescent="0.15">
      <c r="A19" s="84" t="s">
        <v>298</v>
      </c>
      <c r="B19" s="86" t="s">
        <v>608</v>
      </c>
      <c r="C19" s="85" t="str">
        <f>""</f>
        <v/>
      </c>
      <c r="D19" s="85" t="str">
        <f>""</f>
        <v/>
      </c>
      <c r="E19" s="86"/>
      <c r="F19" s="86"/>
      <c r="G19" s="191"/>
      <c r="H19" s="114"/>
    </row>
    <row r="20" spans="1:8" ht="16.5" customHeight="1" x14ac:dyDescent="0.15">
      <c r="A20" s="84" t="s">
        <v>577</v>
      </c>
      <c r="B20" s="86" t="s">
        <v>609</v>
      </c>
      <c r="C20" s="85" t="s">
        <v>603</v>
      </c>
      <c r="D20" s="85" t="str">
        <f>"T x "&amp;HSXL!C$14</f>
        <v>T x 5,5%</v>
      </c>
      <c r="E20" s="86"/>
      <c r="F20" s="86"/>
      <c r="G20" s="191" t="str">
        <f>HSXL!C$14</f>
        <v>5,5%</v>
      </c>
      <c r="H20" s="114">
        <f>H18*HSXL!D$14</f>
        <v>371402753.26716918</v>
      </c>
    </row>
    <row r="21" spans="1:8" ht="16.5" customHeight="1" x14ac:dyDescent="0.15">
      <c r="A21" s="84" t="s">
        <v>589</v>
      </c>
      <c r="B21" s="86" t="s">
        <v>610</v>
      </c>
      <c r="C21" s="85" t="s">
        <v>611</v>
      </c>
      <c r="D21" s="85" t="str">
        <f>"T x "&amp;HSXL!C$18</f>
        <v>T x 1,1%</v>
      </c>
      <c r="E21" s="86"/>
      <c r="F21" s="86"/>
      <c r="G21" s="191" t="str">
        <f>HSXL!C$18</f>
        <v>1,1%</v>
      </c>
      <c r="H21" s="114">
        <f>H18*HSXL!D$18</f>
        <v>74280550.65343383</v>
      </c>
    </row>
    <row r="22" spans="1:8" ht="28.5" customHeight="1" x14ac:dyDescent="0.15">
      <c r="A22" s="84" t="s">
        <v>597</v>
      </c>
      <c r="B22" s="86" t="s">
        <v>612</v>
      </c>
      <c r="C22" s="85" t="s">
        <v>42</v>
      </c>
      <c r="D22" s="85" t="str">
        <f>"T x "&amp;HSXL!C$13</f>
        <v>T x 2%</v>
      </c>
      <c r="E22" s="86"/>
      <c r="F22" s="86"/>
      <c r="G22" s="191" t="str">
        <f>HSXL!C$13</f>
        <v>2%</v>
      </c>
      <c r="H22" s="114">
        <f>H18*HSXL!D$13</f>
        <v>135055546.64260697</v>
      </c>
    </row>
    <row r="23" spans="1:8" ht="16.5" customHeight="1" x14ac:dyDescent="0.15">
      <c r="A23" s="141" t="str">
        <f>""</f>
        <v/>
      </c>
      <c r="B23" s="123" t="s">
        <v>613</v>
      </c>
      <c r="C23" s="122" t="s">
        <v>614</v>
      </c>
      <c r="D23" s="85" t="s">
        <v>615</v>
      </c>
      <c r="E23" s="123"/>
      <c r="F23" s="123"/>
      <c r="G23" s="190"/>
      <c r="H23" s="126">
        <f>SUM(H20:H22)</f>
        <v>580738850.56321001</v>
      </c>
    </row>
    <row r="24" spans="1:8" ht="16.5" customHeight="1" x14ac:dyDescent="0.15">
      <c r="A24" s="84" t="s">
        <v>310</v>
      </c>
      <c r="B24" s="86" t="s">
        <v>616</v>
      </c>
      <c r="C24" s="85" t="s">
        <v>617</v>
      </c>
      <c r="D24" s="85" t="str">
        <f>"(T+GT) x "&amp;HSXL!C$16</f>
        <v>(T+GT) x 5,5%</v>
      </c>
      <c r="E24" s="86"/>
      <c r="F24" s="86"/>
      <c r="G24" s="191" t="str">
        <f>HSXL!C$16</f>
        <v>5,5%</v>
      </c>
      <c r="H24" s="114">
        <f>(H18+H23)*HSXL!D$16</f>
        <v>403343390.04814577</v>
      </c>
    </row>
    <row r="25" spans="1:8" ht="16.5" customHeight="1" x14ac:dyDescent="0.15">
      <c r="A25" s="84" t="str">
        <f>""</f>
        <v/>
      </c>
      <c r="B25" s="86" t="s">
        <v>618</v>
      </c>
      <c r="C25" s="85" t="s">
        <v>619</v>
      </c>
      <c r="D25" s="85" t="s">
        <v>620</v>
      </c>
      <c r="E25" s="86"/>
      <c r="F25" s="86"/>
      <c r="G25" s="191"/>
      <c r="H25" s="114">
        <f>H18+H23+H24</f>
        <v>7736859572.7417049</v>
      </c>
    </row>
    <row r="26" spans="1:8" ht="16.5" customHeight="1" x14ac:dyDescent="0.15">
      <c r="A26" s="84" t="s">
        <v>621</v>
      </c>
      <c r="B26" s="86" t="s">
        <v>622</v>
      </c>
      <c r="C26" s="85" t="s">
        <v>623</v>
      </c>
      <c r="D26" s="85" t="str">
        <f>"G x "&amp;HSXL!C$17</f>
        <v>G x 8%</v>
      </c>
      <c r="E26" s="192">
        <f>G26</f>
        <v>0.08</v>
      </c>
      <c r="F26" s="86"/>
      <c r="G26" s="193">
        <f>HSXL!D$17</f>
        <v>0.08</v>
      </c>
      <c r="H26" s="114">
        <f>E26*H25</f>
        <v>618948765.81933641</v>
      </c>
    </row>
    <row r="27" spans="1:8" ht="16.5" customHeight="1" x14ac:dyDescent="0.15">
      <c r="A27" s="141" t="s">
        <v>624</v>
      </c>
      <c r="B27" s="123" t="s">
        <v>625</v>
      </c>
      <c r="C27" s="122" t="s">
        <v>626</v>
      </c>
      <c r="D27" s="85" t="s">
        <v>627</v>
      </c>
      <c r="E27" s="194"/>
      <c r="F27" s="123"/>
      <c r="G27" s="195"/>
      <c r="H27" s="126">
        <f>ROUND(H25+H26,0)</f>
        <v>8355808339</v>
      </c>
    </row>
    <row r="28" spans="1:8" ht="16.5" customHeight="1" x14ac:dyDescent="0.15">
      <c r="A28" s="196"/>
      <c r="B28" s="197" t="s">
        <v>628</v>
      </c>
      <c r="C28" s="197"/>
      <c r="D28" s="198"/>
      <c r="E28" s="199"/>
      <c r="F28" s="199"/>
      <c r="G28" s="197"/>
      <c r="H28" s="200">
        <f>ROUND(H27,-3)</f>
        <v>8355808000</v>
      </c>
    </row>
    <row r="29" spans="1:8" ht="30" customHeight="1" x14ac:dyDescent="0.15">
      <c r="A29" s="360" t="s">
        <v>629</v>
      </c>
      <c r="B29" s="319"/>
      <c r="C29" s="318"/>
      <c r="D29" s="361"/>
      <c r="E29" s="319"/>
      <c r="F29" s="319"/>
      <c r="G29" s="318"/>
      <c r="H29" s="362"/>
    </row>
  </sheetData>
  <mergeCells count="4">
    <mergeCell ref="A1:H1"/>
    <mergeCell ref="A2:H2"/>
    <mergeCell ref="A3:H3"/>
    <mergeCell ref="A29:H29"/>
  </mergeCells>
  <pageMargins left="1.1875" right="0" top="0.80208333333333337" bottom="0.80208333333333337" header="0.40625" footer="0.40625"/>
  <pageSetup paperSize="9" orientation="landscape" blackAndWhite="1" verticalDpi="0"/>
  <headerFooter alignWithMargins="0">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D042B-4C05-614B-A051-2EEF2FD1A7EC}">
  <dimension ref="A1:G8"/>
  <sheetViews>
    <sheetView showZeros="0" workbookViewId="0">
      <selection sqref="A1:G1"/>
    </sheetView>
  </sheetViews>
  <sheetFormatPr baseColWidth="10" defaultColWidth="10" defaultRowHeight="15" customHeight="1" x14ac:dyDescent="0.15"/>
  <cols>
    <col min="1" max="1" width="6.75" style="73" customWidth="1"/>
    <col min="2" max="2" width="39.5" style="73" customWidth="1"/>
    <col min="3" max="3" width="23.25" style="73" customWidth="1"/>
    <col min="4" max="4" width="18.25" style="73" customWidth="1"/>
    <col min="5" max="5" width="23.25" style="73" customWidth="1"/>
    <col min="6" max="7" width="23.25" style="73" hidden="1" customWidth="1"/>
    <col min="8" max="16384" width="10" style="73"/>
  </cols>
  <sheetData>
    <row r="1" spans="1:7" ht="26.25" customHeight="1" x14ac:dyDescent="0.15">
      <c r="A1" s="313" t="s">
        <v>630</v>
      </c>
      <c r="B1" s="343"/>
      <c r="C1" s="343"/>
      <c r="D1" s="343"/>
      <c r="E1" s="343"/>
      <c r="F1" s="343"/>
      <c r="G1" s="343"/>
    </row>
    <row r="2" spans="1:7" ht="32.25" customHeight="1" x14ac:dyDescent="0.15">
      <c r="A2" s="315" t="str">
        <f>'Công trình'!A2</f>
        <v>CÔNG TRÌNH : XÂY DỰNG HỆ THỐNG CỐNG HỘP KÊNH BẾN KEM ĐOẠN TỪ NHÀ ÔNG CHÍN ĐẾN KÊNH ĐẠI TRÀ 2, XÃ KIẾN MINH</v>
      </c>
      <c r="B2" s="343"/>
      <c r="C2" s="343"/>
      <c r="D2" s="343"/>
      <c r="E2" s="343"/>
      <c r="F2" s="343"/>
      <c r="G2" s="343"/>
    </row>
    <row r="3" spans="1:7" ht="22.5" customHeight="1" x14ac:dyDescent="0.15">
      <c r="A3" s="347" t="str">
        <f>"Đơn vị tính:  "&amp;'Công trình'!AM1</f>
        <v>Đơn vị tính:  (đ)</v>
      </c>
      <c r="B3" s="343"/>
      <c r="C3" s="343"/>
      <c r="D3" s="343"/>
      <c r="E3" s="343"/>
      <c r="F3" s="343"/>
      <c r="G3" s="343"/>
    </row>
    <row r="4" spans="1:7" ht="28.5" customHeight="1" x14ac:dyDescent="0.15">
      <c r="A4" s="79" t="s">
        <v>4</v>
      </c>
      <c r="B4" s="19" t="s">
        <v>631</v>
      </c>
      <c r="C4" s="19" t="s">
        <v>632</v>
      </c>
      <c r="D4" s="19" t="s">
        <v>633</v>
      </c>
      <c r="E4" s="19" t="s">
        <v>634</v>
      </c>
      <c r="F4" s="19" t="s">
        <v>635</v>
      </c>
      <c r="G4" s="19" t="s">
        <v>636</v>
      </c>
    </row>
    <row r="5" spans="1:7" x14ac:dyDescent="0.15">
      <c r="A5" s="84">
        <v>1</v>
      </c>
      <c r="B5" s="86" t="str">
        <f>'Công trình'!F6</f>
        <v>HẠNG MỤC 1</v>
      </c>
      <c r="C5" s="114">
        <f>'THKP hạng mục'!H25</f>
        <v>7736859572.7417049</v>
      </c>
      <c r="D5" s="114">
        <f>C5*HSXL!D17</f>
        <v>618948765.81933641</v>
      </c>
      <c r="E5" s="114">
        <f>ROUND(C5+D5,0)</f>
        <v>8355808339</v>
      </c>
      <c r="F5" s="114">
        <f>ROUND(G5-E5,0)</f>
        <v>0</v>
      </c>
      <c r="G5" s="114">
        <f>'THKP hạng mục'!H27</f>
        <v>8355808339</v>
      </c>
    </row>
    <row r="6" spans="1:7" ht="14" x14ac:dyDescent="0.15">
      <c r="A6" s="201"/>
      <c r="B6" s="202" t="s">
        <v>637</v>
      </c>
      <c r="C6" s="203">
        <f>ROUND(SUM(C5:C5),0)</f>
        <v>7736859573</v>
      </c>
      <c r="D6" s="203">
        <f>ROUND(SUM(D5:D5),0)</f>
        <v>618948766</v>
      </c>
      <c r="E6" s="203">
        <f>ROUND(SUM(E5:E5),0)</f>
        <v>8355808339</v>
      </c>
      <c r="F6" s="203">
        <f>ROUND(SUM(F5:F5),0)</f>
        <v>0</v>
      </c>
      <c r="G6" s="203">
        <f>ROUND(SUM(G5:G5),0)</f>
        <v>8355808339</v>
      </c>
    </row>
    <row r="7" spans="1:7" ht="14" x14ac:dyDescent="0.15">
      <c r="A7" s="201"/>
      <c r="B7" s="202" t="s">
        <v>628</v>
      </c>
      <c r="C7" s="203"/>
      <c r="D7" s="203"/>
      <c r="E7" s="203">
        <f>ROUND(E6,-3)</f>
        <v>8355808000</v>
      </c>
      <c r="F7" s="203"/>
      <c r="G7" s="203">
        <f>ROUND(G6,-3)</f>
        <v>8355808000</v>
      </c>
    </row>
    <row r="8" spans="1:7" ht="30" customHeight="1" x14ac:dyDescent="0.15">
      <c r="A8" s="360" t="s">
        <v>629</v>
      </c>
      <c r="B8" s="363"/>
      <c r="C8" s="363"/>
      <c r="D8" s="363"/>
      <c r="E8" s="363"/>
      <c r="F8" s="363"/>
      <c r="G8" s="340"/>
    </row>
  </sheetData>
  <mergeCells count="4">
    <mergeCell ref="A1:G1"/>
    <mergeCell ref="A2:G2"/>
    <mergeCell ref="A3:G3"/>
    <mergeCell ref="A8:G8"/>
  </mergeCells>
  <pageMargins left="1.1875" right="0" top="0.80208333333333337" bottom="0.80208333333333337" header="0.40625" footer="0.40625"/>
  <pageSetup paperSize="9" orientation="landscape" blackAndWhite="1" verticalDpi="0"/>
  <headerFooter alignWithMargins="0">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D9201-F8C1-DD42-AE2B-9A52D9AD6AB0}">
  <dimension ref="A1:J21"/>
  <sheetViews>
    <sheetView workbookViewId="0"/>
  </sheetViews>
  <sheetFormatPr baseColWidth="10" defaultColWidth="10" defaultRowHeight="15" customHeight="1" x14ac:dyDescent="0.15"/>
  <cols>
    <col min="1" max="1" width="10" style="205" customWidth="1"/>
    <col min="2" max="2" width="50" style="205" customWidth="1"/>
    <col min="3" max="3" width="11.75" style="205" customWidth="1"/>
    <col min="4" max="5" width="15" style="204" customWidth="1"/>
    <col min="6" max="6" width="18.25" style="204" customWidth="1"/>
    <col min="7" max="7" width="10" style="204" customWidth="1"/>
    <col min="8" max="8" width="16.75" style="204" customWidth="1"/>
    <col min="9" max="9" width="18.25" style="204" customWidth="1"/>
    <col min="10" max="10" width="66.75" style="206" customWidth="1"/>
    <col min="11" max="16384" width="10" style="204"/>
  </cols>
  <sheetData>
    <row r="1" spans="1:10" ht="26.25" customHeight="1" x14ac:dyDescent="0.15">
      <c r="A1" s="368" t="s">
        <v>638</v>
      </c>
      <c r="B1" s="369" t="s">
        <v>639</v>
      </c>
      <c r="C1" s="369" t="s">
        <v>639</v>
      </c>
      <c r="D1" s="370"/>
      <c r="E1" s="370"/>
      <c r="F1" s="370"/>
      <c r="G1" s="370"/>
      <c r="H1" s="370"/>
      <c r="I1" s="370"/>
      <c r="J1" s="371" t="str">
        <f>""</f>
        <v/>
      </c>
    </row>
    <row r="2" spans="1:10" ht="32.25" customHeight="1" x14ac:dyDescent="0.15">
      <c r="A2" s="315" t="str">
        <f>'Công trình'!A2</f>
        <v>CÔNG TRÌNH : XÂY DỰNG HỆ THỐNG CỐNG HỘP KÊNH BẾN KEM ĐOẠN TỪ NHÀ ÔNG CHÍN ĐẾN KÊNH ĐẠI TRÀ 2, XÃ KIẾN MINH</v>
      </c>
      <c r="B2" s="369" t="s">
        <v>639</v>
      </c>
      <c r="C2" s="369" t="s">
        <v>639</v>
      </c>
      <c r="D2" s="370"/>
      <c r="E2" s="370"/>
      <c r="F2" s="370"/>
      <c r="G2" s="370"/>
      <c r="H2" s="370"/>
      <c r="I2" s="370"/>
      <c r="J2" s="371" t="str">
        <f>""</f>
        <v/>
      </c>
    </row>
    <row r="3" spans="1:10" ht="15" customHeight="1" x14ac:dyDescent="0.15">
      <c r="A3" s="205" t="s">
        <v>639</v>
      </c>
      <c r="B3" s="205" t="s">
        <v>639</v>
      </c>
      <c r="C3" s="205" t="s">
        <v>639</v>
      </c>
      <c r="J3" s="206" t="str">
        <f>""</f>
        <v/>
      </c>
    </row>
    <row r="4" spans="1:10" ht="18.75" customHeight="1" x14ac:dyDescent="0.15">
      <c r="A4" s="335" t="s">
        <v>4</v>
      </c>
      <c r="B4" s="331" t="s">
        <v>225</v>
      </c>
      <c r="C4" s="331" t="s">
        <v>226</v>
      </c>
      <c r="D4" s="331" t="s">
        <v>640</v>
      </c>
      <c r="E4" s="331" t="str">
        <f>"Đơn giá_x000D_
trước thuế_x000D_
"&amp;'Công trình'!AM1</f>
        <v>Đơn giá_x000D_
trước thuế_x000D_
(đ)</v>
      </c>
      <c r="F4" s="331" t="str">
        <f>"Thành tiền_x000D_
trước thuế_x000D_
"&amp;'Công trình'!AM1</f>
        <v>Thành tiền_x000D_
trước thuế_x000D_
(đ)</v>
      </c>
      <c r="G4" s="333" t="s">
        <v>641</v>
      </c>
      <c r="H4" s="334"/>
      <c r="I4" s="331" t="str">
        <f>"Thành tiền_x000D_
sau thuế_x000D_
"&amp;'Công trình'!AM1</f>
        <v>Thành tiền_x000D_
sau thuế_x000D_
(đ)</v>
      </c>
      <c r="J4" s="331" t="s">
        <v>19</v>
      </c>
    </row>
    <row r="5" spans="1:10" ht="26.25" customHeight="1" x14ac:dyDescent="0.15">
      <c r="A5" s="372"/>
      <c r="B5" s="364"/>
      <c r="C5" s="364"/>
      <c r="D5" s="364"/>
      <c r="E5" s="364"/>
      <c r="F5" s="364"/>
      <c r="G5" s="207" t="s">
        <v>480</v>
      </c>
      <c r="H5" s="207" t="str">
        <f>"Thành tiền_x000D_
"&amp;'Công trình'!AM1</f>
        <v>Thành tiền_x000D_
(đ)</v>
      </c>
      <c r="I5" s="364"/>
      <c r="J5" s="364"/>
    </row>
    <row r="6" spans="1:10" ht="16.5" customHeight="1" x14ac:dyDescent="0.15">
      <c r="A6" s="208" t="s">
        <v>577</v>
      </c>
      <c r="B6" s="209" t="s">
        <v>642</v>
      </c>
      <c r="C6" s="210"/>
      <c r="D6" s="211"/>
      <c r="E6" s="212"/>
      <c r="F6" s="212">
        <f t="shared" ref="F6:F19" si="0">D6*E6</f>
        <v>0</v>
      </c>
      <c r="G6" s="213"/>
      <c r="H6" s="212">
        <f t="shared" ref="H6:H19" si="1">F6*G6/100</f>
        <v>0</v>
      </c>
      <c r="I6" s="212">
        <f t="shared" ref="I6:I19" si="2">F6+H6</f>
        <v>0</v>
      </c>
      <c r="J6" s="214"/>
    </row>
    <row r="7" spans="1:10" ht="16.5" customHeight="1" x14ac:dyDescent="0.15">
      <c r="A7" s="208" t="s">
        <v>639</v>
      </c>
      <c r="B7" s="209"/>
      <c r="C7" s="210"/>
      <c r="D7" s="211"/>
      <c r="E7" s="212"/>
      <c r="F7" s="212">
        <f t="shared" si="0"/>
        <v>0</v>
      </c>
      <c r="G7" s="213"/>
      <c r="H7" s="212">
        <f t="shared" si="1"/>
        <v>0</v>
      </c>
      <c r="I7" s="212">
        <f t="shared" si="2"/>
        <v>0</v>
      </c>
      <c r="J7" s="214"/>
    </row>
    <row r="8" spans="1:10" ht="16.5" customHeight="1" x14ac:dyDescent="0.15">
      <c r="A8" s="208" t="s">
        <v>639</v>
      </c>
      <c r="B8" s="209"/>
      <c r="C8" s="210"/>
      <c r="D8" s="211"/>
      <c r="E8" s="212"/>
      <c r="F8" s="212">
        <f t="shared" si="0"/>
        <v>0</v>
      </c>
      <c r="G8" s="213"/>
      <c r="H8" s="212">
        <f t="shared" si="1"/>
        <v>0</v>
      </c>
      <c r="I8" s="212">
        <f t="shared" si="2"/>
        <v>0</v>
      </c>
      <c r="J8" s="214"/>
    </row>
    <row r="9" spans="1:10" ht="16.5" customHeight="1" x14ac:dyDescent="0.15">
      <c r="A9" s="208" t="s">
        <v>639</v>
      </c>
      <c r="B9" s="209"/>
      <c r="C9" s="210"/>
      <c r="D9" s="211"/>
      <c r="E9" s="212"/>
      <c r="F9" s="212">
        <f t="shared" si="0"/>
        <v>0</v>
      </c>
      <c r="G9" s="213"/>
      <c r="H9" s="212">
        <f t="shared" si="1"/>
        <v>0</v>
      </c>
      <c r="I9" s="212">
        <f t="shared" si="2"/>
        <v>0</v>
      </c>
      <c r="J9" s="214"/>
    </row>
    <row r="10" spans="1:10" ht="16.5" customHeight="1" x14ac:dyDescent="0.15">
      <c r="A10" s="208" t="s">
        <v>639</v>
      </c>
      <c r="B10" s="209"/>
      <c r="C10" s="210"/>
      <c r="D10" s="211"/>
      <c r="E10" s="212"/>
      <c r="F10" s="212">
        <f t="shared" si="0"/>
        <v>0</v>
      </c>
      <c r="G10" s="213"/>
      <c r="H10" s="212">
        <f t="shared" si="1"/>
        <v>0</v>
      </c>
      <c r="I10" s="212">
        <f t="shared" si="2"/>
        <v>0</v>
      </c>
      <c r="J10" s="214"/>
    </row>
    <row r="11" spans="1:10" ht="16.5" customHeight="1" x14ac:dyDescent="0.15">
      <c r="A11" s="208" t="s">
        <v>639</v>
      </c>
      <c r="B11" s="209"/>
      <c r="C11" s="210"/>
      <c r="D11" s="211"/>
      <c r="E11" s="212"/>
      <c r="F11" s="212">
        <f t="shared" si="0"/>
        <v>0</v>
      </c>
      <c r="G11" s="213"/>
      <c r="H11" s="212">
        <f t="shared" si="1"/>
        <v>0</v>
      </c>
      <c r="I11" s="212">
        <f t="shared" si="2"/>
        <v>0</v>
      </c>
      <c r="J11" s="214"/>
    </row>
    <row r="12" spans="1:10" ht="16.5" customHeight="1" x14ac:dyDescent="0.15">
      <c r="A12" s="208" t="s">
        <v>639</v>
      </c>
      <c r="B12" s="209"/>
      <c r="C12" s="210"/>
      <c r="D12" s="211"/>
      <c r="E12" s="212"/>
      <c r="F12" s="212">
        <f t="shared" si="0"/>
        <v>0</v>
      </c>
      <c r="G12" s="213"/>
      <c r="H12" s="212">
        <f t="shared" si="1"/>
        <v>0</v>
      </c>
      <c r="I12" s="212">
        <f t="shared" si="2"/>
        <v>0</v>
      </c>
      <c r="J12" s="214"/>
    </row>
    <row r="13" spans="1:10" ht="16.5" customHeight="1" x14ac:dyDescent="0.15">
      <c r="A13" s="208" t="s">
        <v>639</v>
      </c>
      <c r="B13" s="209"/>
      <c r="C13" s="210"/>
      <c r="D13" s="211"/>
      <c r="E13" s="212"/>
      <c r="F13" s="212">
        <f t="shared" si="0"/>
        <v>0</v>
      </c>
      <c r="G13" s="213"/>
      <c r="H13" s="212">
        <f t="shared" si="1"/>
        <v>0</v>
      </c>
      <c r="I13" s="212">
        <f t="shared" si="2"/>
        <v>0</v>
      </c>
      <c r="J13" s="214"/>
    </row>
    <row r="14" spans="1:10" ht="16.5" customHeight="1" x14ac:dyDescent="0.15">
      <c r="A14" s="208" t="s">
        <v>639</v>
      </c>
      <c r="B14" s="209"/>
      <c r="C14" s="210"/>
      <c r="D14" s="211"/>
      <c r="E14" s="212"/>
      <c r="F14" s="212">
        <f t="shared" si="0"/>
        <v>0</v>
      </c>
      <c r="G14" s="213"/>
      <c r="H14" s="212">
        <f t="shared" si="1"/>
        <v>0</v>
      </c>
      <c r="I14" s="212">
        <f t="shared" si="2"/>
        <v>0</v>
      </c>
      <c r="J14" s="214"/>
    </row>
    <row r="15" spans="1:10" ht="16.5" customHeight="1" x14ac:dyDescent="0.15">
      <c r="A15" s="208" t="s">
        <v>639</v>
      </c>
      <c r="B15" s="209"/>
      <c r="C15" s="210"/>
      <c r="D15" s="211"/>
      <c r="E15" s="212"/>
      <c r="F15" s="212">
        <f t="shared" si="0"/>
        <v>0</v>
      </c>
      <c r="G15" s="213"/>
      <c r="H15" s="212">
        <f t="shared" si="1"/>
        <v>0</v>
      </c>
      <c r="I15" s="212">
        <f t="shared" si="2"/>
        <v>0</v>
      </c>
      <c r="J15" s="214"/>
    </row>
    <row r="16" spans="1:10" ht="16.5" customHeight="1" x14ac:dyDescent="0.15">
      <c r="A16" s="208" t="s">
        <v>639</v>
      </c>
      <c r="B16" s="209"/>
      <c r="C16" s="210"/>
      <c r="D16" s="211"/>
      <c r="E16" s="212"/>
      <c r="F16" s="212">
        <f t="shared" si="0"/>
        <v>0</v>
      </c>
      <c r="G16" s="213"/>
      <c r="H16" s="212">
        <f t="shared" si="1"/>
        <v>0</v>
      </c>
      <c r="I16" s="212">
        <f t="shared" si="2"/>
        <v>0</v>
      </c>
      <c r="J16" s="214"/>
    </row>
    <row r="17" spans="1:10" ht="16.5" customHeight="1" x14ac:dyDescent="0.15">
      <c r="A17" s="208" t="s">
        <v>639</v>
      </c>
      <c r="B17" s="209"/>
      <c r="C17" s="210"/>
      <c r="D17" s="211"/>
      <c r="E17" s="212"/>
      <c r="F17" s="212">
        <f t="shared" si="0"/>
        <v>0</v>
      </c>
      <c r="G17" s="213"/>
      <c r="H17" s="212">
        <f t="shared" si="1"/>
        <v>0</v>
      </c>
      <c r="I17" s="212">
        <f t="shared" si="2"/>
        <v>0</v>
      </c>
      <c r="J17" s="214"/>
    </row>
    <row r="18" spans="1:10" ht="16.5" customHeight="1" x14ac:dyDescent="0.15">
      <c r="A18" s="208" t="s">
        <v>639</v>
      </c>
      <c r="B18" s="209"/>
      <c r="C18" s="210"/>
      <c r="D18" s="211"/>
      <c r="E18" s="212"/>
      <c r="F18" s="212">
        <f t="shared" si="0"/>
        <v>0</v>
      </c>
      <c r="G18" s="213"/>
      <c r="H18" s="212">
        <f t="shared" si="1"/>
        <v>0</v>
      </c>
      <c r="I18" s="212">
        <f t="shared" si="2"/>
        <v>0</v>
      </c>
      <c r="J18" s="214"/>
    </row>
    <row r="19" spans="1:10" ht="16.5" customHeight="1" x14ac:dyDescent="0.15">
      <c r="A19" s="208" t="s">
        <v>639</v>
      </c>
      <c r="B19" s="209"/>
      <c r="C19" s="210"/>
      <c r="D19" s="211"/>
      <c r="E19" s="212"/>
      <c r="F19" s="212">
        <f t="shared" si="0"/>
        <v>0</v>
      </c>
      <c r="G19" s="213"/>
      <c r="H19" s="212">
        <f t="shared" si="1"/>
        <v>0</v>
      </c>
      <c r="I19" s="212">
        <f t="shared" si="2"/>
        <v>0</v>
      </c>
      <c r="J19" s="214"/>
    </row>
    <row r="20" spans="1:10" ht="16.5" customHeight="1" x14ac:dyDescent="0.15">
      <c r="A20" s="215" t="s">
        <v>639</v>
      </c>
      <c r="B20" s="216" t="s">
        <v>637</v>
      </c>
      <c r="C20" s="217"/>
      <c r="D20" s="218"/>
      <c r="E20" s="203"/>
      <c r="F20" s="203">
        <f>ROUND(SUM(F6:F19),0)</f>
        <v>0</v>
      </c>
      <c r="G20" s="219"/>
      <c r="H20" s="203">
        <f>ROUND(SUM(H6:H19),0)</f>
        <v>0</v>
      </c>
      <c r="I20" s="203">
        <f>ROUND(SUM(I6:I19),0)</f>
        <v>0</v>
      </c>
      <c r="J20" s="220"/>
    </row>
    <row r="21" spans="1:10" ht="30" customHeight="1" x14ac:dyDescent="0.15">
      <c r="A21" s="317" t="s">
        <v>643</v>
      </c>
      <c r="B21" s="365"/>
      <c r="C21" s="365"/>
      <c r="D21" s="366"/>
      <c r="E21" s="366"/>
      <c r="F21" s="366"/>
      <c r="G21" s="366"/>
      <c r="H21" s="366"/>
      <c r="I21" s="366"/>
      <c r="J21" s="367"/>
    </row>
  </sheetData>
  <mergeCells count="12">
    <mergeCell ref="J4:J5"/>
    <mergeCell ref="A21:J21"/>
    <mergeCell ref="A1:J1"/>
    <mergeCell ref="A2:J2"/>
    <mergeCell ref="A4:A5"/>
    <mergeCell ref="B4:B5"/>
    <mergeCell ref="C4:C5"/>
    <mergeCell ref="D4:D5"/>
    <mergeCell ref="E4:E5"/>
    <mergeCell ref="F4:F5"/>
    <mergeCell ref="G4:H4"/>
    <mergeCell ref="I4:I5"/>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F96B3-E038-1241-9A16-523082CD9340}">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926E9-E8DE-4543-8BB0-12889EA7629A}">
  <dimension ref="A1:I16"/>
  <sheetViews>
    <sheetView showZeros="0" workbookViewId="0">
      <selection sqref="A1:I1"/>
    </sheetView>
  </sheetViews>
  <sheetFormatPr baseColWidth="10" defaultColWidth="10" defaultRowHeight="15" customHeight="1" x14ac:dyDescent="0.15"/>
  <cols>
    <col min="1" max="1" width="8.25" style="204" customWidth="1"/>
    <col min="2" max="2" width="15" style="204" customWidth="1"/>
    <col min="3" max="3" width="18.25" style="204" customWidth="1"/>
    <col min="4" max="5" width="18.25" style="204" hidden="1" customWidth="1"/>
    <col min="6" max="7" width="13.25" style="204" customWidth="1"/>
    <col min="8" max="8" width="18.25" style="204" customWidth="1"/>
    <col min="9" max="9" width="20" style="204" customWidth="1"/>
    <col min="10" max="16384" width="10" style="204"/>
  </cols>
  <sheetData>
    <row r="1" spans="1:9" ht="32.25" customHeight="1" x14ac:dyDescent="0.15">
      <c r="A1" s="315" t="str">
        <f>'Công trình'!A2</f>
        <v>CÔNG TRÌNH : XÂY DỰNG HỆ THỐNG CỐNG HỘP KÊNH BẾN KEM ĐOẠN TỪ NHÀ ÔNG CHÍN ĐẾN KÊNH ĐẠI TRÀ 2, XÃ KIẾN MINH</v>
      </c>
      <c r="B1" s="370"/>
      <c r="C1" s="370"/>
      <c r="D1" s="370"/>
      <c r="E1" s="370"/>
      <c r="F1" s="370"/>
      <c r="G1" s="370"/>
      <c r="H1" s="370"/>
      <c r="I1" s="370"/>
    </row>
    <row r="2" spans="1:9" ht="26.25" customHeight="1" x14ac:dyDescent="0.15">
      <c r="A2" s="313" t="s">
        <v>644</v>
      </c>
      <c r="B2" s="370"/>
      <c r="C2" s="370"/>
      <c r="D2" s="370"/>
      <c r="E2" s="370"/>
      <c r="F2" s="370"/>
      <c r="G2" s="370"/>
    </row>
    <row r="3" spans="1:9" ht="45" customHeight="1" x14ac:dyDescent="0.15">
      <c r="A3" s="221" t="s">
        <v>4</v>
      </c>
      <c r="B3" s="222" t="s">
        <v>645</v>
      </c>
      <c r="C3" s="222" t="s">
        <v>646</v>
      </c>
      <c r="D3" s="222"/>
      <c r="E3" s="222"/>
      <c r="F3" s="222" t="s">
        <v>647</v>
      </c>
      <c r="G3" s="222" t="s">
        <v>648</v>
      </c>
    </row>
    <row r="4" spans="1:9" ht="15" customHeight="1" x14ac:dyDescent="0.15">
      <c r="A4" s="223">
        <v>1</v>
      </c>
      <c r="B4" s="224" t="s">
        <v>649</v>
      </c>
      <c r="C4" s="225">
        <v>1.05</v>
      </c>
      <c r="D4" s="226"/>
      <c r="E4" s="226"/>
      <c r="F4" s="227">
        <f>IF(C4&lt;&gt;0,ROUND(C5/C4,5),0)</f>
        <v>1</v>
      </c>
      <c r="G4" s="376">
        <f>ROUND(SUM(F4:F8)/A8,5)</f>
        <v>1.00952</v>
      </c>
    </row>
    <row r="5" spans="1:9" ht="15" customHeight="1" x14ac:dyDescent="0.15">
      <c r="A5" s="223">
        <v>2</v>
      </c>
      <c r="B5" s="224" t="s">
        <v>650</v>
      </c>
      <c r="C5" s="225">
        <v>1.05</v>
      </c>
      <c r="D5" s="226"/>
      <c r="E5" s="226"/>
      <c r="F5" s="227">
        <f>IF(C5&lt;&gt;0,ROUND(C6/C5,5),0)</f>
        <v>1</v>
      </c>
      <c r="G5" s="377"/>
    </row>
    <row r="6" spans="1:9" ht="15" customHeight="1" x14ac:dyDescent="0.15">
      <c r="A6" s="223">
        <v>3</v>
      </c>
      <c r="B6" s="224" t="s">
        <v>651</v>
      </c>
      <c r="C6" s="225">
        <v>1.05</v>
      </c>
      <c r="D6" s="226"/>
      <c r="E6" s="226"/>
      <c r="F6" s="227">
        <f>IF(C6&lt;&gt;0,ROUND(C7/C6,5),0)</f>
        <v>1</v>
      </c>
      <c r="G6" s="377"/>
    </row>
    <row r="7" spans="1:9" ht="15" customHeight="1" x14ac:dyDescent="0.15">
      <c r="A7" s="223">
        <v>4</v>
      </c>
      <c r="B7" s="224" t="s">
        <v>652</v>
      </c>
      <c r="C7" s="225">
        <v>1.05</v>
      </c>
      <c r="D7" s="226"/>
      <c r="E7" s="226"/>
      <c r="F7" s="227">
        <f>IF(C7&lt;&gt;0,ROUND(C8/C7,5),0)</f>
        <v>1.04762</v>
      </c>
      <c r="G7" s="377"/>
    </row>
    <row r="8" spans="1:9" ht="15" customHeight="1" x14ac:dyDescent="0.15">
      <c r="A8" s="228">
        <v>5</v>
      </c>
      <c r="B8" s="229" t="s">
        <v>653</v>
      </c>
      <c r="C8" s="230">
        <v>1.1000000000000001</v>
      </c>
      <c r="D8" s="231"/>
      <c r="E8" s="231"/>
      <c r="F8" s="232">
        <v>1</v>
      </c>
      <c r="G8" s="378"/>
    </row>
    <row r="9" spans="1:9" ht="15" customHeight="1" x14ac:dyDescent="0.15">
      <c r="A9" s="370"/>
      <c r="B9" s="370"/>
      <c r="C9" s="370"/>
      <c r="D9" s="370"/>
      <c r="E9" s="370"/>
      <c r="F9" s="370"/>
      <c r="G9" s="370"/>
      <c r="H9" s="370"/>
      <c r="I9" s="370"/>
    </row>
    <row r="10" spans="1:9" ht="26.25" customHeight="1" x14ac:dyDescent="0.15">
      <c r="A10" s="313" t="s">
        <v>654</v>
      </c>
      <c r="B10" s="370"/>
      <c r="C10" s="370"/>
      <c r="D10" s="370"/>
      <c r="E10" s="370"/>
      <c r="F10" s="370"/>
      <c r="G10" s="370"/>
      <c r="H10" s="370"/>
      <c r="I10" s="370"/>
    </row>
    <row r="11" spans="1:9" ht="67.5" customHeight="1" x14ac:dyDescent="0.15">
      <c r="A11" s="379" t="s">
        <v>4</v>
      </c>
      <c r="B11" s="381" t="s">
        <v>655</v>
      </c>
      <c r="C11" s="222" t="s">
        <v>656</v>
      </c>
      <c r="D11" s="222" t="s">
        <v>657</v>
      </c>
      <c r="E11" s="222" t="s">
        <v>658</v>
      </c>
      <c r="F11" s="381" t="s">
        <v>648</v>
      </c>
      <c r="G11" s="381" t="s">
        <v>659</v>
      </c>
      <c r="H11" s="222" t="s">
        <v>660</v>
      </c>
      <c r="I11" s="222" t="s">
        <v>661</v>
      </c>
    </row>
    <row r="12" spans="1:9" ht="15" customHeight="1" x14ac:dyDescent="0.15">
      <c r="A12" s="380"/>
      <c r="B12" s="382"/>
      <c r="C12" s="233" t="str">
        <f>'Công trình'!AM1</f>
        <v>(đ)</v>
      </c>
      <c r="D12" s="233" t="str">
        <f>'Công trình'!AM1</f>
        <v>(đ)</v>
      </c>
      <c r="E12" s="233" t="str">
        <f>'Công trình'!AM1</f>
        <v>(đ)</v>
      </c>
      <c r="F12" s="382"/>
      <c r="G12" s="382"/>
      <c r="H12" s="233" t="str">
        <f>'Công trình'!AM1</f>
        <v>(đ)</v>
      </c>
      <c r="I12" s="233" t="str">
        <f>'Công trình'!AM1</f>
        <v>(đ)</v>
      </c>
    </row>
    <row r="13" spans="1:9" ht="15" customHeight="1" x14ac:dyDescent="0.15">
      <c r="A13" s="223">
        <v>1</v>
      </c>
      <c r="B13" s="224" t="s">
        <v>662</v>
      </c>
      <c r="C13" s="234">
        <v>1869275331</v>
      </c>
      <c r="D13" s="234">
        <v>0</v>
      </c>
      <c r="E13" s="234">
        <f>C13-D13</f>
        <v>1869275331</v>
      </c>
      <c r="F13" s="235">
        <f>G4</f>
        <v>1.00952</v>
      </c>
      <c r="G13" s="235">
        <v>0.05</v>
      </c>
      <c r="H13" s="234">
        <f>C13*((F13+G13)^A13-1)</f>
        <v>111259267.70112003</v>
      </c>
      <c r="I13" s="234">
        <f>H13</f>
        <v>111259267.70112003</v>
      </c>
    </row>
    <row r="14" spans="1:9" ht="15" customHeight="1" x14ac:dyDescent="0.15">
      <c r="A14" s="223">
        <v>2</v>
      </c>
      <c r="B14" s="224" t="s">
        <v>663</v>
      </c>
      <c r="C14" s="234">
        <v>1869275331</v>
      </c>
      <c r="D14" s="234">
        <v>0</v>
      </c>
      <c r="E14" s="234">
        <f>C14-D14</f>
        <v>1869275331</v>
      </c>
      <c r="F14" s="235">
        <f>G4</f>
        <v>1.00952</v>
      </c>
      <c r="G14" s="235">
        <v>0.05</v>
      </c>
      <c r="H14" s="234">
        <f>C14*((F14+G14)^A14-1)</f>
        <v>229140687.01581058</v>
      </c>
      <c r="I14" s="234">
        <f>H14+I13</f>
        <v>340399954.71693063</v>
      </c>
    </row>
    <row r="15" spans="1:9" ht="15" customHeight="1" x14ac:dyDescent="0.15">
      <c r="A15" s="223">
        <v>3</v>
      </c>
      <c r="B15" s="224" t="s">
        <v>664</v>
      </c>
      <c r="C15" s="234">
        <f>'TH kinh phí'!K80-SUM(C13:C14)</f>
        <v>5572341338</v>
      </c>
      <c r="D15" s="234">
        <v>0</v>
      </c>
      <c r="E15" s="234">
        <f>C15-D15</f>
        <v>5572341338</v>
      </c>
      <c r="F15" s="235">
        <f>G4</f>
        <v>1.00952</v>
      </c>
      <c r="G15" s="235">
        <v>0.05</v>
      </c>
      <c r="H15" s="234">
        <f>C15*((F15+G15)^A15-1)</f>
        <v>1055394475.9742014</v>
      </c>
      <c r="I15" s="234">
        <f>H15+I14</f>
        <v>1395794430.6911321</v>
      </c>
    </row>
    <row r="16" spans="1:9" ht="22.5" customHeight="1" x14ac:dyDescent="0.15">
      <c r="A16" s="373" t="s">
        <v>637</v>
      </c>
      <c r="B16" s="374"/>
      <c r="C16" s="236">
        <f>SUM(C13:C15)</f>
        <v>9310892000</v>
      </c>
      <c r="D16" s="236">
        <f>SUM(D13:D15)</f>
        <v>0</v>
      </c>
      <c r="E16" s="236">
        <f>SUM(E13:E15)</f>
        <v>9310892000</v>
      </c>
      <c r="F16" s="231"/>
      <c r="G16" s="231"/>
      <c r="H16" s="375">
        <f>I15</f>
        <v>1395794430.6911321</v>
      </c>
      <c r="I16" s="374"/>
    </row>
  </sheetData>
  <mergeCells count="11">
    <mergeCell ref="A16:B16"/>
    <mergeCell ref="H16:I16"/>
    <mergeCell ref="A2:G2"/>
    <mergeCell ref="A1:I1"/>
    <mergeCell ref="G4:G8"/>
    <mergeCell ref="A9:I9"/>
    <mergeCell ref="A10:I10"/>
    <mergeCell ref="A11:A12"/>
    <mergeCell ref="B11:B12"/>
    <mergeCell ref="F11:F12"/>
    <mergeCell ref="G11:G12"/>
  </mergeCells>
  <pageMargins left="1.1875" right="0" top="0.80208333333333337" bottom="0.80208333333333337" header="0.40625" footer="0.40625"/>
  <pageSetup paperSize="9" orientation="portrait" blackAndWhite="1" verticalDpi="0"/>
  <headerFooter alignWithMargins="0">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87387-5BC6-7A43-94AB-7FE6DAB3573D}">
  <dimension ref="A1:O89"/>
  <sheetViews>
    <sheetView showZeros="0" workbookViewId="0">
      <selection activeCell="G50" sqref="G50"/>
    </sheetView>
  </sheetViews>
  <sheetFormatPr baseColWidth="10" defaultColWidth="10" defaultRowHeight="15" customHeight="1" x14ac:dyDescent="0.15"/>
  <cols>
    <col min="1" max="1" width="6.75" style="78" customWidth="1"/>
    <col min="2" max="2" width="45" style="78" customWidth="1"/>
    <col min="3" max="3" width="10" style="78" customWidth="1"/>
    <col min="4" max="4" width="10.75" style="78" customWidth="1"/>
    <col min="5" max="5" width="6.75" style="78" customWidth="1"/>
    <col min="6" max="6" width="20.75" style="78" customWidth="1"/>
    <col min="7" max="7" width="21.25" style="78" bestFit="1" customWidth="1"/>
    <col min="8" max="8" width="18.25" style="78" customWidth="1"/>
    <col min="9" max="9" width="22.25" style="78" customWidth="1"/>
    <col min="10" max="10" width="10" style="272" hidden="1" customWidth="1"/>
    <col min="11" max="11" width="15" style="247" customWidth="1"/>
    <col min="12" max="14" width="15" style="264" customWidth="1"/>
    <col min="15" max="15" width="50" style="78" customWidth="1"/>
    <col min="16" max="16384" width="10" style="78"/>
  </cols>
  <sheetData>
    <row r="1" spans="1:15" ht="26.25" customHeight="1" x14ac:dyDescent="0.15">
      <c r="A1" s="313" t="s">
        <v>1160</v>
      </c>
      <c r="B1" s="314"/>
      <c r="C1" s="314"/>
      <c r="D1" s="314"/>
      <c r="E1" s="314"/>
      <c r="F1" s="314"/>
      <c r="G1" s="314"/>
      <c r="H1" s="314"/>
      <c r="I1" s="314"/>
    </row>
    <row r="2" spans="1:15" ht="32.25" customHeight="1" x14ac:dyDescent="0.15">
      <c r="A2" s="359" t="s">
        <v>1159</v>
      </c>
      <c r="B2" s="314"/>
      <c r="C2" s="314"/>
      <c r="D2" s="314"/>
      <c r="E2" s="314"/>
      <c r="F2" s="314"/>
      <c r="G2" s="314"/>
      <c r="H2" s="314"/>
      <c r="I2" s="314"/>
    </row>
    <row r="3" spans="1:15" ht="22.5" customHeight="1" x14ac:dyDescent="0.2">
      <c r="A3" s="384" t="str">
        <f>"Đơn vị tính:  "&amp;'Công trình'!AM1</f>
        <v>Đơn vị tính:  (đ)</v>
      </c>
      <c r="B3" s="314"/>
      <c r="C3" s="314"/>
      <c r="D3" s="314"/>
      <c r="E3" s="314"/>
      <c r="F3" s="314"/>
      <c r="G3" s="314"/>
      <c r="H3" s="314"/>
      <c r="I3" s="314"/>
      <c r="L3" s="383" t="s">
        <v>666</v>
      </c>
      <c r="M3" s="383"/>
      <c r="N3" s="383"/>
      <c r="O3" s="238"/>
    </row>
    <row r="4" spans="1:15" ht="28.5" customHeight="1" x14ac:dyDescent="0.15">
      <c r="A4" s="79" t="s">
        <v>4</v>
      </c>
      <c r="B4" s="19" t="s">
        <v>667</v>
      </c>
      <c r="C4" s="19" t="s">
        <v>422</v>
      </c>
      <c r="D4" s="19" t="s">
        <v>443</v>
      </c>
      <c r="E4" s="19" t="s">
        <v>227</v>
      </c>
      <c r="F4" s="19" t="s">
        <v>575</v>
      </c>
      <c r="G4" s="19" t="s">
        <v>668</v>
      </c>
      <c r="H4" s="19" t="s">
        <v>669</v>
      </c>
      <c r="I4" s="19" t="s">
        <v>670</v>
      </c>
      <c r="K4" s="239">
        <v>0.08</v>
      </c>
      <c r="L4" s="237" t="s">
        <v>671</v>
      </c>
      <c r="M4" s="237" t="s">
        <v>672</v>
      </c>
      <c r="N4" s="237" t="s">
        <v>673</v>
      </c>
      <c r="O4" s="238" t="s">
        <v>674</v>
      </c>
    </row>
    <row r="5" spans="1:15" ht="34" hidden="1" x14ac:dyDescent="0.15">
      <c r="A5" s="240" t="s">
        <v>577</v>
      </c>
      <c r="B5" s="241" t="s">
        <v>675</v>
      </c>
      <c r="C5" s="242" t="s">
        <v>676</v>
      </c>
      <c r="D5" s="243"/>
      <c r="E5" s="244"/>
      <c r="F5" s="242" t="str">
        <f>""</f>
        <v/>
      </c>
      <c r="G5" s="245"/>
      <c r="H5" s="245">
        <v>0</v>
      </c>
      <c r="I5" s="245">
        <v>0</v>
      </c>
      <c r="J5" s="246" t="s">
        <v>677</v>
      </c>
      <c r="K5" s="247">
        <v>1</v>
      </c>
    </row>
    <row r="6" spans="1:15" ht="22" customHeight="1" x14ac:dyDescent="0.15">
      <c r="A6" s="240" t="s">
        <v>577</v>
      </c>
      <c r="B6" s="241" t="s">
        <v>678</v>
      </c>
      <c r="C6" s="242" t="s">
        <v>679</v>
      </c>
      <c r="D6" s="243"/>
      <c r="E6" s="244"/>
      <c r="F6" s="242" t="str">
        <f>""</f>
        <v/>
      </c>
      <c r="G6" s="245">
        <f>G7+G9</f>
        <v>7736859573</v>
      </c>
      <c r="H6" s="245">
        <f>H7+H9</f>
        <v>618948766</v>
      </c>
      <c r="I6" s="245">
        <f>I7+I9</f>
        <v>8355808000</v>
      </c>
      <c r="J6" s="246" t="s">
        <v>626</v>
      </c>
      <c r="K6" s="247">
        <v>1</v>
      </c>
      <c r="L6" s="248">
        <f>L7+L9</f>
        <v>7736859573</v>
      </c>
      <c r="M6" s="248">
        <f>M7+M9</f>
        <v>7736859573</v>
      </c>
      <c r="N6" s="248">
        <f>N7+N9</f>
        <v>7736859573</v>
      </c>
    </row>
    <row r="7" spans="1:15" ht="36" customHeight="1" x14ac:dyDescent="0.15">
      <c r="A7" s="249" t="s">
        <v>680</v>
      </c>
      <c r="B7" s="250" t="s">
        <v>681</v>
      </c>
      <c r="C7" s="251" t="s">
        <v>626</v>
      </c>
      <c r="D7" s="252"/>
      <c r="E7" s="253"/>
      <c r="F7" s="251" t="str">
        <f>""</f>
        <v/>
      </c>
      <c r="G7" s="254">
        <f>SUM(G8:G8)</f>
        <v>7736859573</v>
      </c>
      <c r="H7" s="254">
        <f>SUM(H8:H8)</f>
        <v>618948766</v>
      </c>
      <c r="I7" s="254">
        <f>ROUND(G7+H7,-3)</f>
        <v>8355808000</v>
      </c>
      <c r="J7" s="246" t="s">
        <v>682</v>
      </c>
      <c r="K7" s="255">
        <f>G7+G65</f>
        <v>7736859573</v>
      </c>
      <c r="L7" s="248">
        <f>SUM(L8:L8)</f>
        <v>7736859573</v>
      </c>
      <c r="M7" s="248">
        <f>SUM(M8:M8)</f>
        <v>7736859573</v>
      </c>
      <c r="N7" s="248">
        <f>SUM(N8:N8)</f>
        <v>7736859573</v>
      </c>
    </row>
    <row r="8" spans="1:15" ht="14" hidden="1" x14ac:dyDescent="0.15">
      <c r="A8" s="256"/>
      <c r="B8" s="257" t="str">
        <f>"+ "&amp;'Công trình'!F6</f>
        <v>+ HẠNG MỤC 1</v>
      </c>
      <c r="C8" s="258" t="s">
        <v>683</v>
      </c>
      <c r="D8" s="259"/>
      <c r="E8" s="260"/>
      <c r="F8" s="261"/>
      <c r="G8" s="116">
        <f>ROUND('TH chi phí XD'!C5,0)</f>
        <v>7736859573</v>
      </c>
      <c r="H8" s="116">
        <f>ROUND(G8*HSXL!D17,0)</f>
        <v>618948766</v>
      </c>
      <c r="I8" s="116">
        <f>G8+H8</f>
        <v>8355808339</v>
      </c>
      <c r="J8" s="246"/>
      <c r="L8" s="248">
        <f>G8</f>
        <v>7736859573</v>
      </c>
      <c r="M8" s="248">
        <f>G8</f>
        <v>7736859573</v>
      </c>
      <c r="N8" s="248">
        <f>G8</f>
        <v>7736859573</v>
      </c>
    </row>
    <row r="9" spans="1:15" ht="34" hidden="1" x14ac:dyDescent="0.15">
      <c r="A9" s="249" t="s">
        <v>684</v>
      </c>
      <c r="B9" s="250" t="s">
        <v>685</v>
      </c>
      <c r="C9" s="251" t="s">
        <v>686</v>
      </c>
      <c r="D9" s="252"/>
      <c r="E9" s="253"/>
      <c r="F9" s="251" t="str">
        <f>""</f>
        <v/>
      </c>
      <c r="G9" s="254">
        <f>ROUND(I9/(1+0.08),0)</f>
        <v>0</v>
      </c>
      <c r="H9" s="254">
        <f>ROUND(G9*0.08,0)</f>
        <v>0</v>
      </c>
      <c r="I9" s="254"/>
      <c r="J9" s="246" t="s">
        <v>687</v>
      </c>
      <c r="K9" s="247">
        <v>1</v>
      </c>
    </row>
    <row r="10" spans="1:15" ht="17" hidden="1" x14ac:dyDescent="0.15">
      <c r="A10" s="240" t="s">
        <v>589</v>
      </c>
      <c r="B10" s="241" t="s">
        <v>688</v>
      </c>
      <c r="C10" s="242" t="s">
        <v>689</v>
      </c>
      <c r="D10" s="243"/>
      <c r="E10" s="244"/>
      <c r="F10" s="242" t="str">
        <f>""</f>
        <v/>
      </c>
      <c r="G10" s="245"/>
      <c r="H10" s="245"/>
      <c r="I10" s="245">
        <f>G10+H10</f>
        <v>0</v>
      </c>
      <c r="J10" s="246" t="s">
        <v>689</v>
      </c>
      <c r="K10" s="247">
        <v>1</v>
      </c>
      <c r="L10" s="248">
        <f>SUM(L15:L15)</f>
        <v>0</v>
      </c>
      <c r="M10" s="248">
        <f>SUM(M15:M15)</f>
        <v>0</v>
      </c>
      <c r="N10" s="248">
        <f>SUM(N15:N15)</f>
        <v>0</v>
      </c>
    </row>
    <row r="11" spans="1:15" ht="17" hidden="1" x14ac:dyDescent="0.15">
      <c r="A11" s="240" t="s">
        <v>690</v>
      </c>
      <c r="B11" s="241" t="s">
        <v>691</v>
      </c>
      <c r="C11" s="242"/>
      <c r="D11" s="243"/>
      <c r="E11" s="244"/>
      <c r="F11" s="242" t="str">
        <f>""</f>
        <v/>
      </c>
      <c r="G11" s="245"/>
      <c r="H11" s="245"/>
      <c r="I11" s="245"/>
      <c r="J11" s="246" t="s">
        <v>692</v>
      </c>
      <c r="K11" s="247">
        <v>1</v>
      </c>
    </row>
    <row r="12" spans="1:15" ht="17" hidden="1" x14ac:dyDescent="0.15">
      <c r="A12" s="249"/>
      <c r="B12" s="250" t="s">
        <v>693</v>
      </c>
      <c r="C12" s="251"/>
      <c r="D12" s="252"/>
      <c r="E12" s="253"/>
      <c r="F12" s="251" t="str">
        <f>""</f>
        <v/>
      </c>
      <c r="G12" s="254"/>
      <c r="H12" s="254"/>
      <c r="I12" s="254">
        <f>G12+H12</f>
        <v>0</v>
      </c>
      <c r="J12" s="246" t="s">
        <v>694</v>
      </c>
      <c r="K12" s="247">
        <v>1</v>
      </c>
    </row>
    <row r="13" spans="1:15" ht="51" hidden="1" x14ac:dyDescent="0.15">
      <c r="A13" s="249"/>
      <c r="B13" s="250" t="s">
        <v>695</v>
      </c>
      <c r="C13" s="251"/>
      <c r="D13" s="252"/>
      <c r="E13" s="253"/>
      <c r="F13" s="251" t="str">
        <f>""</f>
        <v/>
      </c>
      <c r="G13" s="254">
        <v>0</v>
      </c>
      <c r="H13" s="254">
        <v>0</v>
      </c>
      <c r="I13" s="254">
        <v>0</v>
      </c>
      <c r="J13" s="246" t="s">
        <v>696</v>
      </c>
      <c r="K13" s="247">
        <v>1</v>
      </c>
    </row>
    <row r="14" spans="1:15" ht="34" hidden="1" x14ac:dyDescent="0.15">
      <c r="A14" s="240" t="s">
        <v>697</v>
      </c>
      <c r="B14" s="241" t="s">
        <v>698</v>
      </c>
      <c r="C14" s="242"/>
      <c r="D14" s="243"/>
      <c r="E14" s="244"/>
      <c r="F14" s="242" t="str">
        <f>""</f>
        <v/>
      </c>
      <c r="G14" s="245"/>
      <c r="H14" s="245"/>
      <c r="I14" s="245"/>
      <c r="J14" s="246" t="s">
        <v>699</v>
      </c>
      <c r="K14" s="247">
        <v>1</v>
      </c>
    </row>
    <row r="15" spans="1:15" ht="14" hidden="1" x14ac:dyDescent="0.15">
      <c r="A15" s="256"/>
      <c r="B15" s="257" t="str">
        <f>"+ "&amp;'Công trình'!F6</f>
        <v>+ HẠNG MỤC 1</v>
      </c>
      <c r="C15" s="258" t="s">
        <v>700</v>
      </c>
      <c r="D15" s="259"/>
      <c r="E15" s="260"/>
      <c r="F15" s="261"/>
      <c r="G15" s="116">
        <v>0</v>
      </c>
      <c r="H15" s="116">
        <f>ROUND(G15*HSXL!D17,0)</f>
        <v>0</v>
      </c>
      <c r="I15" s="116">
        <f>G15+H15</f>
        <v>0</v>
      </c>
      <c r="J15" s="246"/>
      <c r="L15" s="248">
        <f>G15</f>
        <v>0</v>
      </c>
      <c r="M15" s="248">
        <f>G15</f>
        <v>0</v>
      </c>
      <c r="N15" s="248">
        <f>G15</f>
        <v>0</v>
      </c>
    </row>
    <row r="16" spans="1:15" ht="22" customHeight="1" x14ac:dyDescent="0.15">
      <c r="A16" s="240">
        <v>2</v>
      </c>
      <c r="B16" s="241" t="s">
        <v>701</v>
      </c>
      <c r="C16" s="242" t="s">
        <v>702</v>
      </c>
      <c r="D16" s="310">
        <f>'Định mức tư vấn'!F3</f>
        <v>2.9010000000000001E-2</v>
      </c>
      <c r="E16" s="244"/>
      <c r="F16" s="242" t="s">
        <v>1190</v>
      </c>
      <c r="G16" s="245">
        <f>ROUND(D16*(G7+G10),0)</f>
        <v>224446296</v>
      </c>
      <c r="H16" s="245"/>
      <c r="I16" s="245">
        <f>ROUND(G16+H16,-3)</f>
        <v>224446000</v>
      </c>
      <c r="J16" s="246" t="s">
        <v>702</v>
      </c>
      <c r="K16" s="247">
        <v>1</v>
      </c>
      <c r="O16" s="78" t="s">
        <v>703</v>
      </c>
    </row>
    <row r="17" spans="1:15" ht="85" hidden="1" x14ac:dyDescent="0.15">
      <c r="A17" s="240" t="s">
        <v>597</v>
      </c>
      <c r="B17" s="241" t="s">
        <v>704</v>
      </c>
      <c r="C17" s="242" t="s">
        <v>702</v>
      </c>
      <c r="D17" s="310"/>
      <c r="E17" s="244"/>
      <c r="F17" s="242" t="s">
        <v>639</v>
      </c>
      <c r="G17" s="245"/>
      <c r="H17" s="245">
        <f>ROUND(K4*G17,0)</f>
        <v>0</v>
      </c>
      <c r="I17" s="245">
        <f>G17+H17</f>
        <v>0</v>
      </c>
      <c r="J17" s="246" t="s">
        <v>705</v>
      </c>
      <c r="K17" s="247">
        <v>1</v>
      </c>
    </row>
    <row r="18" spans="1:15" ht="22" customHeight="1" x14ac:dyDescent="0.15">
      <c r="A18" s="240">
        <v>3</v>
      </c>
      <c r="B18" s="241" t="s">
        <v>707</v>
      </c>
      <c r="C18" s="242" t="s">
        <v>708</v>
      </c>
      <c r="D18" s="310"/>
      <c r="E18" s="244"/>
      <c r="F18" s="242" t="s">
        <v>1177</v>
      </c>
      <c r="G18" s="245">
        <f>SUMIF(K19:K62,1,G19:G62)</f>
        <v>571390394</v>
      </c>
      <c r="H18" s="245">
        <f>SUMIF(K19:K62,1,H19:H62)</f>
        <v>45711231</v>
      </c>
      <c r="I18" s="245">
        <f>SUMIF(K19:K62,1,I19:I62)</f>
        <v>617102000</v>
      </c>
      <c r="J18" s="246" t="s">
        <v>708</v>
      </c>
      <c r="K18" s="247">
        <v>1</v>
      </c>
    </row>
    <row r="19" spans="1:15" ht="22" customHeight="1" x14ac:dyDescent="0.15">
      <c r="A19" s="249" t="s">
        <v>959</v>
      </c>
      <c r="B19" s="250" t="s">
        <v>709</v>
      </c>
      <c r="C19" s="251" t="s">
        <v>710</v>
      </c>
      <c r="D19" s="311"/>
      <c r="E19" s="253"/>
      <c r="F19" s="251" t="s">
        <v>1191</v>
      </c>
      <c r="G19" s="254">
        <v>52699139</v>
      </c>
      <c r="H19" s="254">
        <f>ROUND(K4*G19,0)</f>
        <v>4215931</v>
      </c>
      <c r="I19" s="254">
        <f>ROUND(G19+H19,-3)</f>
        <v>56915000</v>
      </c>
      <c r="J19" s="246" t="s">
        <v>711</v>
      </c>
      <c r="K19" s="247">
        <v>1</v>
      </c>
      <c r="O19" s="78" t="s">
        <v>712</v>
      </c>
    </row>
    <row r="20" spans="1:15" ht="34" hidden="1" x14ac:dyDescent="0.15">
      <c r="A20" s="249"/>
      <c r="B20" s="250" t="s">
        <v>713</v>
      </c>
      <c r="C20" s="251" t="s">
        <v>714</v>
      </c>
      <c r="D20" s="311">
        <v>0.03</v>
      </c>
      <c r="E20" s="253"/>
      <c r="F20" s="251" t="s">
        <v>1161</v>
      </c>
      <c r="G20" s="254"/>
      <c r="H20" s="254">
        <f>ROUND(K4*G20,0)</f>
        <v>0</v>
      </c>
      <c r="I20" s="254">
        <f>G20+H20</f>
        <v>0</v>
      </c>
      <c r="J20" s="246" t="s">
        <v>715</v>
      </c>
      <c r="K20" s="247">
        <v>1</v>
      </c>
    </row>
    <row r="21" spans="1:15" ht="34" hidden="1" x14ac:dyDescent="0.15">
      <c r="A21" s="249"/>
      <c r="B21" s="250" t="s">
        <v>716</v>
      </c>
      <c r="C21" s="251" t="s">
        <v>717</v>
      </c>
      <c r="D21" s="311"/>
      <c r="E21" s="253"/>
      <c r="F21" s="251" t="s">
        <v>1162</v>
      </c>
      <c r="G21" s="254"/>
      <c r="H21" s="254">
        <f>ROUND(K4*G21,0)</f>
        <v>0</v>
      </c>
      <c r="I21" s="254">
        <f>G21+H21</f>
        <v>0</v>
      </c>
      <c r="J21" s="246" t="s">
        <v>718</v>
      </c>
      <c r="K21" s="247">
        <v>1</v>
      </c>
    </row>
    <row r="22" spans="1:15" ht="17" hidden="1" x14ac:dyDescent="0.15">
      <c r="A22" s="249"/>
      <c r="B22" s="250" t="s">
        <v>719</v>
      </c>
      <c r="C22" s="251" t="s">
        <v>720</v>
      </c>
      <c r="D22" s="311"/>
      <c r="E22" s="253"/>
      <c r="F22" s="251" t="s">
        <v>639</v>
      </c>
      <c r="G22" s="254"/>
      <c r="H22" s="254">
        <f>ROUND(K4*G22,0)</f>
        <v>0</v>
      </c>
      <c r="I22" s="254"/>
      <c r="J22" s="246" t="s">
        <v>721</v>
      </c>
      <c r="K22" s="247">
        <v>1</v>
      </c>
    </row>
    <row r="23" spans="1:15" ht="34" hidden="1" x14ac:dyDescent="0.15">
      <c r="A23" s="249"/>
      <c r="B23" s="250" t="s">
        <v>722</v>
      </c>
      <c r="C23" s="251" t="s">
        <v>723</v>
      </c>
      <c r="D23" s="311"/>
      <c r="E23" s="253"/>
      <c r="F23" s="251" t="s">
        <v>639</v>
      </c>
      <c r="G23" s="254"/>
      <c r="H23" s="254">
        <f>ROUND(K4*G23,0)</f>
        <v>0</v>
      </c>
      <c r="I23" s="254"/>
      <c r="J23" s="246" t="s">
        <v>724</v>
      </c>
      <c r="K23" s="247">
        <v>1</v>
      </c>
    </row>
    <row r="24" spans="1:15" ht="34" hidden="1" x14ac:dyDescent="0.15">
      <c r="A24" s="249"/>
      <c r="B24" s="250" t="s">
        <v>725</v>
      </c>
      <c r="C24" s="251" t="s">
        <v>726</v>
      </c>
      <c r="D24" s="311"/>
      <c r="E24" s="253"/>
      <c r="F24" s="251" t="s">
        <v>639</v>
      </c>
      <c r="G24" s="254"/>
      <c r="H24" s="254">
        <f>ROUND(K4*G24,0)</f>
        <v>0</v>
      </c>
      <c r="I24" s="254">
        <f t="shared" ref="I24:I61" si="0">G24+H24</f>
        <v>0</v>
      </c>
      <c r="J24" s="246" t="s">
        <v>727</v>
      </c>
      <c r="K24" s="247">
        <v>1</v>
      </c>
    </row>
    <row r="25" spans="1:15" ht="51" hidden="1" x14ac:dyDescent="0.15">
      <c r="A25" s="249"/>
      <c r="B25" s="250" t="s">
        <v>728</v>
      </c>
      <c r="C25" s="251" t="s">
        <v>729</v>
      </c>
      <c r="D25" s="311"/>
      <c r="E25" s="253"/>
      <c r="F25" s="251" t="s">
        <v>639</v>
      </c>
      <c r="G25" s="254"/>
      <c r="H25" s="254">
        <f>ROUND(K4*G25,0)</f>
        <v>0</v>
      </c>
      <c r="I25" s="254">
        <f t="shared" si="0"/>
        <v>0</v>
      </c>
      <c r="J25" s="246" t="s">
        <v>730</v>
      </c>
      <c r="K25" s="247">
        <v>1</v>
      </c>
    </row>
    <row r="26" spans="1:15" ht="34" hidden="1" x14ac:dyDescent="0.15">
      <c r="A26" s="249"/>
      <c r="B26" s="250" t="s">
        <v>731</v>
      </c>
      <c r="C26" s="251" t="s">
        <v>732</v>
      </c>
      <c r="D26" s="311"/>
      <c r="E26" s="253"/>
      <c r="F26" s="251" t="s">
        <v>639</v>
      </c>
      <c r="G26" s="254"/>
      <c r="H26" s="254">
        <f>ROUND(K4*G26,0)</f>
        <v>0</v>
      </c>
      <c r="I26" s="254">
        <f t="shared" si="0"/>
        <v>0</v>
      </c>
      <c r="J26" s="246" t="s">
        <v>733</v>
      </c>
      <c r="K26" s="247">
        <v>1</v>
      </c>
    </row>
    <row r="27" spans="1:15" ht="34" hidden="1" x14ac:dyDescent="0.15">
      <c r="A27" s="249"/>
      <c r="B27" s="250" t="s">
        <v>734</v>
      </c>
      <c r="C27" s="251" t="s">
        <v>735</v>
      </c>
      <c r="D27" s="311"/>
      <c r="E27" s="253"/>
      <c r="F27" s="251" t="s">
        <v>639</v>
      </c>
      <c r="G27" s="254"/>
      <c r="H27" s="254">
        <f>ROUND(K4*G27,0)</f>
        <v>0</v>
      </c>
      <c r="I27" s="254">
        <f t="shared" si="0"/>
        <v>0</v>
      </c>
      <c r="J27" s="246" t="s">
        <v>736</v>
      </c>
      <c r="K27" s="247">
        <v>1</v>
      </c>
    </row>
    <row r="28" spans="1:15" ht="34" hidden="1" x14ac:dyDescent="0.15">
      <c r="A28" s="249"/>
      <c r="B28" s="250" t="s">
        <v>737</v>
      </c>
      <c r="C28" s="251" t="s">
        <v>738</v>
      </c>
      <c r="D28" s="311"/>
      <c r="E28" s="253"/>
      <c r="F28" s="251" t="s">
        <v>639</v>
      </c>
      <c r="G28" s="254"/>
      <c r="H28" s="254">
        <f>ROUND(K4*G28,0)</f>
        <v>0</v>
      </c>
      <c r="I28" s="254">
        <f t="shared" si="0"/>
        <v>0</v>
      </c>
      <c r="J28" s="246" t="s">
        <v>739</v>
      </c>
      <c r="K28" s="247">
        <v>1</v>
      </c>
    </row>
    <row r="29" spans="1:15" ht="22" customHeight="1" x14ac:dyDescent="0.15">
      <c r="A29" s="249" t="s">
        <v>961</v>
      </c>
      <c r="B29" s="250" t="s">
        <v>741</v>
      </c>
      <c r="C29" s="251" t="s">
        <v>714</v>
      </c>
      <c r="D29" s="311">
        <f>'Định mức tư vấn'!F4</f>
        <v>3.2526300000000001E-2</v>
      </c>
      <c r="E29" s="253"/>
      <c r="F29" s="251" t="s">
        <v>1189</v>
      </c>
      <c r="G29" s="254">
        <f>ROUND(D29*(L7+L10),0)</f>
        <v>251651416</v>
      </c>
      <c r="H29" s="254">
        <f>ROUND(K4*G29,0)</f>
        <v>20132113</v>
      </c>
      <c r="I29" s="254">
        <f>ROUND(G29+H29,-3)</f>
        <v>271784000</v>
      </c>
      <c r="J29" s="246" t="s">
        <v>742</v>
      </c>
      <c r="K29" s="247">
        <v>1</v>
      </c>
      <c r="O29" s="78" t="s">
        <v>703</v>
      </c>
    </row>
    <row r="30" spans="1:15" ht="34" hidden="1" x14ac:dyDescent="0.15">
      <c r="A30" s="249"/>
      <c r="B30" s="250" t="s">
        <v>743</v>
      </c>
      <c r="C30" s="251" t="s">
        <v>744</v>
      </c>
      <c r="D30" s="311"/>
      <c r="E30" s="253"/>
      <c r="F30" s="251" t="s">
        <v>639</v>
      </c>
      <c r="G30" s="254"/>
      <c r="H30" s="254">
        <f>ROUND(K4*G30,0)</f>
        <v>0</v>
      </c>
      <c r="I30" s="254">
        <f t="shared" si="0"/>
        <v>0</v>
      </c>
      <c r="J30" s="246" t="s">
        <v>745</v>
      </c>
      <c r="K30" s="247">
        <v>1</v>
      </c>
    </row>
    <row r="31" spans="1:15" ht="34" hidden="1" x14ac:dyDescent="0.15">
      <c r="A31" s="249"/>
      <c r="B31" s="250" t="s">
        <v>746</v>
      </c>
      <c r="C31" s="251" t="s">
        <v>747</v>
      </c>
      <c r="D31" s="311"/>
      <c r="E31" s="253"/>
      <c r="F31" s="251" t="s">
        <v>639</v>
      </c>
      <c r="G31" s="254"/>
      <c r="H31" s="254">
        <f>ROUND(K4*G31,0)</f>
        <v>0</v>
      </c>
      <c r="I31" s="254">
        <f t="shared" si="0"/>
        <v>0</v>
      </c>
      <c r="J31" s="246" t="s">
        <v>748</v>
      </c>
      <c r="K31" s="247">
        <v>1</v>
      </c>
    </row>
    <row r="32" spans="1:15" ht="34" hidden="1" x14ac:dyDescent="0.15">
      <c r="A32" s="249"/>
      <c r="B32" s="250" t="s">
        <v>749</v>
      </c>
      <c r="C32" s="251" t="s">
        <v>750</v>
      </c>
      <c r="D32" s="311"/>
      <c r="E32" s="253"/>
      <c r="F32" s="251" t="s">
        <v>639</v>
      </c>
      <c r="G32" s="254"/>
      <c r="H32" s="254">
        <f>ROUND(K4*G32,0)</f>
        <v>0</v>
      </c>
      <c r="I32" s="254">
        <f t="shared" si="0"/>
        <v>0</v>
      </c>
      <c r="J32" s="246" t="s">
        <v>751</v>
      </c>
      <c r="K32" s="247">
        <v>1</v>
      </c>
    </row>
    <row r="33" spans="1:15" ht="34" hidden="1" x14ac:dyDescent="0.15">
      <c r="A33" s="249"/>
      <c r="B33" s="250" t="s">
        <v>752</v>
      </c>
      <c r="C33" s="251" t="s">
        <v>753</v>
      </c>
      <c r="D33" s="311">
        <v>0.2</v>
      </c>
      <c r="E33" s="253"/>
      <c r="F33" s="251" t="s">
        <v>1163</v>
      </c>
      <c r="G33" s="254"/>
      <c r="H33" s="254">
        <f>ROUND(K4*G33,0)</f>
        <v>0</v>
      </c>
      <c r="I33" s="254">
        <f t="shared" si="0"/>
        <v>0</v>
      </c>
      <c r="J33" s="246" t="s">
        <v>754</v>
      </c>
      <c r="K33" s="247">
        <v>1</v>
      </c>
    </row>
    <row r="34" spans="1:15" ht="34" hidden="1" x14ac:dyDescent="0.15">
      <c r="A34" s="249"/>
      <c r="B34" s="250" t="s">
        <v>755</v>
      </c>
      <c r="C34" s="251" t="s">
        <v>756</v>
      </c>
      <c r="D34" s="311"/>
      <c r="E34" s="253"/>
      <c r="F34" s="251" t="s">
        <v>639</v>
      </c>
      <c r="G34" s="254"/>
      <c r="H34" s="254">
        <f>ROUND(K4*G34,0)</f>
        <v>0</v>
      </c>
      <c r="I34" s="254">
        <f t="shared" si="0"/>
        <v>0</v>
      </c>
      <c r="J34" s="246" t="s">
        <v>757</v>
      </c>
      <c r="K34" s="247">
        <v>1</v>
      </c>
    </row>
    <row r="35" spans="1:15" ht="34" hidden="1" x14ac:dyDescent="0.15">
      <c r="A35" s="249"/>
      <c r="B35" s="250" t="s">
        <v>758</v>
      </c>
      <c r="C35" s="251" t="s">
        <v>759</v>
      </c>
      <c r="D35" s="311"/>
      <c r="E35" s="253"/>
      <c r="F35" s="251" t="s">
        <v>639</v>
      </c>
      <c r="G35" s="254"/>
      <c r="H35" s="254">
        <f>ROUND(K4*G35,0)</f>
        <v>0</v>
      </c>
      <c r="I35" s="254">
        <f t="shared" si="0"/>
        <v>0</v>
      </c>
      <c r="J35" s="246" t="s">
        <v>760</v>
      </c>
      <c r="K35" s="247">
        <v>1</v>
      </c>
    </row>
    <row r="36" spans="1:15" ht="34" hidden="1" x14ac:dyDescent="0.15">
      <c r="A36" s="249"/>
      <c r="B36" s="250" t="s">
        <v>761</v>
      </c>
      <c r="C36" s="251" t="s">
        <v>762</v>
      </c>
      <c r="D36" s="311"/>
      <c r="E36" s="253"/>
      <c r="F36" s="251" t="s">
        <v>1164</v>
      </c>
      <c r="G36" s="254"/>
      <c r="H36" s="254">
        <f>ROUND(K4*G36,0)</f>
        <v>0</v>
      </c>
      <c r="I36" s="254">
        <f t="shared" si="0"/>
        <v>0</v>
      </c>
      <c r="J36" s="246" t="s">
        <v>763</v>
      </c>
      <c r="K36" s="247">
        <v>1</v>
      </c>
    </row>
    <row r="37" spans="1:15" ht="34" hidden="1" x14ac:dyDescent="0.15">
      <c r="A37" s="249"/>
      <c r="B37" s="250" t="s">
        <v>764</v>
      </c>
      <c r="C37" s="251" t="s">
        <v>765</v>
      </c>
      <c r="D37" s="311"/>
      <c r="E37" s="253"/>
      <c r="F37" s="251" t="s">
        <v>1165</v>
      </c>
      <c r="G37" s="254"/>
      <c r="H37" s="254">
        <f>ROUND(K4*G37,0)</f>
        <v>0</v>
      </c>
      <c r="I37" s="254">
        <f t="shared" si="0"/>
        <v>0</v>
      </c>
      <c r="J37" s="246" t="s">
        <v>766</v>
      </c>
      <c r="K37" s="247">
        <v>1</v>
      </c>
    </row>
    <row r="38" spans="1:15" ht="17" hidden="1" x14ac:dyDescent="0.15">
      <c r="A38" s="249"/>
      <c r="B38" s="250" t="s">
        <v>767</v>
      </c>
      <c r="C38" s="251" t="s">
        <v>768</v>
      </c>
      <c r="D38" s="311"/>
      <c r="E38" s="253"/>
      <c r="F38" s="251" t="s">
        <v>639</v>
      </c>
      <c r="G38" s="254"/>
      <c r="H38" s="254">
        <f>ROUND(K4*G38,0)</f>
        <v>0</v>
      </c>
      <c r="I38" s="254">
        <f t="shared" si="0"/>
        <v>0</v>
      </c>
      <c r="J38" s="246" t="s">
        <v>769</v>
      </c>
      <c r="K38" s="247">
        <v>1</v>
      </c>
    </row>
    <row r="39" spans="1:15" ht="17" hidden="1" x14ac:dyDescent="0.15">
      <c r="A39" s="249"/>
      <c r="B39" s="250" t="s">
        <v>770</v>
      </c>
      <c r="C39" s="251" t="s">
        <v>771</v>
      </c>
      <c r="D39" s="311"/>
      <c r="E39" s="253"/>
      <c r="F39" s="251" t="s">
        <v>639</v>
      </c>
      <c r="G39" s="254"/>
      <c r="H39" s="254">
        <f>ROUND(K4*G39,0)</f>
        <v>0</v>
      </c>
      <c r="I39" s="254">
        <f t="shared" si="0"/>
        <v>0</v>
      </c>
      <c r="J39" s="246" t="s">
        <v>772</v>
      </c>
      <c r="K39" s="247">
        <v>1</v>
      </c>
    </row>
    <row r="40" spans="1:15" ht="17" hidden="1" x14ac:dyDescent="0.15">
      <c r="A40" s="249"/>
      <c r="B40" s="250" t="s">
        <v>773</v>
      </c>
      <c r="C40" s="251" t="s">
        <v>774</v>
      </c>
      <c r="D40" s="311"/>
      <c r="E40" s="253"/>
      <c r="F40" s="251" t="s">
        <v>639</v>
      </c>
      <c r="G40" s="254"/>
      <c r="H40" s="254">
        <f>ROUND(K4*G40,0)</f>
        <v>0</v>
      </c>
      <c r="I40" s="254">
        <f t="shared" si="0"/>
        <v>0</v>
      </c>
      <c r="J40" s="246" t="s">
        <v>775</v>
      </c>
      <c r="K40" s="247">
        <v>1</v>
      </c>
    </row>
    <row r="41" spans="1:15" ht="51" hidden="1" x14ac:dyDescent="0.15">
      <c r="A41" s="249"/>
      <c r="B41" s="250" t="s">
        <v>776</v>
      </c>
      <c r="C41" s="251" t="s">
        <v>777</v>
      </c>
      <c r="D41" s="311"/>
      <c r="E41" s="253"/>
      <c r="F41" s="251" t="s">
        <v>639</v>
      </c>
      <c r="G41" s="254"/>
      <c r="H41" s="254">
        <f>ROUND(K4*G41,0)</f>
        <v>0</v>
      </c>
      <c r="I41" s="254">
        <f t="shared" si="0"/>
        <v>0</v>
      </c>
      <c r="J41" s="246" t="s">
        <v>778</v>
      </c>
      <c r="K41" s="247">
        <v>1</v>
      </c>
    </row>
    <row r="42" spans="1:15" ht="17" hidden="1" x14ac:dyDescent="0.15">
      <c r="A42" s="249"/>
      <c r="B42" s="250" t="s">
        <v>779</v>
      </c>
      <c r="C42" s="251" t="s">
        <v>780</v>
      </c>
      <c r="D42" s="311"/>
      <c r="E42" s="253"/>
      <c r="F42" s="251" t="s">
        <v>639</v>
      </c>
      <c r="G42" s="254"/>
      <c r="H42" s="254">
        <f>ROUND(K4*G42,0)</f>
        <v>0</v>
      </c>
      <c r="I42" s="254">
        <f t="shared" si="0"/>
        <v>0</v>
      </c>
      <c r="J42" s="246" t="s">
        <v>781</v>
      </c>
      <c r="K42" s="247">
        <v>1</v>
      </c>
    </row>
    <row r="43" spans="1:15" ht="22" customHeight="1" x14ac:dyDescent="0.15">
      <c r="A43" s="249" t="s">
        <v>1178</v>
      </c>
      <c r="B43" s="250" t="s">
        <v>783</v>
      </c>
      <c r="C43" s="251" t="s">
        <v>717</v>
      </c>
      <c r="D43" s="311">
        <f>'Định mức tư vấn'!F6</f>
        <v>1.97E-3</v>
      </c>
      <c r="E43" s="253"/>
      <c r="F43" s="251" t="s">
        <v>1166</v>
      </c>
      <c r="G43" s="254">
        <f>ROUND(D43*G7,0)</f>
        <v>15241613</v>
      </c>
      <c r="H43" s="254">
        <f>ROUND(K4*G43,0)</f>
        <v>1219329</v>
      </c>
      <c r="I43" s="254">
        <f>ROUND(G43+H43,-3)</f>
        <v>16461000</v>
      </c>
      <c r="J43" s="246" t="s">
        <v>784</v>
      </c>
      <c r="K43" s="247">
        <v>1</v>
      </c>
      <c r="O43" s="78" t="s">
        <v>703</v>
      </c>
    </row>
    <row r="44" spans="1:15" ht="22" customHeight="1" x14ac:dyDescent="0.15">
      <c r="A44" s="249" t="s">
        <v>1179</v>
      </c>
      <c r="B44" s="250" t="s">
        <v>786</v>
      </c>
      <c r="C44" s="251" t="s">
        <v>720</v>
      </c>
      <c r="D44" s="311">
        <f>'Định mức tư vấn'!F7</f>
        <v>1.91E-3</v>
      </c>
      <c r="E44" s="253"/>
      <c r="F44" s="251" t="s">
        <v>1167</v>
      </c>
      <c r="G44" s="254">
        <f>ROUND(D44*G7,0)</f>
        <v>14777402</v>
      </c>
      <c r="H44" s="254">
        <f>ROUND(K4*G44,0)</f>
        <v>1182192</v>
      </c>
      <c r="I44" s="254">
        <f>ROUND(G44+H44,-3)</f>
        <v>15960000</v>
      </c>
      <c r="J44" s="246" t="s">
        <v>787</v>
      </c>
      <c r="K44" s="247">
        <v>1</v>
      </c>
      <c r="O44" s="78" t="s">
        <v>703</v>
      </c>
    </row>
    <row r="45" spans="1:15" ht="35.25" customHeight="1" x14ac:dyDescent="0.15">
      <c r="A45" s="249" t="s">
        <v>1180</v>
      </c>
      <c r="B45" s="250" t="s">
        <v>789</v>
      </c>
      <c r="C45" s="251" t="s">
        <v>723</v>
      </c>
      <c r="D45" s="311">
        <f>'Định mức tư vấn'!F8</f>
        <v>3.8800000000000002E-3</v>
      </c>
      <c r="E45" s="253"/>
      <c r="F45" s="251" t="s">
        <v>1188</v>
      </c>
      <c r="G45" s="254">
        <f>ROUND(D45*'Dự toán gói thầu'!C9,0)</f>
        <v>24284967</v>
      </c>
      <c r="H45" s="254">
        <f>ROUND(K4*G45,0)</f>
        <v>1942797</v>
      </c>
      <c r="I45" s="254">
        <f>ROUND(G45+H45,-3)</f>
        <v>26228000</v>
      </c>
      <c r="J45" s="246" t="s">
        <v>790</v>
      </c>
      <c r="K45" s="247">
        <v>1</v>
      </c>
      <c r="O45" s="78" t="s">
        <v>703</v>
      </c>
    </row>
    <row r="46" spans="1:15" ht="51" hidden="1" x14ac:dyDescent="0.15">
      <c r="A46" s="249"/>
      <c r="B46" s="250" t="s">
        <v>791</v>
      </c>
      <c r="C46" s="251" t="s">
        <v>792</v>
      </c>
      <c r="D46" s="311"/>
      <c r="E46" s="253"/>
      <c r="F46" s="251" t="s">
        <v>1168</v>
      </c>
      <c r="G46" s="254"/>
      <c r="H46" s="254">
        <f>ROUND(K4*G46,0)</f>
        <v>0</v>
      </c>
      <c r="I46" s="254">
        <f t="shared" si="0"/>
        <v>0</v>
      </c>
      <c r="J46" s="246" t="s">
        <v>793</v>
      </c>
      <c r="K46" s="247">
        <v>1</v>
      </c>
    </row>
    <row r="47" spans="1:15" ht="51" hidden="1" x14ac:dyDescent="0.15">
      <c r="A47" s="249"/>
      <c r="B47" s="250" t="s">
        <v>794</v>
      </c>
      <c r="C47" s="251" t="s">
        <v>795</v>
      </c>
      <c r="D47" s="311"/>
      <c r="E47" s="253"/>
      <c r="F47" s="251" t="s">
        <v>796</v>
      </c>
      <c r="G47" s="254"/>
      <c r="H47" s="254">
        <f>ROUND(K4*G47,0)</f>
        <v>0</v>
      </c>
      <c r="I47" s="254">
        <f t="shared" si="0"/>
        <v>0</v>
      </c>
      <c r="J47" s="246" t="s">
        <v>797</v>
      </c>
      <c r="K47" s="247">
        <v>1</v>
      </c>
    </row>
    <row r="48" spans="1:15" ht="51" hidden="1" x14ac:dyDescent="0.15">
      <c r="A48" s="249"/>
      <c r="B48" s="250" t="s">
        <v>798</v>
      </c>
      <c r="C48" s="251" t="s">
        <v>799</v>
      </c>
      <c r="D48" s="311"/>
      <c r="E48" s="253"/>
      <c r="F48" s="251" t="s">
        <v>800</v>
      </c>
      <c r="G48" s="254"/>
      <c r="H48" s="254">
        <f>ROUND(K4*G48,0)</f>
        <v>0</v>
      </c>
      <c r="I48" s="254">
        <f t="shared" si="0"/>
        <v>0</v>
      </c>
      <c r="J48" s="246" t="s">
        <v>801</v>
      </c>
      <c r="K48" s="247">
        <v>1</v>
      </c>
    </row>
    <row r="49" spans="1:15" ht="51" hidden="1" x14ac:dyDescent="0.15">
      <c r="A49" s="249"/>
      <c r="B49" s="250" t="s">
        <v>802</v>
      </c>
      <c r="C49" s="251" t="s">
        <v>803</v>
      </c>
      <c r="D49" s="311"/>
      <c r="E49" s="253"/>
      <c r="F49" s="251" t="s">
        <v>804</v>
      </c>
      <c r="G49" s="254"/>
      <c r="H49" s="254">
        <f>ROUND(K4*G49,0)</f>
        <v>0</v>
      </c>
      <c r="I49" s="254">
        <f t="shared" si="0"/>
        <v>0</v>
      </c>
      <c r="J49" s="246" t="s">
        <v>805</v>
      </c>
      <c r="K49" s="247">
        <v>1</v>
      </c>
    </row>
    <row r="50" spans="1:15" ht="36.75" customHeight="1" x14ac:dyDescent="0.15">
      <c r="A50" s="249" t="s">
        <v>1181</v>
      </c>
      <c r="B50" s="250" t="s">
        <v>806</v>
      </c>
      <c r="C50" s="251" t="s">
        <v>726</v>
      </c>
      <c r="D50" s="311">
        <v>1E-3</v>
      </c>
      <c r="E50" s="253"/>
      <c r="F50" s="251" t="s">
        <v>1187</v>
      </c>
      <c r="G50" s="254">
        <f>ROUND(IF('Dự toán gói thầu'!C17*0.1%&lt;2000000,2000000,IF('Dự toán gói thầu'!C17*0.1%&gt;60000000,60000000,'Dự toán gói thầu'!C17*0.1%)),0)</f>
        <v>7104020</v>
      </c>
      <c r="H50" s="254">
        <f>ROUND(K4*G50,0)</f>
        <v>568322</v>
      </c>
      <c r="I50" s="254">
        <f>ROUND(G50+H50,-3)</f>
        <v>7672000</v>
      </c>
      <c r="J50" s="246" t="s">
        <v>807</v>
      </c>
      <c r="K50" s="247">
        <v>1</v>
      </c>
      <c r="O50" s="78" t="s">
        <v>808</v>
      </c>
    </row>
    <row r="51" spans="1:15" ht="51" hidden="1" x14ac:dyDescent="0.15">
      <c r="A51" s="249"/>
      <c r="B51" s="250" t="s">
        <v>809</v>
      </c>
      <c r="C51" s="251" t="s">
        <v>810</v>
      </c>
      <c r="D51" s="311"/>
      <c r="E51" s="253"/>
      <c r="F51" s="251" t="s">
        <v>796</v>
      </c>
      <c r="G51" s="254"/>
      <c r="H51" s="254">
        <f>ROUND(K4*G51,0)</f>
        <v>0</v>
      </c>
      <c r="I51" s="254">
        <f t="shared" si="0"/>
        <v>0</v>
      </c>
      <c r="J51" s="246" t="s">
        <v>811</v>
      </c>
      <c r="K51" s="247">
        <v>1</v>
      </c>
    </row>
    <row r="52" spans="1:15" ht="51" hidden="1" x14ac:dyDescent="0.15">
      <c r="A52" s="249"/>
      <c r="B52" s="250" t="s">
        <v>812</v>
      </c>
      <c r="C52" s="251" t="s">
        <v>813</v>
      </c>
      <c r="D52" s="311"/>
      <c r="E52" s="253"/>
      <c r="F52" s="251" t="s">
        <v>804</v>
      </c>
      <c r="G52" s="254"/>
      <c r="H52" s="254">
        <f>ROUND(K4*G52,0)</f>
        <v>0</v>
      </c>
      <c r="I52" s="254">
        <f t="shared" si="0"/>
        <v>0</v>
      </c>
      <c r="J52" s="246" t="s">
        <v>814</v>
      </c>
      <c r="K52" s="247">
        <v>1</v>
      </c>
    </row>
    <row r="53" spans="1:15" ht="39.75" customHeight="1" x14ac:dyDescent="0.15">
      <c r="A53" s="249" t="s">
        <v>1182</v>
      </c>
      <c r="B53" s="250" t="s">
        <v>815</v>
      </c>
      <c r="C53" s="251" t="s">
        <v>729</v>
      </c>
      <c r="D53" s="311">
        <v>1E-3</v>
      </c>
      <c r="E53" s="253"/>
      <c r="F53" s="251" t="s">
        <v>1187</v>
      </c>
      <c r="G53" s="254">
        <f>ROUND(IF('Dự toán gói thầu'!C17*0.1%&lt;3000000,3000000,IF('Dự toán gói thầu'!C17*0.1%&gt;60000000,60000000,'Dự toán gói thầu'!C17*0.1%)),0)</f>
        <v>7104020</v>
      </c>
      <c r="H53" s="254">
        <f>ROUND(K4*G53,0)</f>
        <v>568322</v>
      </c>
      <c r="I53" s="254">
        <f>ROUND(G53+H53,-3)</f>
        <v>7672000</v>
      </c>
      <c r="J53" s="246" t="s">
        <v>816</v>
      </c>
      <c r="K53" s="247">
        <v>1</v>
      </c>
      <c r="O53" s="78" t="s">
        <v>808</v>
      </c>
    </row>
    <row r="54" spans="1:15" ht="51" hidden="1" x14ac:dyDescent="0.15">
      <c r="A54" s="249"/>
      <c r="B54" s="250" t="s">
        <v>817</v>
      </c>
      <c r="C54" s="251" t="s">
        <v>818</v>
      </c>
      <c r="D54" s="311"/>
      <c r="E54" s="253"/>
      <c r="F54" s="251" t="s">
        <v>819</v>
      </c>
      <c r="G54" s="254"/>
      <c r="H54" s="254">
        <f>ROUND(K4*G54,0)</f>
        <v>0</v>
      </c>
      <c r="I54" s="254">
        <f t="shared" si="0"/>
        <v>0</v>
      </c>
      <c r="J54" s="246" t="s">
        <v>820</v>
      </c>
      <c r="K54" s="247">
        <v>1</v>
      </c>
    </row>
    <row r="55" spans="1:15" ht="22" customHeight="1" x14ac:dyDescent="0.15">
      <c r="A55" s="249" t="s">
        <v>1183</v>
      </c>
      <c r="B55" s="250" t="s">
        <v>821</v>
      </c>
      <c r="C55" s="251" t="s">
        <v>732</v>
      </c>
      <c r="D55" s="311">
        <f>'Định mức tư vấn'!F9</f>
        <v>2.5659999999999999E-2</v>
      </c>
      <c r="E55" s="253"/>
      <c r="F55" s="251" t="s">
        <v>1169</v>
      </c>
      <c r="G55" s="254">
        <f>ROUND(D55*G7,0)</f>
        <v>198527817</v>
      </c>
      <c r="H55" s="254">
        <f>ROUND(K4*G55,0)</f>
        <v>15882225</v>
      </c>
      <c r="I55" s="254">
        <f>ROUND(G55+H55,-3)</f>
        <v>214410000</v>
      </c>
      <c r="J55" s="246" t="s">
        <v>822</v>
      </c>
      <c r="K55" s="247">
        <v>1</v>
      </c>
      <c r="O55" s="78" t="s">
        <v>703</v>
      </c>
    </row>
    <row r="56" spans="1:15" ht="51" hidden="1" x14ac:dyDescent="0.15">
      <c r="A56" s="249"/>
      <c r="B56" s="250" t="s">
        <v>823</v>
      </c>
      <c r="C56" s="251" t="s">
        <v>824</v>
      </c>
      <c r="D56" s="311"/>
      <c r="E56" s="253"/>
      <c r="F56" s="251" t="s">
        <v>639</v>
      </c>
      <c r="G56" s="254"/>
      <c r="H56" s="254">
        <f>ROUND(K4*G56,0)</f>
        <v>0</v>
      </c>
      <c r="I56" s="254">
        <f t="shared" si="0"/>
        <v>0</v>
      </c>
      <c r="J56" s="246" t="s">
        <v>825</v>
      </c>
      <c r="K56" s="247">
        <v>1</v>
      </c>
    </row>
    <row r="57" spans="1:15" ht="34" hidden="1" x14ac:dyDescent="0.15">
      <c r="A57" s="249"/>
      <c r="B57" s="250" t="s">
        <v>826</v>
      </c>
      <c r="C57" s="251" t="s">
        <v>827</v>
      </c>
      <c r="D57" s="311">
        <v>0.3</v>
      </c>
      <c r="E57" s="253"/>
      <c r="F57" s="251" t="s">
        <v>1170</v>
      </c>
      <c r="G57" s="254"/>
      <c r="H57" s="254">
        <f>ROUND(K4*G57,0)</f>
        <v>0</v>
      </c>
      <c r="I57" s="254">
        <f t="shared" si="0"/>
        <v>0</v>
      </c>
      <c r="J57" s="246" t="s">
        <v>828</v>
      </c>
      <c r="K57" s="247">
        <v>1</v>
      </c>
    </row>
    <row r="58" spans="1:15" ht="34" hidden="1" x14ac:dyDescent="0.15">
      <c r="A58" s="249"/>
      <c r="B58" s="250" t="s">
        <v>829</v>
      </c>
      <c r="C58" s="251" t="s">
        <v>830</v>
      </c>
      <c r="D58" s="311">
        <v>0.6</v>
      </c>
      <c r="E58" s="253"/>
      <c r="F58" s="251" t="s">
        <v>1171</v>
      </c>
      <c r="G58" s="254"/>
      <c r="H58" s="254">
        <f>ROUND(K4*G58,0)</f>
        <v>0</v>
      </c>
      <c r="I58" s="254">
        <f t="shared" si="0"/>
        <v>0</v>
      </c>
      <c r="J58" s="246" t="s">
        <v>831</v>
      </c>
      <c r="K58" s="247">
        <v>1</v>
      </c>
    </row>
    <row r="59" spans="1:15" ht="17" hidden="1" x14ac:dyDescent="0.15">
      <c r="A59" s="249"/>
      <c r="B59" s="250" t="s">
        <v>832</v>
      </c>
      <c r="C59" s="251" t="s">
        <v>833</v>
      </c>
      <c r="D59" s="311"/>
      <c r="E59" s="253"/>
      <c r="F59" s="251" t="s">
        <v>639</v>
      </c>
      <c r="G59" s="254"/>
      <c r="H59" s="254">
        <f>ROUND(K4*G59,0)</f>
        <v>0</v>
      </c>
      <c r="I59" s="254">
        <f t="shared" si="0"/>
        <v>0</v>
      </c>
      <c r="J59" s="246" t="s">
        <v>834</v>
      </c>
      <c r="K59" s="247">
        <v>1</v>
      </c>
    </row>
    <row r="60" spans="1:15" ht="34" hidden="1" x14ac:dyDescent="0.15">
      <c r="A60" s="249"/>
      <c r="B60" s="250" t="s">
        <v>835</v>
      </c>
      <c r="C60" s="251" t="s">
        <v>836</v>
      </c>
      <c r="D60" s="311"/>
      <c r="E60" s="253"/>
      <c r="F60" s="251" t="s">
        <v>639</v>
      </c>
      <c r="G60" s="254"/>
      <c r="H60" s="254">
        <f>ROUND(K4*G60,0)</f>
        <v>0</v>
      </c>
      <c r="I60" s="254">
        <f t="shared" si="0"/>
        <v>0</v>
      </c>
      <c r="J60" s="246" t="s">
        <v>837</v>
      </c>
      <c r="K60" s="247">
        <v>1</v>
      </c>
    </row>
    <row r="61" spans="1:15" ht="34" hidden="1" x14ac:dyDescent="0.15">
      <c r="A61" s="249"/>
      <c r="B61" s="250" t="s">
        <v>838</v>
      </c>
      <c r="C61" s="251" t="s">
        <v>839</v>
      </c>
      <c r="D61" s="311"/>
      <c r="E61" s="253"/>
      <c r="F61" s="251" t="s">
        <v>639</v>
      </c>
      <c r="G61" s="254"/>
      <c r="H61" s="254">
        <f>ROUND(K4*G61,0)</f>
        <v>0</v>
      </c>
      <c r="I61" s="254">
        <f t="shared" si="0"/>
        <v>0</v>
      </c>
      <c r="J61" s="246" t="s">
        <v>840</v>
      </c>
      <c r="K61" s="247">
        <v>1</v>
      </c>
    </row>
    <row r="62" spans="1:15" ht="24" hidden="1" x14ac:dyDescent="0.15">
      <c r="A62" s="249"/>
      <c r="B62" s="250" t="s">
        <v>841</v>
      </c>
      <c r="C62" s="251" t="s">
        <v>842</v>
      </c>
      <c r="D62" s="311"/>
      <c r="E62" s="253"/>
      <c r="F62" s="251" t="s">
        <v>639</v>
      </c>
      <c r="G62" s="254"/>
      <c r="H62" s="254">
        <v>0</v>
      </c>
      <c r="I62" s="254">
        <v>0</v>
      </c>
      <c r="J62" s="246" t="s">
        <v>843</v>
      </c>
      <c r="K62" s="247">
        <v>1</v>
      </c>
    </row>
    <row r="63" spans="1:15" ht="17" x14ac:dyDescent="0.15">
      <c r="A63" s="240">
        <v>4</v>
      </c>
      <c r="B63" s="241" t="s">
        <v>635</v>
      </c>
      <c r="C63" s="242" t="s">
        <v>845</v>
      </c>
      <c r="D63" s="310"/>
      <c r="E63" s="244"/>
      <c r="F63" s="242" t="s">
        <v>1186</v>
      </c>
      <c r="G63" s="245">
        <f>SUMIF(K64:K77,1,G64:G77)</f>
        <v>108734584.35367945</v>
      </c>
      <c r="H63" s="245">
        <f>SUMIF(K64:K77,1,H64:H77)</f>
        <v>4801423.795534499</v>
      </c>
      <c r="I63" s="245">
        <f>SUMIF(K64:K77,1,I64:I77)</f>
        <v>113536000</v>
      </c>
      <c r="J63" s="246" t="s">
        <v>845</v>
      </c>
      <c r="K63" s="247">
        <v>1</v>
      </c>
    </row>
    <row r="64" spans="1:15" ht="17" hidden="1" x14ac:dyDescent="0.15">
      <c r="A64" s="249"/>
      <c r="B64" s="250" t="s">
        <v>846</v>
      </c>
      <c r="C64" s="251" t="s">
        <v>847</v>
      </c>
      <c r="D64" s="311"/>
      <c r="E64" s="253"/>
      <c r="F64" s="251" t="s">
        <v>639</v>
      </c>
      <c r="G64" s="254"/>
      <c r="H64" s="254">
        <f>ROUND(K4*G64,0)</f>
        <v>0</v>
      </c>
      <c r="I64" s="254">
        <f>G64+H64</f>
        <v>0</v>
      </c>
      <c r="J64" s="246" t="s">
        <v>848</v>
      </c>
      <c r="K64" s="247">
        <v>1</v>
      </c>
    </row>
    <row r="65" spans="1:15" ht="34" hidden="1" x14ac:dyDescent="0.15">
      <c r="A65" s="249"/>
      <c r="B65" s="250" t="s">
        <v>849</v>
      </c>
      <c r="C65" s="251" t="s">
        <v>850</v>
      </c>
      <c r="D65" s="311"/>
      <c r="E65" s="253"/>
      <c r="F65" s="251" t="s">
        <v>639</v>
      </c>
      <c r="G65" s="254"/>
      <c r="H65" s="254">
        <v>0</v>
      </c>
      <c r="I65" s="254">
        <v>0</v>
      </c>
      <c r="J65" s="246" t="s">
        <v>851</v>
      </c>
      <c r="K65" s="247">
        <v>1</v>
      </c>
    </row>
    <row r="66" spans="1:15" ht="52.5" customHeight="1" x14ac:dyDescent="0.15">
      <c r="A66" s="249" t="s">
        <v>852</v>
      </c>
      <c r="B66" s="250" t="s">
        <v>853</v>
      </c>
      <c r="C66" s="251" t="s">
        <v>847</v>
      </c>
      <c r="D66" s="311">
        <v>1.2199999999999999E-3</v>
      </c>
      <c r="E66" s="253"/>
      <c r="F66" s="251" t="s">
        <v>1172</v>
      </c>
      <c r="G66" s="254">
        <f>ROUND(D66*G7,0)</f>
        <v>9438969</v>
      </c>
      <c r="H66" s="254"/>
      <c r="I66" s="254">
        <f>ROUND(G66+H66,-3)</f>
        <v>9439000</v>
      </c>
      <c r="J66" s="246" t="s">
        <v>854</v>
      </c>
      <c r="K66" s="247">
        <v>1</v>
      </c>
      <c r="O66" s="78" t="s">
        <v>855</v>
      </c>
    </row>
    <row r="67" spans="1:15" ht="34" x14ac:dyDescent="0.15">
      <c r="A67" s="249" t="s">
        <v>740</v>
      </c>
      <c r="B67" s="250" t="s">
        <v>856</v>
      </c>
      <c r="C67" s="251" t="s">
        <v>850</v>
      </c>
      <c r="D67" s="311">
        <v>1.9000000000000001E-4</v>
      </c>
      <c r="E67" s="253"/>
      <c r="F67" s="251" t="s">
        <v>1173</v>
      </c>
      <c r="G67" s="254">
        <f>ROUND(D67*G7,0)</f>
        <v>1470003</v>
      </c>
      <c r="H67" s="254"/>
      <c r="I67" s="254">
        <f>ROUND(G67+H67,-3)</f>
        <v>1470000</v>
      </c>
      <c r="J67" s="246" t="s">
        <v>857</v>
      </c>
      <c r="K67" s="247">
        <v>1</v>
      </c>
      <c r="O67" s="78" t="s">
        <v>855</v>
      </c>
    </row>
    <row r="68" spans="1:15" ht="34" hidden="1" x14ac:dyDescent="0.15">
      <c r="A68" s="249"/>
      <c r="B68" s="250" t="s">
        <v>858</v>
      </c>
      <c r="C68" s="251" t="s">
        <v>859</v>
      </c>
      <c r="D68" s="311"/>
      <c r="E68" s="253"/>
      <c r="F68" s="251" t="s">
        <v>639</v>
      </c>
      <c r="G68" s="254"/>
      <c r="H68" s="254">
        <f>K4*G68</f>
        <v>0</v>
      </c>
      <c r="I68" s="254">
        <f t="shared" ref="I68:I76" si="1">G68+H68</f>
        <v>0</v>
      </c>
      <c r="J68" s="246" t="s">
        <v>860</v>
      </c>
    </row>
    <row r="69" spans="1:15" ht="51" hidden="1" x14ac:dyDescent="0.15">
      <c r="A69" s="249"/>
      <c r="B69" s="250" t="s">
        <v>861</v>
      </c>
      <c r="C69" s="251" t="s">
        <v>862</v>
      </c>
      <c r="D69" s="311"/>
      <c r="E69" s="253"/>
      <c r="F69" s="251" t="s">
        <v>639</v>
      </c>
      <c r="G69" s="254"/>
      <c r="H69" s="254">
        <f>K4*G69</f>
        <v>0</v>
      </c>
      <c r="I69" s="254">
        <f t="shared" si="1"/>
        <v>0</v>
      </c>
      <c r="J69" s="246" t="s">
        <v>863</v>
      </c>
      <c r="K69" s="247">
        <v>1</v>
      </c>
      <c r="O69" s="78" t="s">
        <v>864</v>
      </c>
    </row>
    <row r="70" spans="1:15" ht="36" hidden="1" x14ac:dyDescent="0.15">
      <c r="A70" s="249"/>
      <c r="B70" s="250" t="s">
        <v>865</v>
      </c>
      <c r="C70" s="251" t="s">
        <v>866</v>
      </c>
      <c r="D70" s="311">
        <v>0.5</v>
      </c>
      <c r="E70" s="253"/>
      <c r="F70" s="251" t="s">
        <v>1174</v>
      </c>
      <c r="G70" s="254"/>
      <c r="H70" s="254">
        <f>K4*G70</f>
        <v>0</v>
      </c>
      <c r="I70" s="254">
        <f t="shared" si="1"/>
        <v>0</v>
      </c>
      <c r="J70" s="246" t="s">
        <v>867</v>
      </c>
      <c r="K70" s="247">
        <v>1</v>
      </c>
    </row>
    <row r="71" spans="1:15" ht="34" hidden="1" x14ac:dyDescent="0.15">
      <c r="A71" s="249"/>
      <c r="B71" s="250" t="s">
        <v>868</v>
      </c>
      <c r="C71" s="251" t="s">
        <v>869</v>
      </c>
      <c r="D71" s="311"/>
      <c r="E71" s="253"/>
      <c r="F71" s="251" t="s">
        <v>639</v>
      </c>
      <c r="G71" s="254"/>
      <c r="H71" s="254"/>
      <c r="I71" s="254">
        <f t="shared" si="1"/>
        <v>0</v>
      </c>
      <c r="J71" s="246" t="s">
        <v>870</v>
      </c>
    </row>
    <row r="72" spans="1:15" ht="51" hidden="1" x14ac:dyDescent="0.15">
      <c r="A72" s="249"/>
      <c r="B72" s="250" t="s">
        <v>871</v>
      </c>
      <c r="C72" s="251" t="s">
        <v>872</v>
      </c>
      <c r="D72" s="311"/>
      <c r="E72" s="253"/>
      <c r="F72" s="251" t="s">
        <v>639</v>
      </c>
      <c r="G72" s="254"/>
      <c r="H72" s="254"/>
      <c r="I72" s="254">
        <f t="shared" si="1"/>
        <v>0</v>
      </c>
      <c r="J72" s="246" t="s">
        <v>873</v>
      </c>
      <c r="K72" s="247">
        <v>1</v>
      </c>
      <c r="O72" s="78" t="s">
        <v>874</v>
      </c>
    </row>
    <row r="73" spans="1:15" ht="54.75" customHeight="1" x14ac:dyDescent="0.15">
      <c r="A73" s="249" t="s">
        <v>782</v>
      </c>
      <c r="B73" s="250" t="s">
        <v>875</v>
      </c>
      <c r="C73" s="251" t="s">
        <v>876</v>
      </c>
      <c r="D73" s="311">
        <v>4.7683999999999999E-3</v>
      </c>
      <c r="E73" s="253">
        <v>0.5</v>
      </c>
      <c r="F73" s="251" t="s">
        <v>1193</v>
      </c>
      <c r="G73" s="254">
        <f>D73*E73*K81</f>
        <v>17955033.209498208</v>
      </c>
      <c r="H73" s="254"/>
      <c r="I73" s="254">
        <f>ROUND(G73+H73,-3)</f>
        <v>17955000</v>
      </c>
      <c r="J73" s="246" t="s">
        <v>877</v>
      </c>
      <c r="K73" s="247">
        <v>1</v>
      </c>
      <c r="O73" s="78" t="s">
        <v>878</v>
      </c>
    </row>
    <row r="74" spans="1:15" ht="55.5" customHeight="1" x14ac:dyDescent="0.15">
      <c r="A74" s="249" t="s">
        <v>785</v>
      </c>
      <c r="B74" s="250" t="s">
        <v>879</v>
      </c>
      <c r="C74" s="251" t="s">
        <v>880</v>
      </c>
      <c r="D74" s="311">
        <v>7.9696000000000003E-3</v>
      </c>
      <c r="E74" s="253"/>
      <c r="F74" s="251" t="s">
        <v>1194</v>
      </c>
      <c r="G74" s="254">
        <f>D74*K81</f>
        <v>60017797.444181241</v>
      </c>
      <c r="H74" s="254">
        <f>K4*G74</f>
        <v>4801423.795534499</v>
      </c>
      <c r="I74" s="254">
        <f>ROUND(G74+H74,-3)</f>
        <v>64819000</v>
      </c>
      <c r="J74" s="246" t="s">
        <v>881</v>
      </c>
      <c r="K74" s="247">
        <v>1</v>
      </c>
      <c r="O74" s="78" t="s">
        <v>878</v>
      </c>
    </row>
    <row r="75" spans="1:15" ht="34" hidden="1" x14ac:dyDescent="0.15">
      <c r="A75" s="249"/>
      <c r="B75" s="250" t="s">
        <v>882</v>
      </c>
      <c r="C75" s="251" t="s">
        <v>883</v>
      </c>
      <c r="D75" s="311"/>
      <c r="E75" s="253"/>
      <c r="F75" s="251" t="s">
        <v>1175</v>
      </c>
      <c r="G75" s="254"/>
      <c r="H75" s="254">
        <f>ROUND(K4*G75,0)</f>
        <v>0</v>
      </c>
      <c r="I75" s="254">
        <f t="shared" si="1"/>
        <v>0</v>
      </c>
      <c r="J75" s="246" t="s">
        <v>884</v>
      </c>
      <c r="K75" s="247">
        <v>1</v>
      </c>
    </row>
    <row r="76" spans="1:15" ht="68" hidden="1" x14ac:dyDescent="0.15">
      <c r="A76" s="249"/>
      <c r="B76" s="250" t="s">
        <v>885</v>
      </c>
      <c r="C76" s="251" t="s">
        <v>886</v>
      </c>
      <c r="D76" s="311"/>
      <c r="E76" s="253"/>
      <c r="F76" s="251" t="s">
        <v>1176</v>
      </c>
      <c r="G76" s="254"/>
      <c r="H76" s="254">
        <f>ROUND(K4*G76,0)</f>
        <v>0</v>
      </c>
      <c r="I76" s="254">
        <f t="shared" si="1"/>
        <v>0</v>
      </c>
      <c r="J76" s="246" t="s">
        <v>887</v>
      </c>
      <c r="K76" s="247">
        <v>1</v>
      </c>
    </row>
    <row r="77" spans="1:15" ht="51" x14ac:dyDescent="0.15">
      <c r="A77" s="249" t="s">
        <v>788</v>
      </c>
      <c r="B77" s="250" t="s">
        <v>888</v>
      </c>
      <c r="C77" s="251" t="s">
        <v>859</v>
      </c>
      <c r="D77" s="311">
        <v>0.1</v>
      </c>
      <c r="E77" s="253"/>
      <c r="F77" s="251" t="s">
        <v>1185</v>
      </c>
      <c r="G77" s="254">
        <f>D77*G55</f>
        <v>19852781.699999999</v>
      </c>
      <c r="H77" s="254"/>
      <c r="I77" s="254">
        <f>ROUND(G77+H77,-3)</f>
        <v>19853000</v>
      </c>
      <c r="J77" s="246" t="s">
        <v>889</v>
      </c>
      <c r="K77" s="247">
        <v>1</v>
      </c>
      <c r="O77" s="78" t="s">
        <v>890</v>
      </c>
    </row>
    <row r="78" spans="1:15" ht="17" x14ac:dyDescent="0.15">
      <c r="A78" s="240">
        <v>5</v>
      </c>
      <c r="B78" s="241" t="s">
        <v>892</v>
      </c>
      <c r="C78" s="242" t="s">
        <v>893</v>
      </c>
      <c r="D78" s="310"/>
      <c r="E78" s="244"/>
      <c r="F78" s="242"/>
      <c r="G78" s="245"/>
      <c r="H78" s="245"/>
      <c r="I78" s="245">
        <f>SUM(I79:I80)</f>
        <v>931089200</v>
      </c>
      <c r="J78" s="246" t="s">
        <v>893</v>
      </c>
      <c r="K78" s="247">
        <v>1</v>
      </c>
    </row>
    <row r="79" spans="1:15" ht="51" x14ac:dyDescent="0.15">
      <c r="A79" s="249" t="s">
        <v>852</v>
      </c>
      <c r="B79" s="250" t="s">
        <v>894</v>
      </c>
      <c r="C79" s="251" t="s">
        <v>895</v>
      </c>
      <c r="D79" s="311">
        <v>0.1</v>
      </c>
      <c r="E79" s="253"/>
      <c r="F79" s="251" t="s">
        <v>1184</v>
      </c>
      <c r="G79" s="254"/>
      <c r="H79" s="254"/>
      <c r="I79" s="254">
        <f>D79*(I5+I6+I10+I16+I18+I63)</f>
        <v>931089200</v>
      </c>
      <c r="J79" s="246" t="s">
        <v>895</v>
      </c>
      <c r="K79" s="247">
        <v>1</v>
      </c>
    </row>
    <row r="80" spans="1:15" ht="34" hidden="1" x14ac:dyDescent="0.15">
      <c r="A80" s="249"/>
      <c r="B80" s="250" t="s">
        <v>896</v>
      </c>
      <c r="C80" s="251" t="s">
        <v>897</v>
      </c>
      <c r="D80" s="252"/>
      <c r="E80" s="253"/>
      <c r="F80" s="251"/>
      <c r="G80" s="254"/>
      <c r="H80" s="254"/>
      <c r="I80" s="254"/>
      <c r="J80" s="246" t="s">
        <v>897</v>
      </c>
      <c r="K80" s="262">
        <f>I5+I6+I10+I16+I17+I18+I63</f>
        <v>9310892000</v>
      </c>
    </row>
    <row r="81" spans="1:15" ht="17" x14ac:dyDescent="0.15">
      <c r="A81" s="240"/>
      <c r="B81" s="241" t="s">
        <v>637</v>
      </c>
      <c r="C81" s="242"/>
      <c r="D81" s="243"/>
      <c r="E81" s="244"/>
      <c r="F81" s="242" t="str">
        <f>""</f>
        <v/>
      </c>
      <c r="G81" s="245"/>
      <c r="H81" s="245"/>
      <c r="I81" s="245">
        <f>I5+I6+I10+I16+I17+I18+I63+I78</f>
        <v>10241981200</v>
      </c>
      <c r="J81" s="246" t="s">
        <v>898</v>
      </c>
      <c r="K81" s="262">
        <v>7530841879.6653833</v>
      </c>
      <c r="L81" s="263">
        <f>I81-I78</f>
        <v>9310892000</v>
      </c>
      <c r="M81" s="264">
        <f>ROUND(K81-L81,1)</f>
        <v>-1780050120.3</v>
      </c>
      <c r="O81" s="78" t="s">
        <v>899</v>
      </c>
    </row>
    <row r="82" spans="1:15" ht="34" hidden="1" x14ac:dyDescent="0.15">
      <c r="A82" s="240"/>
      <c r="B82" s="241" t="s">
        <v>900</v>
      </c>
      <c r="C82" s="242" t="s">
        <v>769</v>
      </c>
      <c r="D82" s="243"/>
      <c r="E82" s="244"/>
      <c r="F82" s="242" t="s">
        <v>901</v>
      </c>
      <c r="G82" s="245"/>
      <c r="H82" s="245">
        <f>SUM(H83:H86)</f>
        <v>0</v>
      </c>
      <c r="I82" s="245">
        <f>SUM(I83:I86)</f>
        <v>0</v>
      </c>
      <c r="J82" s="246" t="s">
        <v>902</v>
      </c>
      <c r="K82" s="247">
        <v>1</v>
      </c>
    </row>
    <row r="83" spans="1:15" ht="51" hidden="1" x14ac:dyDescent="0.15">
      <c r="A83" s="249"/>
      <c r="B83" s="250" t="s">
        <v>903</v>
      </c>
      <c r="C83" s="251" t="s">
        <v>904</v>
      </c>
      <c r="D83" s="252"/>
      <c r="E83" s="253"/>
      <c r="F83" s="251" t="str">
        <f>""</f>
        <v/>
      </c>
      <c r="G83" s="254"/>
      <c r="H83" s="254">
        <f>ROUND(K4*G83,0)</f>
        <v>0</v>
      </c>
      <c r="I83" s="254">
        <f>G83+H83</f>
        <v>0</v>
      </c>
      <c r="J83" s="246" t="s">
        <v>905</v>
      </c>
      <c r="K83" s="247">
        <v>1</v>
      </c>
    </row>
    <row r="84" spans="1:15" ht="34" hidden="1" x14ac:dyDescent="0.15">
      <c r="A84" s="249"/>
      <c r="B84" s="250" t="s">
        <v>906</v>
      </c>
      <c r="C84" s="251" t="s">
        <v>907</v>
      </c>
      <c r="D84" s="252"/>
      <c r="E84" s="253"/>
      <c r="F84" s="251" t="str">
        <f>D84*100&amp;"%*"&amp;C83</f>
        <v>0%*Gkt1</v>
      </c>
      <c r="G84" s="254"/>
      <c r="H84" s="254">
        <f>ROUND(K4*G84,0)</f>
        <v>0</v>
      </c>
      <c r="I84" s="254">
        <f>G84+H84</f>
        <v>0</v>
      </c>
      <c r="J84" s="246" t="s">
        <v>908</v>
      </c>
      <c r="K84" s="247">
        <v>1</v>
      </c>
    </row>
    <row r="85" spans="1:15" ht="34" hidden="1" x14ac:dyDescent="0.15">
      <c r="A85" s="249"/>
      <c r="B85" s="250" t="s">
        <v>875</v>
      </c>
      <c r="C85" s="251" t="s">
        <v>909</v>
      </c>
      <c r="D85" s="252"/>
      <c r="E85" s="253"/>
      <c r="F85" s="251" t="str">
        <f>""</f>
        <v/>
      </c>
      <c r="G85" s="254"/>
      <c r="H85" s="254">
        <f>ROUND(K4*G85,0)</f>
        <v>0</v>
      </c>
      <c r="I85" s="254">
        <f>G85+H85</f>
        <v>0</v>
      </c>
      <c r="J85" s="246" t="s">
        <v>910</v>
      </c>
      <c r="K85" s="247">
        <v>1</v>
      </c>
    </row>
    <row r="86" spans="1:15" ht="24" hidden="1" x14ac:dyDescent="0.15">
      <c r="A86" s="249"/>
      <c r="B86" s="250" t="s">
        <v>879</v>
      </c>
      <c r="C86" s="251" t="s">
        <v>911</v>
      </c>
      <c r="D86" s="252"/>
      <c r="E86" s="253"/>
      <c r="F86" s="251" t="str">
        <f>""</f>
        <v/>
      </c>
      <c r="G86" s="254"/>
      <c r="H86" s="254">
        <f>ROUND(K4*G86,0)</f>
        <v>0</v>
      </c>
      <c r="I86" s="254">
        <f>G86+H86</f>
        <v>0</v>
      </c>
      <c r="J86" s="246" t="s">
        <v>912</v>
      </c>
      <c r="K86" s="247">
        <v>1</v>
      </c>
    </row>
    <row r="87" spans="1:15" ht="34" hidden="1" x14ac:dyDescent="0.15">
      <c r="A87" s="240"/>
      <c r="B87" s="241" t="s">
        <v>913</v>
      </c>
      <c r="C87" s="242"/>
      <c r="D87" s="243"/>
      <c r="E87" s="244"/>
      <c r="F87" s="242" t="str">
        <f>""</f>
        <v/>
      </c>
      <c r="G87" s="245"/>
      <c r="H87" s="245">
        <f>H81+H82</f>
        <v>0</v>
      </c>
      <c r="I87" s="245">
        <f>I81+I82</f>
        <v>10241981200</v>
      </c>
      <c r="J87" s="246" t="s">
        <v>914</v>
      </c>
      <c r="K87" s="247">
        <v>1</v>
      </c>
    </row>
    <row r="88" spans="1:15" ht="34" x14ac:dyDescent="0.15">
      <c r="A88" s="265"/>
      <c r="B88" s="266" t="s">
        <v>628</v>
      </c>
      <c r="C88" s="267" t="s">
        <v>898</v>
      </c>
      <c r="D88" s="268"/>
      <c r="E88" s="269"/>
      <c r="F88" s="267" t="str">
        <f>""</f>
        <v/>
      </c>
      <c r="G88" s="270"/>
      <c r="H88" s="270"/>
      <c r="I88" s="270">
        <f>ROUND(I87,-3)</f>
        <v>10241981000</v>
      </c>
      <c r="J88" s="246" t="s">
        <v>915</v>
      </c>
      <c r="K88" s="262">
        <v>7673952489.3958893</v>
      </c>
      <c r="L88" s="263">
        <f>G81</f>
        <v>0</v>
      </c>
    </row>
    <row r="89" spans="1:15" ht="30" customHeight="1" x14ac:dyDescent="0.15">
      <c r="A89" s="360" t="s">
        <v>1195</v>
      </c>
      <c r="B89" s="319"/>
      <c r="C89" s="319"/>
      <c r="D89" s="319"/>
      <c r="E89" s="319"/>
      <c r="F89" s="319"/>
      <c r="G89" s="319"/>
      <c r="H89" s="319"/>
      <c r="I89" s="320"/>
    </row>
  </sheetData>
  <mergeCells count="5">
    <mergeCell ref="A1:I1"/>
    <mergeCell ref="L3:N3"/>
    <mergeCell ref="A3:I3"/>
    <mergeCell ref="A89:I89"/>
    <mergeCell ref="A2:I2"/>
  </mergeCells>
  <pageMargins left="0.82677165354330717" right="0" top="0.78740157480314965" bottom="0.39370078740157483" header="0.39370078740157483" footer="0.39370078740157483"/>
  <pageSetup paperSize="9" orientation="landscape" blackAndWhite="1" verticalDpi="0"/>
  <headerFooter alignWithMargins="0">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4C2AF-AF1B-514C-AF03-1CE190012374}">
  <dimension ref="A1"/>
  <sheetViews>
    <sheetView workbookViewId="0"/>
  </sheetViews>
  <sheetFormatPr baseColWidth="10" defaultRowHeight="15" customHeight="1" x14ac:dyDescent="0.15"/>
  <cols>
    <col min="1" max="256" width="8.75" customWidth="1"/>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0BA43-099D-BE47-850C-BF532E7CCC8D}">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8F22C-4B82-384E-8B16-02B1A67EF373}">
  <dimension ref="A1:R5"/>
  <sheetViews>
    <sheetView workbookViewId="0"/>
  </sheetViews>
  <sheetFormatPr baseColWidth="10" defaultColWidth="10" defaultRowHeight="15" customHeight="1" x14ac:dyDescent="0.15"/>
  <cols>
    <col min="1" max="1" width="5.25" style="78" customWidth="1"/>
    <col min="2" max="2" width="12.5" style="78" customWidth="1"/>
    <col min="3" max="3" width="30.75" style="78" customWidth="1"/>
    <col min="4" max="4" width="9.25" style="78" customWidth="1"/>
    <col min="5" max="5" width="14" style="78" customWidth="1"/>
    <col min="6" max="6" width="11.25" style="78" customWidth="1"/>
    <col min="7" max="7" width="7.75" style="78" customWidth="1"/>
    <col min="8" max="10" width="11.25" style="78" customWidth="1"/>
    <col min="11" max="11" width="14.25" style="78" customWidth="1"/>
    <col min="12" max="12" width="7.75" style="78" customWidth="1"/>
    <col min="13" max="15" width="14.25" style="78" customWidth="1"/>
    <col min="16" max="18" width="7.75" style="78" customWidth="1"/>
    <col min="19" max="16384" width="10" style="78"/>
  </cols>
  <sheetData>
    <row r="1" spans="1:18" ht="26.25" customHeight="1" x14ac:dyDescent="0.15">
      <c r="A1" s="313" t="s">
        <v>0</v>
      </c>
      <c r="B1" s="314"/>
      <c r="C1" s="314"/>
      <c r="D1" s="314"/>
      <c r="E1" s="314"/>
      <c r="F1" s="314"/>
      <c r="G1" s="314"/>
      <c r="H1" s="314"/>
      <c r="I1" s="314"/>
      <c r="J1" s="314"/>
      <c r="K1" s="314"/>
      <c r="L1" s="314"/>
      <c r="M1" s="314"/>
      <c r="N1" s="314"/>
      <c r="O1" s="314"/>
      <c r="P1" s="314"/>
      <c r="Q1" s="314"/>
      <c r="R1" s="314"/>
    </row>
    <row r="2" spans="1:18" ht="30" customHeight="1" x14ac:dyDescent="0.15">
      <c r="A2" s="315" t="str">
        <f>'Công trình'!A2</f>
        <v>CÔNG TRÌNH : XÂY DỰNG HỆ THỐNG CỐNG HỘP KÊNH BẾN KEM ĐOẠN TỪ NHÀ ÔNG CHÍN ĐẾN KÊNH ĐẠI TRÀ 2, XÃ KIẾN MINH</v>
      </c>
      <c r="B2" s="314"/>
      <c r="C2" s="314"/>
      <c r="D2" s="314"/>
      <c r="E2" s="314"/>
      <c r="F2" s="314"/>
      <c r="G2" s="314"/>
      <c r="H2" s="314"/>
      <c r="I2" s="314"/>
      <c r="J2" s="314"/>
      <c r="K2" s="314"/>
      <c r="L2" s="314"/>
      <c r="M2" s="314"/>
      <c r="N2" s="314"/>
      <c r="O2" s="314"/>
      <c r="P2" s="314"/>
      <c r="Q2" s="314"/>
      <c r="R2" s="314"/>
    </row>
    <row r="3" spans="1:18" ht="37.5" customHeight="1" x14ac:dyDescent="0.15">
      <c r="A3" s="316" t="str">
        <f>'Công trình'!F6</f>
        <v>HẠNG MỤC 1</v>
      </c>
      <c r="B3" s="314"/>
      <c r="C3" s="314"/>
      <c r="D3" s="314"/>
      <c r="E3" s="314"/>
      <c r="F3" s="314"/>
      <c r="G3" s="314"/>
      <c r="H3" s="314"/>
      <c r="I3" s="314"/>
      <c r="J3" s="314"/>
      <c r="K3" s="314"/>
      <c r="L3" s="314"/>
      <c r="M3" s="314"/>
      <c r="N3" s="314"/>
      <c r="O3" s="314"/>
      <c r="P3" s="314"/>
      <c r="Q3" s="314"/>
      <c r="R3" s="314"/>
    </row>
    <row r="4" spans="1:18" ht="18.75" customHeight="1" x14ac:dyDescent="0.15">
      <c r="A4" s="385" t="s">
        <v>42</v>
      </c>
      <c r="B4" s="273" t="s">
        <v>224</v>
      </c>
      <c r="C4" s="385" t="s">
        <v>916</v>
      </c>
      <c r="D4" s="385" t="s">
        <v>226</v>
      </c>
      <c r="E4" s="385" t="s">
        <v>17</v>
      </c>
      <c r="F4" s="385" t="str">
        <f>"Đơn giá "&amp;'Công trình'!AM1</f>
        <v>Đơn giá (đ)</v>
      </c>
      <c r="G4" s="385"/>
      <c r="H4" s="385"/>
      <c r="I4" s="385"/>
      <c r="J4" s="385"/>
      <c r="K4" s="385" t="str">
        <f>"Thành tiền "&amp;'Công trình'!AM1</f>
        <v>Thành tiền (đ)</v>
      </c>
      <c r="L4" s="385"/>
      <c r="M4" s="385"/>
      <c r="N4" s="385"/>
      <c r="O4" s="385"/>
      <c r="P4" s="385" t="s">
        <v>18</v>
      </c>
      <c r="Q4" s="385"/>
      <c r="R4" s="385"/>
    </row>
    <row r="5" spans="1:18" ht="26.25" customHeight="1" x14ac:dyDescent="0.15">
      <c r="A5" s="385"/>
      <c r="B5" s="273" t="s">
        <v>36</v>
      </c>
      <c r="C5" s="385"/>
      <c r="D5" s="385"/>
      <c r="E5" s="385"/>
      <c r="F5" s="273" t="s">
        <v>28</v>
      </c>
      <c r="G5" s="273" t="s">
        <v>917</v>
      </c>
      <c r="H5" s="273" t="s">
        <v>918</v>
      </c>
      <c r="I5" s="273" t="s">
        <v>919</v>
      </c>
      <c r="J5" s="273" t="s">
        <v>920</v>
      </c>
      <c r="K5" s="273" t="s">
        <v>28</v>
      </c>
      <c r="L5" s="273" t="s">
        <v>917</v>
      </c>
      <c r="M5" s="273" t="s">
        <v>918</v>
      </c>
      <c r="N5" s="273" t="s">
        <v>919</v>
      </c>
      <c r="O5" s="273" t="s">
        <v>920</v>
      </c>
      <c r="P5" s="273" t="s">
        <v>33</v>
      </c>
      <c r="Q5" s="273" t="s">
        <v>34</v>
      </c>
      <c r="R5" s="273" t="s">
        <v>35</v>
      </c>
    </row>
  </sheetData>
  <mergeCells count="10">
    <mergeCell ref="P4:R4"/>
    <mergeCell ref="A1:R1"/>
    <mergeCell ref="A2:R2"/>
    <mergeCell ref="A3:R3"/>
    <mergeCell ref="A4:A5"/>
    <mergeCell ref="C4:C5"/>
    <mergeCell ref="D4:D5"/>
    <mergeCell ref="E4:E5"/>
    <mergeCell ref="F4:J4"/>
    <mergeCell ref="K4:O4"/>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E1694-CD6D-FA4D-B1E6-E45F2DBF6A50}">
  <dimension ref="A1:H771"/>
  <sheetViews>
    <sheetView showZeros="0" workbookViewId="0">
      <selection sqref="A1:H1"/>
    </sheetView>
  </sheetViews>
  <sheetFormatPr baseColWidth="10" defaultColWidth="10" defaultRowHeight="15" customHeight="1" x14ac:dyDescent="0.15"/>
  <cols>
    <col min="1" max="1" width="5.25" style="73" customWidth="1"/>
    <col min="2" max="2" width="10.75" style="73" customWidth="1"/>
    <col min="3" max="3" width="32.5" style="73" customWidth="1"/>
    <col min="4" max="4" width="9" style="73" customWidth="1"/>
    <col min="5" max="5" width="12.5" style="73" customWidth="1"/>
    <col min="6" max="6" width="15" style="73" customWidth="1"/>
    <col min="7" max="7" width="7.25" style="73" customWidth="1"/>
    <col min="8" max="8" width="15" style="73" customWidth="1"/>
    <col min="9" max="16384" width="10" style="73"/>
  </cols>
  <sheetData>
    <row r="1" spans="1:8" ht="26.25" customHeight="1" x14ac:dyDescent="0.15">
      <c r="A1" s="313" t="s">
        <v>921</v>
      </c>
      <c r="B1" s="343"/>
      <c r="C1" s="343"/>
      <c r="D1" s="343"/>
      <c r="E1" s="343"/>
      <c r="F1" s="343"/>
      <c r="G1" s="343"/>
      <c r="H1" s="343"/>
    </row>
    <row r="2" spans="1:8" ht="32.25" customHeight="1" x14ac:dyDescent="0.15">
      <c r="A2" s="315" t="str">
        <f>'Công trình'!A2</f>
        <v>CÔNG TRÌNH : XÂY DỰNG HỆ THỐNG CỐNG HỘP KÊNH BẾN KEM ĐOẠN TỪ NHÀ ÔNG CHÍN ĐẾN KÊNH ĐẠI TRÀ 2, XÃ KIẾN MINH</v>
      </c>
      <c r="B2" s="343"/>
      <c r="C2" s="343"/>
      <c r="D2" s="343"/>
      <c r="E2" s="343"/>
      <c r="F2" s="343"/>
      <c r="G2" s="343"/>
      <c r="H2" s="343"/>
    </row>
    <row r="3" spans="1:8" ht="37.5" customHeight="1" x14ac:dyDescent="0.15">
      <c r="A3" s="316" t="str">
        <f>'Công trình'!F6</f>
        <v>HẠNG MỤC 1</v>
      </c>
      <c r="B3" s="343"/>
      <c r="C3" s="343"/>
      <c r="D3" s="343"/>
      <c r="E3" s="343"/>
      <c r="F3" s="343"/>
      <c r="G3" s="343"/>
      <c r="H3" s="343"/>
    </row>
    <row r="4" spans="1:8" ht="30" customHeight="1" x14ac:dyDescent="0.15">
      <c r="A4" s="79" t="s">
        <v>4</v>
      </c>
      <c r="B4" s="19" t="s">
        <v>224</v>
      </c>
      <c r="C4" s="19" t="s">
        <v>922</v>
      </c>
      <c r="D4" s="19" t="s">
        <v>226</v>
      </c>
      <c r="E4" s="19" t="s">
        <v>443</v>
      </c>
      <c r="F4" s="19" t="str">
        <f>"Đơn giá_x000D_
"&amp;'Công trình'!AM1</f>
        <v>Đơn giá_x000D_
(đ)</v>
      </c>
      <c r="G4" s="19" t="s">
        <v>227</v>
      </c>
      <c r="H4" s="19" t="str">
        <f>"Thành tiền_x000D_
"&amp;'Công trình'!AM1</f>
        <v>Thành tiền_x000D_
(đ)</v>
      </c>
    </row>
    <row r="5" spans="1:8" ht="30" x14ac:dyDescent="0.15">
      <c r="A5" s="141">
        <f>'Công trình'!A8</f>
        <v>1</v>
      </c>
      <c r="B5" s="122" t="str">
        <f>'Công trình'!E8</f>
        <v>TT</v>
      </c>
      <c r="C5" s="123" t="str">
        <f>'Công trình'!F8</f>
        <v>Vận chuyển phao chuyến đến và chuyến về</v>
      </c>
      <c r="D5" s="122" t="str">
        <f>'Công trình'!G8</f>
        <v>ca</v>
      </c>
      <c r="E5" s="123">
        <v>1</v>
      </c>
      <c r="F5" s="126"/>
      <c r="G5" s="122"/>
      <c r="H5" s="126"/>
    </row>
    <row r="6" spans="1:8" x14ac:dyDescent="0.15">
      <c r="A6" s="274"/>
      <c r="B6" s="146"/>
      <c r="C6" s="145" t="s">
        <v>482</v>
      </c>
      <c r="D6" s="146"/>
      <c r="E6" s="145"/>
      <c r="F6" s="275"/>
      <c r="G6" s="146"/>
      <c r="H6" s="275">
        <f>H7</f>
        <v>3000000</v>
      </c>
    </row>
    <row r="7" spans="1:8" x14ac:dyDescent="0.15">
      <c r="A7" s="276"/>
      <c r="B7" s="85" t="str">
        <f>""</f>
        <v/>
      </c>
      <c r="C7" s="86" t="s">
        <v>32</v>
      </c>
      <c r="D7" s="85" t="str">
        <f>""</f>
        <v/>
      </c>
      <c r="E7" s="135">
        <v>1</v>
      </c>
      <c r="F7" s="114">
        <f>'Tổng hợp VT'!O40</f>
        <v>3000000</v>
      </c>
      <c r="G7" s="85"/>
      <c r="H7" s="114">
        <f>E7*F7</f>
        <v>3000000</v>
      </c>
    </row>
    <row r="8" spans="1:8" ht="30" x14ac:dyDescent="0.15">
      <c r="A8" s="277"/>
      <c r="B8" s="122"/>
      <c r="C8" s="123" t="s">
        <v>923</v>
      </c>
      <c r="D8" s="122" t="s">
        <v>606</v>
      </c>
      <c r="E8" s="278"/>
      <c r="F8" s="126"/>
      <c r="G8" s="122"/>
      <c r="H8" s="126">
        <f>+H6</f>
        <v>3000000</v>
      </c>
    </row>
    <row r="9" spans="1:8" x14ac:dyDescent="0.15">
      <c r="A9" s="276"/>
      <c r="B9" s="85"/>
      <c r="C9" s="86" t="s">
        <v>608</v>
      </c>
      <c r="D9" s="85" t="str">
        <f>""</f>
        <v/>
      </c>
      <c r="E9" s="279"/>
      <c r="F9" s="114"/>
      <c r="G9" s="85"/>
      <c r="H9" s="114"/>
    </row>
    <row r="10" spans="1:8" x14ac:dyDescent="0.15">
      <c r="A10" s="276"/>
      <c r="B10" s="85"/>
      <c r="C10" s="86" t="str">
        <f>"Chi phí chung (T x "&amp;HSXL!C$14&amp;")"</f>
        <v>Chi phí chung (T x 5,5%)</v>
      </c>
      <c r="D10" s="85" t="s">
        <v>603</v>
      </c>
      <c r="E10" s="279" t="str">
        <f>HSXL!C$14</f>
        <v>5,5%</v>
      </c>
      <c r="F10" s="114"/>
      <c r="G10" s="85"/>
      <c r="H10" s="114">
        <f>H8*HSXL!D$14</f>
        <v>165000</v>
      </c>
    </row>
    <row r="11" spans="1:8" ht="45" x14ac:dyDescent="0.15">
      <c r="A11" s="276"/>
      <c r="B11" s="85"/>
      <c r="C11" s="86" t="str">
        <f>"Chi phí nhà tạm để ở và điều hành thi công (T x "&amp;HSXL!C$18&amp;")"</f>
        <v>Chi phí nhà tạm để ở và điều hành thi công (T x 1,1%)</v>
      </c>
      <c r="D11" s="85" t="s">
        <v>611</v>
      </c>
      <c r="E11" s="279" t="str">
        <f>HSXL!C$18</f>
        <v>1,1%</v>
      </c>
      <c r="F11" s="114"/>
      <c r="G11" s="85"/>
      <c r="H11" s="114">
        <f>H8*HSXL!D$18</f>
        <v>33000</v>
      </c>
    </row>
    <row r="12" spans="1:8" ht="60" x14ac:dyDescent="0.15">
      <c r="A12" s="276"/>
      <c r="B12" s="85"/>
      <c r="C12" s="86" t="str">
        <f>"Chi phí một số công việc không xác định được khối lượng từ thiết kế (T x "&amp;HSXL!C$13&amp;")"</f>
        <v>Chi phí một số công việc không xác định được khối lượng từ thiết kế (T x 2%)</v>
      </c>
      <c r="D12" s="85" t="s">
        <v>42</v>
      </c>
      <c r="E12" s="279" t="str">
        <f>HSXL!C$13</f>
        <v>2%</v>
      </c>
      <c r="F12" s="114"/>
      <c r="G12" s="85"/>
      <c r="H12" s="114">
        <f>H8*HSXL!D$13</f>
        <v>60000</v>
      </c>
    </row>
    <row r="13" spans="1:8" ht="30" x14ac:dyDescent="0.15">
      <c r="A13" s="277"/>
      <c r="B13" s="122"/>
      <c r="C13" s="123" t="s">
        <v>924</v>
      </c>
      <c r="D13" s="122" t="s">
        <v>614</v>
      </c>
      <c r="E13" s="278"/>
      <c r="F13" s="126"/>
      <c r="G13" s="122"/>
      <c r="H13" s="126">
        <f>SUM(H10:H12)</f>
        <v>258000</v>
      </c>
    </row>
    <row r="14" spans="1:8" ht="45" x14ac:dyDescent="0.15">
      <c r="A14" s="276"/>
      <c r="B14" s="85"/>
      <c r="C14" s="86" t="str">
        <f>"THU NHẬP CHỊU THUẾ TÍNH TRƯỚC (T+GT) x "&amp;HSXL!C$16</f>
        <v>THU NHẬP CHỊU THUẾ TÍNH TRƯỚC (T+GT) x 5,5%</v>
      </c>
      <c r="D14" s="85" t="s">
        <v>617</v>
      </c>
      <c r="E14" s="279" t="str">
        <f>HSXL!C$16</f>
        <v>5,5%</v>
      </c>
      <c r="F14" s="114"/>
      <c r="G14" s="85"/>
      <c r="H14" s="114">
        <f>(H8+H13)*HSXL!D$16</f>
        <v>179190</v>
      </c>
    </row>
    <row r="15" spans="1:8" ht="30" x14ac:dyDescent="0.15">
      <c r="A15" s="276"/>
      <c r="B15" s="85"/>
      <c r="C15" s="86" t="s">
        <v>925</v>
      </c>
      <c r="D15" s="85" t="s">
        <v>619</v>
      </c>
      <c r="E15" s="279"/>
      <c r="F15" s="114"/>
      <c r="G15" s="85"/>
      <c r="H15" s="114">
        <f>H8+H13+H14</f>
        <v>3437190</v>
      </c>
    </row>
    <row r="16" spans="1:8" ht="30" x14ac:dyDescent="0.15">
      <c r="A16" s="276"/>
      <c r="B16" s="85"/>
      <c r="C16" s="86" t="str">
        <f>"THUẾ GIÁ TRỊ GIA TĂNG (G x "&amp;HSXL!C$17&amp;")"</f>
        <v>THUẾ GIÁ TRỊ GIA TĂNG (G x 8%)</v>
      </c>
      <c r="D16" s="85" t="s">
        <v>623</v>
      </c>
      <c r="E16" s="192">
        <f>HSXL!D$17</f>
        <v>0.08</v>
      </c>
      <c r="F16" s="114"/>
      <c r="G16" s="85"/>
      <c r="H16" s="114">
        <f>E16*H15</f>
        <v>274975.2</v>
      </c>
    </row>
    <row r="17" spans="1:8" ht="30" x14ac:dyDescent="0.15">
      <c r="A17" s="280"/>
      <c r="B17" s="281"/>
      <c r="C17" s="282" t="s">
        <v>926</v>
      </c>
      <c r="D17" s="281" t="s">
        <v>626</v>
      </c>
      <c r="E17" s="283"/>
      <c r="F17" s="284"/>
      <c r="G17" s="281"/>
      <c r="H17" s="285">
        <f>H15+H16</f>
        <v>3712165.2</v>
      </c>
    </row>
    <row r="18" spans="1:8" ht="75" x14ac:dyDescent="0.15">
      <c r="A18" s="141">
        <f>'Công trình'!A10</f>
        <v>2</v>
      </c>
      <c r="B18" s="122" t="str">
        <f>'Công trình'!E10</f>
        <v>AC.22111</v>
      </c>
      <c r="C18" s="123" t="str">
        <f>'Công trình'!F10</f>
        <v>Đóng cọc ván thép (cừ Larsen) trên cạn bằng máy đóng cọc 1,8T, chiều dài cọc &lt;=12 m, đất cấp I</v>
      </c>
      <c r="D18" s="122" t="str">
        <f>'Công trình'!G10</f>
        <v>100m</v>
      </c>
      <c r="E18" s="123">
        <v>1</v>
      </c>
      <c r="F18" s="126"/>
      <c r="G18" s="122"/>
      <c r="H18" s="126"/>
    </row>
    <row r="19" spans="1:8" x14ac:dyDescent="0.15">
      <c r="A19" s="274"/>
      <c r="B19" s="146"/>
      <c r="C19" s="145" t="s">
        <v>477</v>
      </c>
      <c r="D19" s="146"/>
      <c r="E19" s="145"/>
      <c r="F19" s="275"/>
      <c r="G19" s="146"/>
      <c r="H19" s="275">
        <f>H22</f>
        <v>0</v>
      </c>
    </row>
    <row r="20" spans="1:8" ht="30" x14ac:dyDescent="0.15">
      <c r="A20" s="276"/>
      <c r="B20" s="85" t="str">
        <f>'Giá tháng'!B$10</f>
        <v>A24.0230</v>
      </c>
      <c r="C20" s="86" t="str">
        <f>'Giá tháng'!C$10</f>
        <v>Cọc ván thép &lt;=12m</v>
      </c>
      <c r="D20" s="85" t="str">
        <f>'Giá tháng'!D$10</f>
        <v>m</v>
      </c>
      <c r="E20" s="135">
        <f>HaoPhiVatTu!F$8</f>
        <v>100</v>
      </c>
      <c r="F20" s="114">
        <f>'Tổng hợp VT'!O$14</f>
        <v>0</v>
      </c>
      <c r="G20" s="136">
        <f>'Giá tháng'!G$10</f>
        <v>1</v>
      </c>
      <c r="H20" s="114">
        <f>E20*F20*G20</f>
        <v>0</v>
      </c>
    </row>
    <row r="21" spans="1:8" x14ac:dyDescent="0.15">
      <c r="A21" s="276"/>
      <c r="B21" s="85" t="s">
        <v>478</v>
      </c>
      <c r="C21" s="86" t="s">
        <v>479</v>
      </c>
      <c r="D21" s="85" t="s">
        <v>480</v>
      </c>
      <c r="E21" s="135">
        <f>HaoPhiVatTu!F$9</f>
        <v>0.5</v>
      </c>
      <c r="F21" s="114">
        <f>SUM(H20:H20)</f>
        <v>0</v>
      </c>
      <c r="G21" s="85"/>
      <c r="H21" s="114">
        <f>E21*F21/100</f>
        <v>0</v>
      </c>
    </row>
    <row r="22" spans="1:8" x14ac:dyDescent="0.15">
      <c r="A22" s="276"/>
      <c r="B22" s="85"/>
      <c r="C22" s="86" t="s">
        <v>586</v>
      </c>
      <c r="D22" s="85"/>
      <c r="E22" s="86"/>
      <c r="F22" s="114"/>
      <c r="G22" s="85"/>
      <c r="H22" s="114">
        <f>SUM(H20:H21)</f>
        <v>0</v>
      </c>
    </row>
    <row r="23" spans="1:8" x14ac:dyDescent="0.15">
      <c r="A23" s="274"/>
      <c r="B23" s="146"/>
      <c r="C23" s="145" t="s">
        <v>481</v>
      </c>
      <c r="D23" s="146"/>
      <c r="E23" s="145"/>
      <c r="F23" s="275"/>
      <c r="G23" s="146"/>
      <c r="H23" s="275">
        <f>H24</f>
        <v>1927180</v>
      </c>
    </row>
    <row r="24" spans="1:8" ht="30" x14ac:dyDescent="0.15">
      <c r="A24" s="276"/>
      <c r="B24" s="85" t="str">
        <f>'Giá tháng'!B$29</f>
        <v>N2.35</v>
      </c>
      <c r="C24" s="86" t="str">
        <f>'Giá tháng'!C$29</f>
        <v>Nhân công 3,5/7 - Nhóm 2</v>
      </c>
      <c r="D24" s="85" t="str">
        <f>'Giá tháng'!D$29</f>
        <v>công</v>
      </c>
      <c r="E24" s="135">
        <f>HaoPhiVatTu!F$11</f>
        <v>6.68</v>
      </c>
      <c r="F24" s="114">
        <f>'Tổng hợp VT'!O$36</f>
        <v>288500</v>
      </c>
      <c r="G24" s="136">
        <f>'Giá tháng'!G$29</f>
        <v>1</v>
      </c>
      <c r="H24" s="114">
        <f>E24*F24*G24</f>
        <v>1927180</v>
      </c>
    </row>
    <row r="25" spans="1:8" x14ac:dyDescent="0.15">
      <c r="A25" s="274"/>
      <c r="B25" s="146"/>
      <c r="C25" s="145" t="s">
        <v>482</v>
      </c>
      <c r="D25" s="146"/>
      <c r="E25" s="145"/>
      <c r="F25" s="275"/>
      <c r="G25" s="146"/>
      <c r="H25" s="275">
        <f>H28</f>
        <v>3745379.9401199999</v>
      </c>
    </row>
    <row r="26" spans="1:8" ht="45" x14ac:dyDescent="0.15">
      <c r="A26" s="276"/>
      <c r="B26" s="85" t="str">
        <f>'Giá tháng'!B$44</f>
        <v>M103.0202</v>
      </c>
      <c r="C26" s="86" t="str">
        <f>'Giá tháng'!C$44</f>
        <v>Máy đóng cọc chạy trên ray - trọng lượng đầu búa : 1,8 T</v>
      </c>
      <c r="D26" s="85" t="str">
        <f>'Giá tháng'!D$44</f>
        <v>ca</v>
      </c>
      <c r="E26" s="135">
        <f>HaoPhiVatTu!F$13</f>
        <v>2.226</v>
      </c>
      <c r="F26" s="114">
        <f>'Tổng hợp VT'!O$54</f>
        <v>1633554</v>
      </c>
      <c r="G26" s="136">
        <f>'Giá tháng'!G$44</f>
        <v>1</v>
      </c>
      <c r="H26" s="114">
        <f>E26*F26*G26</f>
        <v>3636291.2039999999</v>
      </c>
    </row>
    <row r="27" spans="1:8" x14ac:dyDescent="0.15">
      <c r="A27" s="276"/>
      <c r="B27" s="85" t="s">
        <v>483</v>
      </c>
      <c r="C27" s="86" t="s">
        <v>484</v>
      </c>
      <c r="D27" s="85" t="s">
        <v>480</v>
      </c>
      <c r="E27" s="135">
        <f>HaoPhiVatTu!F$14</f>
        <v>3</v>
      </c>
      <c r="F27" s="114">
        <f>SUM(H26:H26)</f>
        <v>3636291.2039999999</v>
      </c>
      <c r="G27" s="85"/>
      <c r="H27" s="114">
        <f>E27*F27/100</f>
        <v>109088.73612</v>
      </c>
    </row>
    <row r="28" spans="1:8" x14ac:dyDescent="0.15">
      <c r="A28" s="276"/>
      <c r="B28" s="85"/>
      <c r="C28" s="86" t="s">
        <v>586</v>
      </c>
      <c r="D28" s="85"/>
      <c r="E28" s="86"/>
      <c r="F28" s="114"/>
      <c r="G28" s="85"/>
      <c r="H28" s="114">
        <f>SUM(H26:H27)</f>
        <v>3745379.9401199999</v>
      </c>
    </row>
    <row r="29" spans="1:8" ht="30" x14ac:dyDescent="0.15">
      <c r="A29" s="277"/>
      <c r="B29" s="122"/>
      <c r="C29" s="123" t="s">
        <v>923</v>
      </c>
      <c r="D29" s="122" t="s">
        <v>606</v>
      </c>
      <c r="E29" s="278"/>
      <c r="F29" s="126"/>
      <c r="G29" s="122"/>
      <c r="H29" s="126">
        <f>H19+H23+H25</f>
        <v>5672559.9401200004</v>
      </c>
    </row>
    <row r="30" spans="1:8" x14ac:dyDescent="0.15">
      <c r="A30" s="276"/>
      <c r="B30" s="85"/>
      <c r="C30" s="86" t="s">
        <v>608</v>
      </c>
      <c r="D30" s="85" t="str">
        <f>""</f>
        <v/>
      </c>
      <c r="E30" s="279"/>
      <c r="F30" s="114"/>
      <c r="G30" s="85"/>
      <c r="H30" s="114"/>
    </row>
    <row r="31" spans="1:8" x14ac:dyDescent="0.15">
      <c r="A31" s="276"/>
      <c r="B31" s="85"/>
      <c r="C31" s="86" t="str">
        <f>"Chi phí chung (T x "&amp;HSXL!C$14&amp;")"</f>
        <v>Chi phí chung (T x 5,5%)</v>
      </c>
      <c r="D31" s="85" t="s">
        <v>603</v>
      </c>
      <c r="E31" s="279" t="str">
        <f>HSXL!C$14</f>
        <v>5,5%</v>
      </c>
      <c r="F31" s="114"/>
      <c r="G31" s="85"/>
      <c r="H31" s="114">
        <f>H29*HSXL!D$14</f>
        <v>311990.7967066</v>
      </c>
    </row>
    <row r="32" spans="1:8" ht="45" x14ac:dyDescent="0.15">
      <c r="A32" s="276"/>
      <c r="B32" s="85"/>
      <c r="C32" s="86" t="str">
        <f>"Chi phí nhà tạm để ở và điều hành thi công (T x "&amp;HSXL!C$18&amp;")"</f>
        <v>Chi phí nhà tạm để ở và điều hành thi công (T x 1,1%)</v>
      </c>
      <c r="D32" s="85" t="s">
        <v>611</v>
      </c>
      <c r="E32" s="279" t="str">
        <f>HSXL!C$18</f>
        <v>1,1%</v>
      </c>
      <c r="F32" s="114"/>
      <c r="G32" s="85"/>
      <c r="H32" s="114">
        <f>H29*HSXL!D$18</f>
        <v>62398.159341320003</v>
      </c>
    </row>
    <row r="33" spans="1:8" ht="60" x14ac:dyDescent="0.15">
      <c r="A33" s="276"/>
      <c r="B33" s="85"/>
      <c r="C33" s="86" t="str">
        <f>"Chi phí một số công việc không xác định được khối lượng từ thiết kế (T x "&amp;HSXL!C$13&amp;")"</f>
        <v>Chi phí một số công việc không xác định được khối lượng từ thiết kế (T x 2%)</v>
      </c>
      <c r="D33" s="85" t="s">
        <v>42</v>
      </c>
      <c r="E33" s="279" t="str">
        <f>HSXL!C$13</f>
        <v>2%</v>
      </c>
      <c r="F33" s="114"/>
      <c r="G33" s="85"/>
      <c r="H33" s="114">
        <f>H29*HSXL!D$13</f>
        <v>113451.19880240002</v>
      </c>
    </row>
    <row r="34" spans="1:8" ht="30" x14ac:dyDescent="0.15">
      <c r="A34" s="277"/>
      <c r="B34" s="122"/>
      <c r="C34" s="123" t="s">
        <v>924</v>
      </c>
      <c r="D34" s="122" t="s">
        <v>614</v>
      </c>
      <c r="E34" s="278"/>
      <c r="F34" s="126"/>
      <c r="G34" s="122"/>
      <c r="H34" s="126">
        <f>SUM(H31:H33)</f>
        <v>487840.15485032002</v>
      </c>
    </row>
    <row r="35" spans="1:8" ht="45" x14ac:dyDescent="0.15">
      <c r="A35" s="276"/>
      <c r="B35" s="85"/>
      <c r="C35" s="86" t="str">
        <f>"THU NHẬP CHỊU THUẾ TÍNH TRƯỚC (T+GT) x "&amp;HSXL!C$16</f>
        <v>THU NHẬP CHỊU THUẾ TÍNH TRƯỚC (T+GT) x 5,5%</v>
      </c>
      <c r="D35" s="85" t="s">
        <v>617</v>
      </c>
      <c r="E35" s="279" t="str">
        <f>HSXL!C$16</f>
        <v>5,5%</v>
      </c>
      <c r="F35" s="114"/>
      <c r="G35" s="85"/>
      <c r="H35" s="114">
        <f>(H29+H34)*HSXL!D$16</f>
        <v>338822.0052233676</v>
      </c>
    </row>
    <row r="36" spans="1:8" ht="30" x14ac:dyDescent="0.15">
      <c r="A36" s="276"/>
      <c r="B36" s="85"/>
      <c r="C36" s="86" t="s">
        <v>925</v>
      </c>
      <c r="D36" s="85" t="s">
        <v>619</v>
      </c>
      <c r="E36" s="279"/>
      <c r="F36" s="114"/>
      <c r="G36" s="85"/>
      <c r="H36" s="114">
        <f>H29+H34+H35</f>
        <v>6499222.1001936877</v>
      </c>
    </row>
    <row r="37" spans="1:8" ht="30" x14ac:dyDescent="0.15">
      <c r="A37" s="276"/>
      <c r="B37" s="85"/>
      <c r="C37" s="86" t="str">
        <f>"THUẾ GIÁ TRỊ GIA TĂNG (G x "&amp;HSXL!C$17&amp;")"</f>
        <v>THUẾ GIÁ TRỊ GIA TĂNG (G x 8%)</v>
      </c>
      <c r="D37" s="85" t="s">
        <v>623</v>
      </c>
      <c r="E37" s="192">
        <f>HSXL!D$17</f>
        <v>0.08</v>
      </c>
      <c r="F37" s="114"/>
      <c r="G37" s="85"/>
      <c r="H37" s="114">
        <f>E37*H36</f>
        <v>519937.76801549504</v>
      </c>
    </row>
    <row r="38" spans="1:8" ht="30" x14ac:dyDescent="0.15">
      <c r="A38" s="280"/>
      <c r="B38" s="281"/>
      <c r="C38" s="282" t="s">
        <v>926</v>
      </c>
      <c r="D38" s="281" t="s">
        <v>626</v>
      </c>
      <c r="E38" s="283"/>
      <c r="F38" s="284"/>
      <c r="G38" s="281"/>
      <c r="H38" s="285">
        <f>H36+H37</f>
        <v>7019159.8682091832</v>
      </c>
    </row>
    <row r="39" spans="1:8" ht="75" x14ac:dyDescent="0.15">
      <c r="A39" s="141">
        <f>'Công trình'!A32</f>
        <v>3</v>
      </c>
      <c r="B39" s="122" t="str">
        <f>'Công trình'!E32</f>
        <v>TT</v>
      </c>
      <c r="C39" s="123" t="str">
        <f>'Công trình'!F32</f>
        <v>Cừ thép thuê 2500 đ/m/ngày dự kiến thi công 6 tháng ; cừ thép luân chuyển sử dung 3 lần</v>
      </c>
      <c r="D39" s="122" t="str">
        <f>'Công trình'!G32</f>
        <v>m</v>
      </c>
      <c r="E39" s="123">
        <v>1</v>
      </c>
      <c r="F39" s="126"/>
      <c r="G39" s="122"/>
      <c r="H39" s="126"/>
    </row>
    <row r="40" spans="1:8" x14ac:dyDescent="0.15">
      <c r="A40" s="274"/>
      <c r="B40" s="146"/>
      <c r="C40" s="145" t="s">
        <v>477</v>
      </c>
      <c r="D40" s="146"/>
      <c r="E40" s="145"/>
      <c r="F40" s="275"/>
      <c r="G40" s="146"/>
      <c r="H40" s="275">
        <f>H41</f>
        <v>2500</v>
      </c>
    </row>
    <row r="41" spans="1:8" x14ac:dyDescent="0.15">
      <c r="A41" s="276"/>
      <c r="B41" s="85" t="str">
        <f>""</f>
        <v/>
      </c>
      <c r="C41" s="86" t="s">
        <v>28</v>
      </c>
      <c r="D41" s="85" t="str">
        <f>""</f>
        <v/>
      </c>
      <c r="E41" s="135">
        <v>1</v>
      </c>
      <c r="F41" s="114">
        <f>'Tổng hợp VT'!O6</f>
        <v>2500</v>
      </c>
      <c r="G41" s="85"/>
      <c r="H41" s="114">
        <f>E41*F41</f>
        <v>2500</v>
      </c>
    </row>
    <row r="42" spans="1:8" ht="30" x14ac:dyDescent="0.15">
      <c r="A42" s="277"/>
      <c r="B42" s="122"/>
      <c r="C42" s="123" t="s">
        <v>923</v>
      </c>
      <c r="D42" s="122" t="s">
        <v>606</v>
      </c>
      <c r="E42" s="278"/>
      <c r="F42" s="126"/>
      <c r="G42" s="122"/>
      <c r="H42" s="126">
        <f>H40</f>
        <v>2500</v>
      </c>
    </row>
    <row r="43" spans="1:8" x14ac:dyDescent="0.15">
      <c r="A43" s="276"/>
      <c r="B43" s="85"/>
      <c r="C43" s="86" t="s">
        <v>608</v>
      </c>
      <c r="D43" s="85" t="str">
        <f>""</f>
        <v/>
      </c>
      <c r="E43" s="279"/>
      <c r="F43" s="114"/>
      <c r="G43" s="85"/>
      <c r="H43" s="114"/>
    </row>
    <row r="44" spans="1:8" x14ac:dyDescent="0.15">
      <c r="A44" s="276"/>
      <c r="B44" s="85"/>
      <c r="C44" s="86" t="str">
        <f>"Chi phí chung (T x "&amp;HSXL!C$14&amp;")"</f>
        <v>Chi phí chung (T x 5,5%)</v>
      </c>
      <c r="D44" s="85" t="s">
        <v>603</v>
      </c>
      <c r="E44" s="279" t="str">
        <f>HSXL!C$14</f>
        <v>5,5%</v>
      </c>
      <c r="F44" s="114"/>
      <c r="G44" s="85"/>
      <c r="H44" s="114">
        <f>H42*HSXL!D$14</f>
        <v>137.5</v>
      </c>
    </row>
    <row r="45" spans="1:8" ht="45" x14ac:dyDescent="0.15">
      <c r="A45" s="276"/>
      <c r="B45" s="85"/>
      <c r="C45" s="86" t="str">
        <f>"Chi phí nhà tạm để ở và điều hành thi công (T x "&amp;HSXL!C$18&amp;")"</f>
        <v>Chi phí nhà tạm để ở và điều hành thi công (T x 1,1%)</v>
      </c>
      <c r="D45" s="85" t="s">
        <v>611</v>
      </c>
      <c r="E45" s="279" t="str">
        <f>HSXL!C$18</f>
        <v>1,1%</v>
      </c>
      <c r="F45" s="114"/>
      <c r="G45" s="85"/>
      <c r="H45" s="114">
        <f>H42*HSXL!D$18</f>
        <v>27.5</v>
      </c>
    </row>
    <row r="46" spans="1:8" ht="60" x14ac:dyDescent="0.15">
      <c r="A46" s="276"/>
      <c r="B46" s="85"/>
      <c r="C46" s="86" t="str">
        <f>"Chi phí một số công việc không xác định được khối lượng từ thiết kế (T x "&amp;HSXL!C$13&amp;")"</f>
        <v>Chi phí một số công việc không xác định được khối lượng từ thiết kế (T x 2%)</v>
      </c>
      <c r="D46" s="85" t="s">
        <v>42</v>
      </c>
      <c r="E46" s="279" t="str">
        <f>HSXL!C$13</f>
        <v>2%</v>
      </c>
      <c r="F46" s="114"/>
      <c r="G46" s="85"/>
      <c r="H46" s="114">
        <f>H42*HSXL!D$13</f>
        <v>50</v>
      </c>
    </row>
    <row r="47" spans="1:8" ht="30" x14ac:dyDescent="0.15">
      <c r="A47" s="277"/>
      <c r="B47" s="122"/>
      <c r="C47" s="123" t="s">
        <v>924</v>
      </c>
      <c r="D47" s="122" t="s">
        <v>614</v>
      </c>
      <c r="E47" s="278"/>
      <c r="F47" s="126"/>
      <c r="G47" s="122"/>
      <c r="H47" s="126">
        <f>SUM(H44:H46)</f>
        <v>215</v>
      </c>
    </row>
    <row r="48" spans="1:8" ht="45" x14ac:dyDescent="0.15">
      <c r="A48" s="276"/>
      <c r="B48" s="85"/>
      <c r="C48" s="86" t="str">
        <f>"THU NHẬP CHỊU THUẾ TÍNH TRƯỚC (T+GT) x "&amp;HSXL!C$16</f>
        <v>THU NHẬP CHỊU THUẾ TÍNH TRƯỚC (T+GT) x 5,5%</v>
      </c>
      <c r="D48" s="85" t="s">
        <v>617</v>
      </c>
      <c r="E48" s="279" t="str">
        <f>HSXL!C$16</f>
        <v>5,5%</v>
      </c>
      <c r="F48" s="114"/>
      <c r="G48" s="85"/>
      <c r="H48" s="114">
        <f>(H42+H47)*HSXL!D$16</f>
        <v>149.32499999999999</v>
      </c>
    </row>
    <row r="49" spans="1:8" ht="30" x14ac:dyDescent="0.15">
      <c r="A49" s="276"/>
      <c r="B49" s="85"/>
      <c r="C49" s="86" t="s">
        <v>925</v>
      </c>
      <c r="D49" s="85" t="s">
        <v>619</v>
      </c>
      <c r="E49" s="279"/>
      <c r="F49" s="114"/>
      <c r="G49" s="85"/>
      <c r="H49" s="114">
        <f>H42+H47+H48</f>
        <v>2864.3249999999998</v>
      </c>
    </row>
    <row r="50" spans="1:8" ht="30" x14ac:dyDescent="0.15">
      <c r="A50" s="276"/>
      <c r="B50" s="85"/>
      <c r="C50" s="86" t="str">
        <f>"THUẾ GIÁ TRỊ GIA TĂNG (G x "&amp;HSXL!C$17&amp;")"</f>
        <v>THUẾ GIÁ TRỊ GIA TĂNG (G x 8%)</v>
      </c>
      <c r="D50" s="85" t="s">
        <v>623</v>
      </c>
      <c r="E50" s="192">
        <f>HSXL!D$17</f>
        <v>0.08</v>
      </c>
      <c r="F50" s="114"/>
      <c r="G50" s="85"/>
      <c r="H50" s="114">
        <f>E50*H49</f>
        <v>229.14599999999999</v>
      </c>
    </row>
    <row r="51" spans="1:8" ht="30" x14ac:dyDescent="0.15">
      <c r="A51" s="280"/>
      <c r="B51" s="281"/>
      <c r="C51" s="282" t="s">
        <v>926</v>
      </c>
      <c r="D51" s="281" t="s">
        <v>626</v>
      </c>
      <c r="E51" s="283"/>
      <c r="F51" s="284"/>
      <c r="G51" s="281"/>
      <c r="H51" s="285">
        <f>H49+H50</f>
        <v>3093.471</v>
      </c>
    </row>
    <row r="52" spans="1:8" ht="30" x14ac:dyDescent="0.15">
      <c r="A52" s="141">
        <f>'Công trình'!A34</f>
        <v>4</v>
      </c>
      <c r="B52" s="122" t="str">
        <f>'Công trình'!E34</f>
        <v>TT</v>
      </c>
      <c r="C52" s="123" t="str">
        <f>'Công trình'!F34</f>
        <v>Bơm nước thi công cho 5 phân đoạn</v>
      </c>
      <c r="D52" s="122" t="str">
        <f>'Công trình'!G34</f>
        <v>ca</v>
      </c>
      <c r="E52" s="123">
        <v>1</v>
      </c>
      <c r="F52" s="126"/>
      <c r="G52" s="122"/>
      <c r="H52" s="126"/>
    </row>
    <row r="53" spans="1:8" x14ac:dyDescent="0.15">
      <c r="A53" s="274"/>
      <c r="B53" s="146"/>
      <c r="C53" s="145" t="s">
        <v>481</v>
      </c>
      <c r="D53" s="146"/>
      <c r="E53" s="145"/>
      <c r="F53" s="275"/>
      <c r="G53" s="146"/>
      <c r="H53" s="275">
        <f>H54</f>
        <v>50000</v>
      </c>
    </row>
    <row r="54" spans="1:8" x14ac:dyDescent="0.15">
      <c r="A54" s="276"/>
      <c r="B54" s="85" t="str">
        <f>""</f>
        <v/>
      </c>
      <c r="C54" s="86" t="s">
        <v>30</v>
      </c>
      <c r="D54" s="85" t="str">
        <f>""</f>
        <v/>
      </c>
      <c r="E54" s="135">
        <v>1</v>
      </c>
      <c r="F54" s="114">
        <f>'Tổng hợp VT'!O33</f>
        <v>50000</v>
      </c>
      <c r="G54" s="85"/>
      <c r="H54" s="114">
        <f>E54*F54</f>
        <v>50000</v>
      </c>
    </row>
    <row r="55" spans="1:8" x14ac:dyDescent="0.15">
      <c r="A55" s="274"/>
      <c r="B55" s="146"/>
      <c r="C55" s="145" t="s">
        <v>482</v>
      </c>
      <c r="D55" s="146"/>
      <c r="E55" s="145"/>
      <c r="F55" s="275"/>
      <c r="G55" s="146"/>
      <c r="H55" s="275">
        <f>H56</f>
        <v>450000</v>
      </c>
    </row>
    <row r="56" spans="1:8" x14ac:dyDescent="0.15">
      <c r="A56" s="276"/>
      <c r="B56" s="85" t="str">
        <f>""</f>
        <v/>
      </c>
      <c r="C56" s="86" t="s">
        <v>32</v>
      </c>
      <c r="D56" s="85" t="str">
        <f>""</f>
        <v/>
      </c>
      <c r="E56" s="135">
        <v>1</v>
      </c>
      <c r="F56" s="114">
        <f>'Tổng hợp VT'!O41</f>
        <v>450000</v>
      </c>
      <c r="G56" s="85"/>
      <c r="H56" s="114">
        <f>E56*F56</f>
        <v>450000</v>
      </c>
    </row>
    <row r="57" spans="1:8" ht="30" x14ac:dyDescent="0.15">
      <c r="A57" s="277"/>
      <c r="B57" s="122"/>
      <c r="C57" s="123" t="s">
        <v>923</v>
      </c>
      <c r="D57" s="122" t="s">
        <v>606</v>
      </c>
      <c r="E57" s="278"/>
      <c r="F57" s="126"/>
      <c r="G57" s="122"/>
      <c r="H57" s="126">
        <f>+H53+H55</f>
        <v>500000</v>
      </c>
    </row>
    <row r="58" spans="1:8" x14ac:dyDescent="0.15">
      <c r="A58" s="276"/>
      <c r="B58" s="85"/>
      <c r="C58" s="86" t="s">
        <v>608</v>
      </c>
      <c r="D58" s="85" t="str">
        <f>""</f>
        <v/>
      </c>
      <c r="E58" s="279"/>
      <c r="F58" s="114"/>
      <c r="G58" s="85"/>
      <c r="H58" s="114"/>
    </row>
    <row r="59" spans="1:8" x14ac:dyDescent="0.15">
      <c r="A59" s="276"/>
      <c r="B59" s="85"/>
      <c r="C59" s="86" t="str">
        <f>"Chi phí chung (T x "&amp;HSXL!C$14&amp;")"</f>
        <v>Chi phí chung (T x 5,5%)</v>
      </c>
      <c r="D59" s="85" t="s">
        <v>603</v>
      </c>
      <c r="E59" s="279" t="str">
        <f>HSXL!C$14</f>
        <v>5,5%</v>
      </c>
      <c r="F59" s="114"/>
      <c r="G59" s="85"/>
      <c r="H59" s="114">
        <f>H57*HSXL!D$14</f>
        <v>27500</v>
      </c>
    </row>
    <row r="60" spans="1:8" ht="45" x14ac:dyDescent="0.15">
      <c r="A60" s="276"/>
      <c r="B60" s="85"/>
      <c r="C60" s="86" t="str">
        <f>"Chi phí nhà tạm để ở và điều hành thi công (T x "&amp;HSXL!C$18&amp;")"</f>
        <v>Chi phí nhà tạm để ở và điều hành thi công (T x 1,1%)</v>
      </c>
      <c r="D60" s="85" t="s">
        <v>611</v>
      </c>
      <c r="E60" s="279" t="str">
        <f>HSXL!C$18</f>
        <v>1,1%</v>
      </c>
      <c r="F60" s="114"/>
      <c r="G60" s="85"/>
      <c r="H60" s="114">
        <f>H57*HSXL!D$18</f>
        <v>5500</v>
      </c>
    </row>
    <row r="61" spans="1:8" ht="60" x14ac:dyDescent="0.15">
      <c r="A61" s="276"/>
      <c r="B61" s="85"/>
      <c r="C61" s="86" t="str">
        <f>"Chi phí một số công việc không xác định được khối lượng từ thiết kế (T x "&amp;HSXL!C$13&amp;")"</f>
        <v>Chi phí một số công việc không xác định được khối lượng từ thiết kế (T x 2%)</v>
      </c>
      <c r="D61" s="85" t="s">
        <v>42</v>
      </c>
      <c r="E61" s="279" t="str">
        <f>HSXL!C$13</f>
        <v>2%</v>
      </c>
      <c r="F61" s="114"/>
      <c r="G61" s="85"/>
      <c r="H61" s="114">
        <f>H57*HSXL!D$13</f>
        <v>10000</v>
      </c>
    </row>
    <row r="62" spans="1:8" ht="30" x14ac:dyDescent="0.15">
      <c r="A62" s="277"/>
      <c r="B62" s="122"/>
      <c r="C62" s="123" t="s">
        <v>924</v>
      </c>
      <c r="D62" s="122" t="s">
        <v>614</v>
      </c>
      <c r="E62" s="278"/>
      <c r="F62" s="126"/>
      <c r="G62" s="122"/>
      <c r="H62" s="126">
        <f>SUM(H59:H61)</f>
        <v>43000</v>
      </c>
    </row>
    <row r="63" spans="1:8" ht="45" x14ac:dyDescent="0.15">
      <c r="A63" s="276"/>
      <c r="B63" s="85"/>
      <c r="C63" s="86" t="str">
        <f>"THU NHẬP CHỊU THUẾ TÍNH TRƯỚC (T+GT) x "&amp;HSXL!C$16</f>
        <v>THU NHẬP CHỊU THUẾ TÍNH TRƯỚC (T+GT) x 5,5%</v>
      </c>
      <c r="D63" s="85" t="s">
        <v>617</v>
      </c>
      <c r="E63" s="279" t="str">
        <f>HSXL!C$16</f>
        <v>5,5%</v>
      </c>
      <c r="F63" s="114"/>
      <c r="G63" s="85"/>
      <c r="H63" s="114">
        <f>(H57+H62)*HSXL!D$16</f>
        <v>29865</v>
      </c>
    </row>
    <row r="64" spans="1:8" ht="30" x14ac:dyDescent="0.15">
      <c r="A64" s="276"/>
      <c r="B64" s="85"/>
      <c r="C64" s="86" t="s">
        <v>925</v>
      </c>
      <c r="D64" s="85" t="s">
        <v>619</v>
      </c>
      <c r="E64" s="279"/>
      <c r="F64" s="114"/>
      <c r="G64" s="85"/>
      <c r="H64" s="114">
        <f>H57+H62+H63</f>
        <v>572865</v>
      </c>
    </row>
    <row r="65" spans="1:8" ht="30" x14ac:dyDescent="0.15">
      <c r="A65" s="276"/>
      <c r="B65" s="85"/>
      <c r="C65" s="86" t="str">
        <f>"THUẾ GIÁ TRỊ GIA TĂNG (G x "&amp;HSXL!C$17&amp;")"</f>
        <v>THUẾ GIÁ TRỊ GIA TĂNG (G x 8%)</v>
      </c>
      <c r="D65" s="85" t="s">
        <v>623</v>
      </c>
      <c r="E65" s="192">
        <f>HSXL!D$17</f>
        <v>0.08</v>
      </c>
      <c r="F65" s="114"/>
      <c r="G65" s="85"/>
      <c r="H65" s="114">
        <f>E65*H64</f>
        <v>45829.200000000004</v>
      </c>
    </row>
    <row r="66" spans="1:8" ht="30" x14ac:dyDescent="0.15">
      <c r="A66" s="280"/>
      <c r="B66" s="281"/>
      <c r="C66" s="282" t="s">
        <v>926</v>
      </c>
      <c r="D66" s="281" t="s">
        <v>626</v>
      </c>
      <c r="E66" s="283"/>
      <c r="F66" s="284"/>
      <c r="G66" s="281"/>
      <c r="H66" s="285">
        <f>H64+H65</f>
        <v>618694.19999999995</v>
      </c>
    </row>
    <row r="67" spans="1:8" ht="45" x14ac:dyDescent="0.15">
      <c r="A67" s="141">
        <f>'Công trình'!A36</f>
        <v>5</v>
      </c>
      <c r="B67" s="122" t="str">
        <f>'Công trình'!E36</f>
        <v>TT</v>
      </c>
      <c r="C67" s="123" t="str">
        <f>'Công trình'!F36</f>
        <v>Thuê ván thép chống lầy để xe đi đóng cọc tre hố móng</v>
      </c>
      <c r="D67" s="122" t="str">
        <f>'Công trình'!G36</f>
        <v>đoạn</v>
      </c>
      <c r="E67" s="123">
        <v>1</v>
      </c>
      <c r="F67" s="126"/>
      <c r="G67" s="122"/>
      <c r="H67" s="126"/>
    </row>
    <row r="68" spans="1:8" x14ac:dyDescent="0.15">
      <c r="A68" s="274"/>
      <c r="B68" s="146"/>
      <c r="C68" s="145" t="s">
        <v>477</v>
      </c>
      <c r="D68" s="146"/>
      <c r="E68" s="145"/>
      <c r="F68" s="275"/>
      <c r="G68" s="146"/>
      <c r="H68" s="275">
        <f>H69</f>
        <v>19500000</v>
      </c>
    </row>
    <row r="69" spans="1:8" x14ac:dyDescent="0.15">
      <c r="A69" s="276"/>
      <c r="B69" s="85" t="str">
        <f>""</f>
        <v/>
      </c>
      <c r="C69" s="86" t="s">
        <v>28</v>
      </c>
      <c r="D69" s="85" t="str">
        <f>""</f>
        <v/>
      </c>
      <c r="E69" s="135">
        <v>1</v>
      </c>
      <c r="F69" s="114">
        <f>'Tổng hợp VT'!O7</f>
        <v>19500000</v>
      </c>
      <c r="G69" s="85"/>
      <c r="H69" s="114">
        <f>E69*F69</f>
        <v>19500000</v>
      </c>
    </row>
    <row r="70" spans="1:8" ht="30" x14ac:dyDescent="0.15">
      <c r="A70" s="277"/>
      <c r="B70" s="122"/>
      <c r="C70" s="123" t="s">
        <v>923</v>
      </c>
      <c r="D70" s="122" t="s">
        <v>606</v>
      </c>
      <c r="E70" s="278"/>
      <c r="F70" s="126"/>
      <c r="G70" s="122"/>
      <c r="H70" s="126">
        <f>H68</f>
        <v>19500000</v>
      </c>
    </row>
    <row r="71" spans="1:8" x14ac:dyDescent="0.15">
      <c r="A71" s="276"/>
      <c r="B71" s="85"/>
      <c r="C71" s="86" t="s">
        <v>608</v>
      </c>
      <c r="D71" s="85" t="str">
        <f>""</f>
        <v/>
      </c>
      <c r="E71" s="279"/>
      <c r="F71" s="114"/>
      <c r="G71" s="85"/>
      <c r="H71" s="114"/>
    </row>
    <row r="72" spans="1:8" x14ac:dyDescent="0.15">
      <c r="A72" s="276"/>
      <c r="B72" s="85"/>
      <c r="C72" s="86" t="str">
        <f>"Chi phí chung (T x "&amp;HSXL!C$14&amp;")"</f>
        <v>Chi phí chung (T x 5,5%)</v>
      </c>
      <c r="D72" s="85" t="s">
        <v>603</v>
      </c>
      <c r="E72" s="279" t="str">
        <f>HSXL!C$14</f>
        <v>5,5%</v>
      </c>
      <c r="F72" s="114"/>
      <c r="G72" s="85"/>
      <c r="H72" s="114">
        <f>H70*HSXL!D$14</f>
        <v>1072500</v>
      </c>
    </row>
    <row r="73" spans="1:8" ht="45" x14ac:dyDescent="0.15">
      <c r="A73" s="276"/>
      <c r="B73" s="85"/>
      <c r="C73" s="86" t="str">
        <f>"Chi phí nhà tạm để ở và điều hành thi công (T x "&amp;HSXL!C$18&amp;")"</f>
        <v>Chi phí nhà tạm để ở và điều hành thi công (T x 1,1%)</v>
      </c>
      <c r="D73" s="85" t="s">
        <v>611</v>
      </c>
      <c r="E73" s="279" t="str">
        <f>HSXL!C$18</f>
        <v>1,1%</v>
      </c>
      <c r="F73" s="114"/>
      <c r="G73" s="85"/>
      <c r="H73" s="114">
        <f>H70*HSXL!D$18</f>
        <v>214500</v>
      </c>
    </row>
    <row r="74" spans="1:8" ht="60" x14ac:dyDescent="0.15">
      <c r="A74" s="276"/>
      <c r="B74" s="85"/>
      <c r="C74" s="86" t="str">
        <f>"Chi phí một số công việc không xác định được khối lượng từ thiết kế (T x "&amp;HSXL!C$13&amp;")"</f>
        <v>Chi phí một số công việc không xác định được khối lượng từ thiết kế (T x 2%)</v>
      </c>
      <c r="D74" s="85" t="s">
        <v>42</v>
      </c>
      <c r="E74" s="279" t="str">
        <f>HSXL!C$13</f>
        <v>2%</v>
      </c>
      <c r="F74" s="114"/>
      <c r="G74" s="85"/>
      <c r="H74" s="114">
        <f>H70*HSXL!D$13</f>
        <v>390000</v>
      </c>
    </row>
    <row r="75" spans="1:8" ht="30" x14ac:dyDescent="0.15">
      <c r="A75" s="277"/>
      <c r="B75" s="122"/>
      <c r="C75" s="123" t="s">
        <v>924</v>
      </c>
      <c r="D75" s="122" t="s">
        <v>614</v>
      </c>
      <c r="E75" s="278"/>
      <c r="F75" s="126"/>
      <c r="G75" s="122"/>
      <c r="H75" s="126">
        <f>SUM(H72:H74)</f>
        <v>1677000</v>
      </c>
    </row>
    <row r="76" spans="1:8" ht="45" x14ac:dyDescent="0.15">
      <c r="A76" s="276"/>
      <c r="B76" s="85"/>
      <c r="C76" s="86" t="str">
        <f>"THU NHẬP CHỊU THUẾ TÍNH TRƯỚC (T+GT) x "&amp;HSXL!C$16</f>
        <v>THU NHẬP CHỊU THUẾ TÍNH TRƯỚC (T+GT) x 5,5%</v>
      </c>
      <c r="D76" s="85" t="s">
        <v>617</v>
      </c>
      <c r="E76" s="279" t="str">
        <f>HSXL!C$16</f>
        <v>5,5%</v>
      </c>
      <c r="F76" s="114"/>
      <c r="G76" s="85"/>
      <c r="H76" s="114">
        <f>(H70+H75)*HSXL!D$16</f>
        <v>1164735</v>
      </c>
    </row>
    <row r="77" spans="1:8" ht="30" x14ac:dyDescent="0.15">
      <c r="A77" s="276"/>
      <c r="B77" s="85"/>
      <c r="C77" s="86" t="s">
        <v>925</v>
      </c>
      <c r="D77" s="85" t="s">
        <v>619</v>
      </c>
      <c r="E77" s="279"/>
      <c r="F77" s="114"/>
      <c r="G77" s="85"/>
      <c r="H77" s="114">
        <f>H70+H75+H76</f>
        <v>22341735</v>
      </c>
    </row>
    <row r="78" spans="1:8" ht="30" x14ac:dyDescent="0.15">
      <c r="A78" s="276"/>
      <c r="B78" s="85"/>
      <c r="C78" s="86" t="str">
        <f>"THUẾ GIÁ TRỊ GIA TĂNG (G x "&amp;HSXL!C$17&amp;")"</f>
        <v>THUẾ GIÁ TRỊ GIA TĂNG (G x 8%)</v>
      </c>
      <c r="D78" s="85" t="s">
        <v>623</v>
      </c>
      <c r="E78" s="192">
        <f>HSXL!D$17</f>
        <v>0.08</v>
      </c>
      <c r="F78" s="114"/>
      <c r="G78" s="85"/>
      <c r="H78" s="114">
        <f>E78*H77</f>
        <v>1787338.8</v>
      </c>
    </row>
    <row r="79" spans="1:8" ht="30" x14ac:dyDescent="0.15">
      <c r="A79" s="280"/>
      <c r="B79" s="281"/>
      <c r="C79" s="282" t="s">
        <v>926</v>
      </c>
      <c r="D79" s="281" t="s">
        <v>626</v>
      </c>
      <c r="E79" s="283"/>
      <c r="F79" s="284"/>
      <c r="G79" s="281"/>
      <c r="H79" s="285">
        <f>H77+H78</f>
        <v>24129073.800000001</v>
      </c>
    </row>
    <row r="80" spans="1:8" ht="75" x14ac:dyDescent="0.15">
      <c r="A80" s="141">
        <f>'Công trình'!A39</f>
        <v>6</v>
      </c>
      <c r="B80" s="122" t="str">
        <f>'Công trình'!E39</f>
        <v>AC.22111</v>
      </c>
      <c r="C80" s="123" t="str">
        <f>'Công trình'!F39</f>
        <v>Nhổ cọc ván thép (cừ Larsen) trên cạn bằng máy đóng cọc 1,8T, chiều dài cọc &lt;=12 m, đất cấp I</v>
      </c>
      <c r="D80" s="122" t="str">
        <f>'Công trình'!G39</f>
        <v>100m</v>
      </c>
      <c r="E80" s="123">
        <v>1</v>
      </c>
      <c r="F80" s="126"/>
      <c r="G80" s="122"/>
      <c r="H80" s="126"/>
    </row>
    <row r="81" spans="1:8" x14ac:dyDescent="0.15">
      <c r="A81" s="274"/>
      <c r="B81" s="146"/>
      <c r="C81" s="145" t="s">
        <v>477</v>
      </c>
      <c r="D81" s="146"/>
      <c r="E81" s="145"/>
      <c r="F81" s="275"/>
      <c r="G81" s="146"/>
      <c r="H81" s="275">
        <f>H84</f>
        <v>0</v>
      </c>
    </row>
    <row r="82" spans="1:8" ht="30" x14ac:dyDescent="0.15">
      <c r="A82" s="276"/>
      <c r="B82" s="85" t="str">
        <f>'Giá tháng'!B$10</f>
        <v>A24.0230</v>
      </c>
      <c r="C82" s="86" t="str">
        <f>'Giá tháng'!C$10</f>
        <v>Cọc ván thép &lt;=12m</v>
      </c>
      <c r="D82" s="85" t="str">
        <f>'Giá tháng'!D$10</f>
        <v>m</v>
      </c>
      <c r="E82" s="135">
        <f>HaoPhiVatTu!F$17</f>
        <v>100</v>
      </c>
      <c r="F82" s="114">
        <f>'Tổng hợp VT'!O$14</f>
        <v>0</v>
      </c>
      <c r="G82" s="136">
        <f>'Giá tháng'!G$10</f>
        <v>1</v>
      </c>
      <c r="H82" s="114">
        <f>E82*F82*G82</f>
        <v>0</v>
      </c>
    </row>
    <row r="83" spans="1:8" x14ac:dyDescent="0.15">
      <c r="A83" s="276"/>
      <c r="B83" s="85" t="s">
        <v>478</v>
      </c>
      <c r="C83" s="86" t="s">
        <v>479</v>
      </c>
      <c r="D83" s="85" t="s">
        <v>480</v>
      </c>
      <c r="E83" s="135">
        <f>HaoPhiVatTu!F$18</f>
        <v>0.5</v>
      </c>
      <c r="F83" s="114">
        <f>SUM(H82:H82)</f>
        <v>0</v>
      </c>
      <c r="G83" s="85"/>
      <c r="H83" s="114">
        <f>E83*F83/100</f>
        <v>0</v>
      </c>
    </row>
    <row r="84" spans="1:8" x14ac:dyDescent="0.15">
      <c r="A84" s="276"/>
      <c r="B84" s="85"/>
      <c r="C84" s="86" t="s">
        <v>586</v>
      </c>
      <c r="D84" s="85"/>
      <c r="E84" s="86"/>
      <c r="F84" s="114"/>
      <c r="G84" s="85"/>
      <c r="H84" s="114">
        <f>SUM(H82:H83)</f>
        <v>0</v>
      </c>
    </row>
    <row r="85" spans="1:8" x14ac:dyDescent="0.15">
      <c r="A85" s="274"/>
      <c r="B85" s="146"/>
      <c r="C85" s="145" t="s">
        <v>481</v>
      </c>
      <c r="D85" s="146"/>
      <c r="E85" s="145"/>
      <c r="F85" s="275"/>
      <c r="G85" s="146"/>
      <c r="H85" s="275">
        <f>H86</f>
        <v>1927180</v>
      </c>
    </row>
    <row r="86" spans="1:8" ht="30" x14ac:dyDescent="0.15">
      <c r="A86" s="276"/>
      <c r="B86" s="85" t="str">
        <f>'Giá tháng'!B$29</f>
        <v>N2.35</v>
      </c>
      <c r="C86" s="86" t="str">
        <f>'Giá tháng'!C$29</f>
        <v>Nhân công 3,5/7 - Nhóm 2</v>
      </c>
      <c r="D86" s="85" t="str">
        <f>'Giá tháng'!D$29</f>
        <v>công</v>
      </c>
      <c r="E86" s="135">
        <f>HaoPhiVatTu!F$20</f>
        <v>6.68</v>
      </c>
      <c r="F86" s="114">
        <f>'Tổng hợp VT'!O$36</f>
        <v>288500</v>
      </c>
      <c r="G86" s="136">
        <f>'Giá tháng'!G$29</f>
        <v>1</v>
      </c>
      <c r="H86" s="114">
        <f>E86*F86*G86</f>
        <v>1927180</v>
      </c>
    </row>
    <row r="87" spans="1:8" x14ac:dyDescent="0.15">
      <c r="A87" s="274"/>
      <c r="B87" s="146"/>
      <c r="C87" s="145" t="s">
        <v>482</v>
      </c>
      <c r="D87" s="146"/>
      <c r="E87" s="145"/>
      <c r="F87" s="275"/>
      <c r="G87" s="146"/>
      <c r="H87" s="275">
        <f>H90</f>
        <v>3745379.9401199999</v>
      </c>
    </row>
    <row r="88" spans="1:8" ht="45" x14ac:dyDescent="0.15">
      <c r="A88" s="276"/>
      <c r="B88" s="85" t="str">
        <f>'Giá tháng'!B$44</f>
        <v>M103.0202</v>
      </c>
      <c r="C88" s="86" t="str">
        <f>'Giá tháng'!C$44</f>
        <v>Máy đóng cọc chạy trên ray - trọng lượng đầu búa : 1,8 T</v>
      </c>
      <c r="D88" s="85" t="str">
        <f>'Giá tháng'!D$44</f>
        <v>ca</v>
      </c>
      <c r="E88" s="135">
        <f>HaoPhiVatTu!F$22</f>
        <v>2.226</v>
      </c>
      <c r="F88" s="114">
        <f>'Tổng hợp VT'!O$54</f>
        <v>1633554</v>
      </c>
      <c r="G88" s="136">
        <f>'Giá tháng'!G$44</f>
        <v>1</v>
      </c>
      <c r="H88" s="114">
        <f>E88*F88*G88</f>
        <v>3636291.2039999999</v>
      </c>
    </row>
    <row r="89" spans="1:8" x14ac:dyDescent="0.15">
      <c r="A89" s="276"/>
      <c r="B89" s="85" t="s">
        <v>483</v>
      </c>
      <c r="C89" s="86" t="s">
        <v>484</v>
      </c>
      <c r="D89" s="85" t="s">
        <v>480</v>
      </c>
      <c r="E89" s="135">
        <f>HaoPhiVatTu!F$23</f>
        <v>3</v>
      </c>
      <c r="F89" s="114">
        <f>SUM(H88:H88)</f>
        <v>3636291.2039999999</v>
      </c>
      <c r="G89" s="85"/>
      <c r="H89" s="114">
        <f>E89*F89/100</f>
        <v>109088.73612</v>
      </c>
    </row>
    <row r="90" spans="1:8" x14ac:dyDescent="0.15">
      <c r="A90" s="276"/>
      <c r="B90" s="85"/>
      <c r="C90" s="86" t="s">
        <v>586</v>
      </c>
      <c r="D90" s="85"/>
      <c r="E90" s="86"/>
      <c r="F90" s="114"/>
      <c r="G90" s="85"/>
      <c r="H90" s="114">
        <f>SUM(H88:H89)</f>
        <v>3745379.9401199999</v>
      </c>
    </row>
    <row r="91" spans="1:8" ht="30" x14ac:dyDescent="0.15">
      <c r="A91" s="277"/>
      <c r="B91" s="122"/>
      <c r="C91" s="123" t="s">
        <v>923</v>
      </c>
      <c r="D91" s="122" t="s">
        <v>606</v>
      </c>
      <c r="E91" s="278"/>
      <c r="F91" s="126"/>
      <c r="G91" s="122"/>
      <c r="H91" s="126">
        <f>H81+H85+H87</f>
        <v>5672559.9401200004</v>
      </c>
    </row>
    <row r="92" spans="1:8" x14ac:dyDescent="0.15">
      <c r="A92" s="276"/>
      <c r="B92" s="85"/>
      <c r="C92" s="86" t="s">
        <v>608</v>
      </c>
      <c r="D92" s="85" t="str">
        <f>""</f>
        <v/>
      </c>
      <c r="E92" s="279"/>
      <c r="F92" s="114"/>
      <c r="G92" s="85"/>
      <c r="H92" s="114"/>
    </row>
    <row r="93" spans="1:8" x14ac:dyDescent="0.15">
      <c r="A93" s="276"/>
      <c r="B93" s="85"/>
      <c r="C93" s="86" t="str">
        <f>"Chi phí chung (T x "&amp;HSXL!C$14&amp;")"</f>
        <v>Chi phí chung (T x 5,5%)</v>
      </c>
      <c r="D93" s="85" t="s">
        <v>603</v>
      </c>
      <c r="E93" s="279" t="str">
        <f>HSXL!C$14</f>
        <v>5,5%</v>
      </c>
      <c r="F93" s="114"/>
      <c r="G93" s="85"/>
      <c r="H93" s="114">
        <f>H91*HSXL!D$14</f>
        <v>311990.7967066</v>
      </c>
    </row>
    <row r="94" spans="1:8" ht="45" x14ac:dyDescent="0.15">
      <c r="A94" s="276"/>
      <c r="B94" s="85"/>
      <c r="C94" s="86" t="str">
        <f>"Chi phí nhà tạm để ở và điều hành thi công (T x "&amp;HSXL!C$18&amp;")"</f>
        <v>Chi phí nhà tạm để ở và điều hành thi công (T x 1,1%)</v>
      </c>
      <c r="D94" s="85" t="s">
        <v>611</v>
      </c>
      <c r="E94" s="279" t="str">
        <f>HSXL!C$18</f>
        <v>1,1%</v>
      </c>
      <c r="F94" s="114"/>
      <c r="G94" s="85"/>
      <c r="H94" s="114">
        <f>H91*HSXL!D$18</f>
        <v>62398.159341320003</v>
      </c>
    </row>
    <row r="95" spans="1:8" ht="60" x14ac:dyDescent="0.15">
      <c r="A95" s="276"/>
      <c r="B95" s="85"/>
      <c r="C95" s="86" t="str">
        <f>"Chi phí một số công việc không xác định được khối lượng từ thiết kế (T x "&amp;HSXL!C$13&amp;")"</f>
        <v>Chi phí một số công việc không xác định được khối lượng từ thiết kế (T x 2%)</v>
      </c>
      <c r="D95" s="85" t="s">
        <v>42</v>
      </c>
      <c r="E95" s="279" t="str">
        <f>HSXL!C$13</f>
        <v>2%</v>
      </c>
      <c r="F95" s="114"/>
      <c r="G95" s="85"/>
      <c r="H95" s="114">
        <f>H91*HSXL!D$13</f>
        <v>113451.19880240002</v>
      </c>
    </row>
    <row r="96" spans="1:8" ht="30" x14ac:dyDescent="0.15">
      <c r="A96" s="277"/>
      <c r="B96" s="122"/>
      <c r="C96" s="123" t="s">
        <v>924</v>
      </c>
      <c r="D96" s="122" t="s">
        <v>614</v>
      </c>
      <c r="E96" s="278"/>
      <c r="F96" s="126"/>
      <c r="G96" s="122"/>
      <c r="H96" s="126">
        <f>SUM(H93:H95)</f>
        <v>487840.15485032002</v>
      </c>
    </row>
    <row r="97" spans="1:8" ht="45" x14ac:dyDescent="0.15">
      <c r="A97" s="276"/>
      <c r="B97" s="85"/>
      <c r="C97" s="86" t="str">
        <f>"THU NHẬP CHỊU THUẾ TÍNH TRƯỚC (T+GT) x "&amp;HSXL!C$16</f>
        <v>THU NHẬP CHỊU THUẾ TÍNH TRƯỚC (T+GT) x 5,5%</v>
      </c>
      <c r="D97" s="85" t="s">
        <v>617</v>
      </c>
      <c r="E97" s="279" t="str">
        <f>HSXL!C$16</f>
        <v>5,5%</v>
      </c>
      <c r="F97" s="114"/>
      <c r="G97" s="85"/>
      <c r="H97" s="114">
        <f>(H91+H96)*HSXL!D$16</f>
        <v>338822.0052233676</v>
      </c>
    </row>
    <row r="98" spans="1:8" ht="30" x14ac:dyDescent="0.15">
      <c r="A98" s="276"/>
      <c r="B98" s="85"/>
      <c r="C98" s="86" t="s">
        <v>925</v>
      </c>
      <c r="D98" s="85" t="s">
        <v>619</v>
      </c>
      <c r="E98" s="279"/>
      <c r="F98" s="114"/>
      <c r="G98" s="85"/>
      <c r="H98" s="114">
        <f>H91+H96+H97</f>
        <v>6499222.1001936877</v>
      </c>
    </row>
    <row r="99" spans="1:8" ht="30" x14ac:dyDescent="0.15">
      <c r="A99" s="276"/>
      <c r="B99" s="85"/>
      <c r="C99" s="86" t="str">
        <f>"THUẾ GIÁ TRỊ GIA TĂNG (G x "&amp;HSXL!C$17&amp;")"</f>
        <v>THUẾ GIÁ TRỊ GIA TĂNG (G x 8%)</v>
      </c>
      <c r="D99" s="85" t="s">
        <v>623</v>
      </c>
      <c r="E99" s="192">
        <f>HSXL!D$17</f>
        <v>0.08</v>
      </c>
      <c r="F99" s="114"/>
      <c r="G99" s="85"/>
      <c r="H99" s="114">
        <f>E99*H98</f>
        <v>519937.76801549504</v>
      </c>
    </row>
    <row r="100" spans="1:8" ht="30" x14ac:dyDescent="0.15">
      <c r="A100" s="280"/>
      <c r="B100" s="281"/>
      <c r="C100" s="282" t="s">
        <v>926</v>
      </c>
      <c r="D100" s="281" t="s">
        <v>626</v>
      </c>
      <c r="E100" s="283"/>
      <c r="F100" s="284"/>
      <c r="G100" s="281"/>
      <c r="H100" s="285">
        <f>H98+H99</f>
        <v>7019159.8682091832</v>
      </c>
    </row>
    <row r="101" spans="1:8" ht="45" x14ac:dyDescent="0.15">
      <c r="A101" s="141">
        <f>'Công trình'!A41</f>
        <v>7</v>
      </c>
      <c r="B101" s="122" t="str">
        <f>'Công trình'!E41</f>
        <v>AL.16121</v>
      </c>
      <c r="C101" s="123" t="str">
        <f>'Công trình'!F41</f>
        <v>Rải vải địa kỹ thuật làm nền đường, mái đê, đập</v>
      </c>
      <c r="D101" s="122" t="str">
        <f>'Công trình'!G41</f>
        <v>100m2</v>
      </c>
      <c r="E101" s="123">
        <v>1</v>
      </c>
      <c r="F101" s="126"/>
      <c r="G101" s="122"/>
      <c r="H101" s="126"/>
    </row>
    <row r="102" spans="1:8" x14ac:dyDescent="0.15">
      <c r="A102" s="274"/>
      <c r="B102" s="146"/>
      <c r="C102" s="145" t="s">
        <v>477</v>
      </c>
      <c r="D102" s="146"/>
      <c r="E102" s="145"/>
      <c r="F102" s="275"/>
      <c r="G102" s="146"/>
      <c r="H102" s="275">
        <f>H105</f>
        <v>1094184</v>
      </c>
    </row>
    <row r="103" spans="1:8" ht="30" x14ac:dyDescent="0.15">
      <c r="A103" s="276"/>
      <c r="B103" s="85" t="str">
        <f>'Giá tháng'!B$24</f>
        <v>A24.0782</v>
      </c>
      <c r="C103" s="86" t="str">
        <f>'Giá tháng'!C$24</f>
        <v>Vải địa kỹ thuật</v>
      </c>
      <c r="D103" s="85" t="str">
        <f>'Giá tháng'!D$24</f>
        <v>m2</v>
      </c>
      <c r="E103" s="135">
        <f>HaoPhiVatTu!F$26</f>
        <v>105</v>
      </c>
      <c r="F103" s="114">
        <f>'Tổng hợp VT'!O$28</f>
        <v>10400</v>
      </c>
      <c r="G103" s="136">
        <f>'Giá tháng'!G$24</f>
        <v>1</v>
      </c>
      <c r="H103" s="114">
        <f>E103*F103*G103</f>
        <v>1092000</v>
      </c>
    </row>
    <row r="104" spans="1:8" x14ac:dyDescent="0.15">
      <c r="A104" s="276"/>
      <c r="B104" s="85" t="s">
        <v>478</v>
      </c>
      <c r="C104" s="86" t="s">
        <v>479</v>
      </c>
      <c r="D104" s="85" t="s">
        <v>480</v>
      </c>
      <c r="E104" s="135">
        <f>HaoPhiVatTu!F$27</f>
        <v>0.2</v>
      </c>
      <c r="F104" s="114">
        <f>SUM(H103:H103)</f>
        <v>1092000</v>
      </c>
      <c r="G104" s="85"/>
      <c r="H104" s="114">
        <f>E104*F104/100</f>
        <v>2184</v>
      </c>
    </row>
    <row r="105" spans="1:8" x14ac:dyDescent="0.15">
      <c r="A105" s="276"/>
      <c r="B105" s="85"/>
      <c r="C105" s="86" t="s">
        <v>586</v>
      </c>
      <c r="D105" s="85"/>
      <c r="E105" s="86"/>
      <c r="F105" s="114"/>
      <c r="G105" s="85"/>
      <c r="H105" s="114">
        <f>SUM(H103:H104)</f>
        <v>1094184</v>
      </c>
    </row>
    <row r="106" spans="1:8" x14ac:dyDescent="0.15">
      <c r="A106" s="274"/>
      <c r="B106" s="146"/>
      <c r="C106" s="145" t="s">
        <v>481</v>
      </c>
      <c r="D106" s="146"/>
      <c r="E106" s="145"/>
      <c r="F106" s="275"/>
      <c r="G106" s="146"/>
      <c r="H106" s="275">
        <f>H107</f>
        <v>340430</v>
      </c>
    </row>
    <row r="107" spans="1:8" ht="30" x14ac:dyDescent="0.15">
      <c r="A107" s="276"/>
      <c r="B107" s="85" t="str">
        <f>'Giá tháng'!B$29</f>
        <v>N2.35</v>
      </c>
      <c r="C107" s="86" t="str">
        <f>'Giá tháng'!C$29</f>
        <v>Nhân công 3,5/7 - Nhóm 2</v>
      </c>
      <c r="D107" s="85" t="str">
        <f>'Giá tháng'!D$29</f>
        <v>công</v>
      </c>
      <c r="E107" s="135">
        <f>HaoPhiVatTu!F$29</f>
        <v>1.18</v>
      </c>
      <c r="F107" s="114">
        <f>'Tổng hợp VT'!O$36</f>
        <v>288500</v>
      </c>
      <c r="G107" s="136">
        <f>'Giá tháng'!G$29</f>
        <v>1</v>
      </c>
      <c r="H107" s="114">
        <f>E107*F107*G107</f>
        <v>340430</v>
      </c>
    </row>
    <row r="108" spans="1:8" ht="30" x14ac:dyDescent="0.15">
      <c r="A108" s="277"/>
      <c r="B108" s="122"/>
      <c r="C108" s="123" t="s">
        <v>923</v>
      </c>
      <c r="D108" s="122" t="s">
        <v>606</v>
      </c>
      <c r="E108" s="278"/>
      <c r="F108" s="126"/>
      <c r="G108" s="122"/>
      <c r="H108" s="126">
        <f>H102+H106</f>
        <v>1434614</v>
      </c>
    </row>
    <row r="109" spans="1:8" x14ac:dyDescent="0.15">
      <c r="A109" s="276"/>
      <c r="B109" s="85"/>
      <c r="C109" s="86" t="s">
        <v>608</v>
      </c>
      <c r="D109" s="85" t="str">
        <f>""</f>
        <v/>
      </c>
      <c r="E109" s="279"/>
      <c r="F109" s="114"/>
      <c r="G109" s="85"/>
      <c r="H109" s="114"/>
    </row>
    <row r="110" spans="1:8" x14ac:dyDescent="0.15">
      <c r="A110" s="276"/>
      <c r="B110" s="85"/>
      <c r="C110" s="86" t="str">
        <f>"Chi phí chung (T x "&amp;HSXL!C$14&amp;")"</f>
        <v>Chi phí chung (T x 5,5%)</v>
      </c>
      <c r="D110" s="85" t="s">
        <v>603</v>
      </c>
      <c r="E110" s="279" t="str">
        <f>HSXL!C$14</f>
        <v>5,5%</v>
      </c>
      <c r="F110" s="114"/>
      <c r="G110" s="85"/>
      <c r="H110" s="114">
        <f>H108*HSXL!D$14</f>
        <v>78903.77</v>
      </c>
    </row>
    <row r="111" spans="1:8" ht="45" x14ac:dyDescent="0.15">
      <c r="A111" s="276"/>
      <c r="B111" s="85"/>
      <c r="C111" s="86" t="str">
        <f>"Chi phí nhà tạm để ở và điều hành thi công (T x "&amp;HSXL!C$18&amp;")"</f>
        <v>Chi phí nhà tạm để ở và điều hành thi công (T x 1,1%)</v>
      </c>
      <c r="D111" s="85" t="s">
        <v>611</v>
      </c>
      <c r="E111" s="279" t="str">
        <f>HSXL!C$18</f>
        <v>1,1%</v>
      </c>
      <c r="F111" s="114"/>
      <c r="G111" s="85"/>
      <c r="H111" s="114">
        <f>H108*HSXL!D$18</f>
        <v>15780.753999999999</v>
      </c>
    </row>
    <row r="112" spans="1:8" ht="60" x14ac:dyDescent="0.15">
      <c r="A112" s="276"/>
      <c r="B112" s="85"/>
      <c r="C112" s="86" t="str">
        <f>"Chi phí một số công việc không xác định được khối lượng từ thiết kế (T x "&amp;HSXL!C$13&amp;")"</f>
        <v>Chi phí một số công việc không xác định được khối lượng từ thiết kế (T x 2%)</v>
      </c>
      <c r="D112" s="85" t="s">
        <v>42</v>
      </c>
      <c r="E112" s="279" t="str">
        <f>HSXL!C$13</f>
        <v>2%</v>
      </c>
      <c r="F112" s="114"/>
      <c r="G112" s="85"/>
      <c r="H112" s="114">
        <f>H108*HSXL!D$13</f>
        <v>28692.28</v>
      </c>
    </row>
    <row r="113" spans="1:8" ht="30" x14ac:dyDescent="0.15">
      <c r="A113" s="277"/>
      <c r="B113" s="122"/>
      <c r="C113" s="123" t="s">
        <v>924</v>
      </c>
      <c r="D113" s="122" t="s">
        <v>614</v>
      </c>
      <c r="E113" s="278"/>
      <c r="F113" s="126"/>
      <c r="G113" s="122"/>
      <c r="H113" s="126">
        <f>SUM(H110:H112)</f>
        <v>123376.804</v>
      </c>
    </row>
    <row r="114" spans="1:8" ht="45" x14ac:dyDescent="0.15">
      <c r="A114" s="276"/>
      <c r="B114" s="85"/>
      <c r="C114" s="86" t="str">
        <f>"THU NHẬP CHỊU THUẾ TÍNH TRƯỚC (T+GT) x "&amp;HSXL!C$16</f>
        <v>THU NHẬP CHỊU THUẾ TÍNH TRƯỚC (T+GT) x 5,5%</v>
      </c>
      <c r="D114" s="85" t="s">
        <v>617</v>
      </c>
      <c r="E114" s="279" t="str">
        <f>HSXL!C$16</f>
        <v>5,5%</v>
      </c>
      <c r="F114" s="114"/>
      <c r="G114" s="85"/>
      <c r="H114" s="114">
        <f>(H108+H113)*HSXL!D$16</f>
        <v>85689.494220000008</v>
      </c>
    </row>
    <row r="115" spans="1:8" ht="30" x14ac:dyDescent="0.15">
      <c r="A115" s="276"/>
      <c r="B115" s="85"/>
      <c r="C115" s="86" t="s">
        <v>925</v>
      </c>
      <c r="D115" s="85" t="s">
        <v>619</v>
      </c>
      <c r="E115" s="279"/>
      <c r="F115" s="114"/>
      <c r="G115" s="85"/>
      <c r="H115" s="114">
        <f>H108+H113+H114</f>
        <v>1643680.29822</v>
      </c>
    </row>
    <row r="116" spans="1:8" ht="30" x14ac:dyDescent="0.15">
      <c r="A116" s="276"/>
      <c r="B116" s="85"/>
      <c r="C116" s="86" t="str">
        <f>"THUẾ GIÁ TRỊ GIA TĂNG (G x "&amp;HSXL!C$17&amp;")"</f>
        <v>THUẾ GIÁ TRỊ GIA TĂNG (G x 8%)</v>
      </c>
      <c r="D116" s="85" t="s">
        <v>623</v>
      </c>
      <c r="E116" s="192">
        <f>HSXL!D$17</f>
        <v>0.08</v>
      </c>
      <c r="F116" s="114"/>
      <c r="G116" s="85"/>
      <c r="H116" s="114">
        <f>E116*H115</f>
        <v>131494.42385759999</v>
      </c>
    </row>
    <row r="117" spans="1:8" ht="30" x14ac:dyDescent="0.15">
      <c r="A117" s="280"/>
      <c r="B117" s="281"/>
      <c r="C117" s="282" t="s">
        <v>926</v>
      </c>
      <c r="D117" s="281" t="s">
        <v>626</v>
      </c>
      <c r="E117" s="283"/>
      <c r="F117" s="284"/>
      <c r="G117" s="281"/>
      <c r="H117" s="285">
        <f>H115+H116</f>
        <v>1775174.7220776</v>
      </c>
    </row>
    <row r="118" spans="1:8" ht="60" x14ac:dyDescent="0.15">
      <c r="A118" s="141">
        <f>'Công trình'!A44</f>
        <v>8</v>
      </c>
      <c r="B118" s="122" t="str">
        <f>'Công trình'!E44</f>
        <v>AA.12111</v>
      </c>
      <c r="C118" s="123" t="str">
        <f>'Công trình'!F44</f>
        <v>Chặt cây ở địa hình bằng phẳng bằng máy cưa, đường kính gốc cây &lt;= 20cm</v>
      </c>
      <c r="D118" s="122" t="str">
        <f>'Công trình'!G44</f>
        <v>cây</v>
      </c>
      <c r="E118" s="123">
        <v>1</v>
      </c>
      <c r="F118" s="126"/>
      <c r="G118" s="122"/>
      <c r="H118" s="126"/>
    </row>
    <row r="119" spans="1:8" x14ac:dyDescent="0.15">
      <c r="A119" s="274"/>
      <c r="B119" s="146"/>
      <c r="C119" s="145" t="s">
        <v>481</v>
      </c>
      <c r="D119" s="146"/>
      <c r="E119" s="145"/>
      <c r="F119" s="275"/>
      <c r="G119" s="146"/>
      <c r="H119" s="275">
        <f>H120</f>
        <v>17059</v>
      </c>
    </row>
    <row r="120" spans="1:8" ht="30" x14ac:dyDescent="0.15">
      <c r="A120" s="276"/>
      <c r="B120" s="85" t="str">
        <f>'Giá tháng'!B$27</f>
        <v>N1.30</v>
      </c>
      <c r="C120" s="86" t="str">
        <f>'Giá tháng'!C$27</f>
        <v>Nhân công 3,0/7 - Nhóm 1</v>
      </c>
      <c r="D120" s="85" t="str">
        <f>'Giá tháng'!D$27</f>
        <v>công</v>
      </c>
      <c r="E120" s="135">
        <f>HaoPhiVatTu!F$32</f>
        <v>7.0000000000000007E-2</v>
      </c>
      <c r="F120" s="114">
        <f>'Tổng hợp VT'!O$34</f>
        <v>243700</v>
      </c>
      <c r="G120" s="136">
        <f>'Giá tháng'!G$27</f>
        <v>1</v>
      </c>
      <c r="H120" s="114">
        <f>E120*F120*G120</f>
        <v>17059</v>
      </c>
    </row>
    <row r="121" spans="1:8" x14ac:dyDescent="0.15">
      <c r="A121" s="274"/>
      <c r="B121" s="146"/>
      <c r="C121" s="145" t="s">
        <v>482</v>
      </c>
      <c r="D121" s="146"/>
      <c r="E121" s="145"/>
      <c r="F121" s="275"/>
      <c r="G121" s="146"/>
      <c r="H121" s="275">
        <f>H122</f>
        <v>1628.1200000000001</v>
      </c>
    </row>
    <row r="122" spans="1:8" ht="30" x14ac:dyDescent="0.15">
      <c r="A122" s="276"/>
      <c r="B122" s="85" t="str">
        <f>'Giá tháng'!B$39</f>
        <v>M112.3801</v>
      </c>
      <c r="C122" s="86" t="str">
        <f>'Giá tháng'!C$39</f>
        <v>Máy cưa gỗ cầm tay - công suất : 1,3 kW</v>
      </c>
      <c r="D122" s="85" t="str">
        <f>'Giá tháng'!D$39</f>
        <v>ca</v>
      </c>
      <c r="E122" s="135">
        <f>HaoPhiVatTu!F$34</f>
        <v>6.5000000000000002E-2</v>
      </c>
      <c r="F122" s="114">
        <f>'Tổng hợp VT'!O$49</f>
        <v>25048</v>
      </c>
      <c r="G122" s="136">
        <f>'Giá tháng'!G$39</f>
        <v>1</v>
      </c>
      <c r="H122" s="114">
        <f>E122*F122*G122</f>
        <v>1628.1200000000001</v>
      </c>
    </row>
    <row r="123" spans="1:8" ht="30" x14ac:dyDescent="0.15">
      <c r="A123" s="277"/>
      <c r="B123" s="122"/>
      <c r="C123" s="123" t="s">
        <v>923</v>
      </c>
      <c r="D123" s="122" t="s">
        <v>606</v>
      </c>
      <c r="E123" s="278"/>
      <c r="F123" s="126"/>
      <c r="G123" s="122"/>
      <c r="H123" s="126">
        <f>+H119+H121</f>
        <v>18687.12</v>
      </c>
    </row>
    <row r="124" spans="1:8" x14ac:dyDescent="0.15">
      <c r="A124" s="276"/>
      <c r="B124" s="85"/>
      <c r="C124" s="86" t="s">
        <v>608</v>
      </c>
      <c r="D124" s="85" t="str">
        <f>""</f>
        <v/>
      </c>
      <c r="E124" s="279"/>
      <c r="F124" s="114"/>
      <c r="G124" s="85"/>
      <c r="H124" s="114"/>
    </row>
    <row r="125" spans="1:8" x14ac:dyDescent="0.15">
      <c r="A125" s="276"/>
      <c r="B125" s="85"/>
      <c r="C125" s="86" t="str">
        <f>"Chi phí chung (T x "&amp;HSXL!C$14&amp;")"</f>
        <v>Chi phí chung (T x 5,5%)</v>
      </c>
      <c r="D125" s="85" t="s">
        <v>603</v>
      </c>
      <c r="E125" s="279" t="str">
        <f>HSXL!C$14</f>
        <v>5,5%</v>
      </c>
      <c r="F125" s="114"/>
      <c r="G125" s="85"/>
      <c r="H125" s="114">
        <f>H123*HSXL!D$14</f>
        <v>1027.7916</v>
      </c>
    </row>
    <row r="126" spans="1:8" ht="45" x14ac:dyDescent="0.15">
      <c r="A126" s="276"/>
      <c r="B126" s="85"/>
      <c r="C126" s="86" t="str">
        <f>"Chi phí nhà tạm để ở và điều hành thi công (T x "&amp;HSXL!C$18&amp;")"</f>
        <v>Chi phí nhà tạm để ở và điều hành thi công (T x 1,1%)</v>
      </c>
      <c r="D126" s="85" t="s">
        <v>611</v>
      </c>
      <c r="E126" s="279" t="str">
        <f>HSXL!C$18</f>
        <v>1,1%</v>
      </c>
      <c r="F126" s="114"/>
      <c r="G126" s="85"/>
      <c r="H126" s="114">
        <f>H123*HSXL!D$18</f>
        <v>205.55831999999998</v>
      </c>
    </row>
    <row r="127" spans="1:8" ht="60" x14ac:dyDescent="0.15">
      <c r="A127" s="276"/>
      <c r="B127" s="85"/>
      <c r="C127" s="86" t="str">
        <f>"Chi phí một số công việc không xác định được khối lượng từ thiết kế (T x "&amp;HSXL!C$13&amp;")"</f>
        <v>Chi phí một số công việc không xác định được khối lượng từ thiết kế (T x 2%)</v>
      </c>
      <c r="D127" s="85" t="s">
        <v>42</v>
      </c>
      <c r="E127" s="279" t="str">
        <f>HSXL!C$13</f>
        <v>2%</v>
      </c>
      <c r="F127" s="114"/>
      <c r="G127" s="85"/>
      <c r="H127" s="114">
        <f>H123*HSXL!D$13</f>
        <v>373.74239999999998</v>
      </c>
    </row>
    <row r="128" spans="1:8" ht="30" x14ac:dyDescent="0.15">
      <c r="A128" s="277"/>
      <c r="B128" s="122"/>
      <c r="C128" s="123" t="s">
        <v>924</v>
      </c>
      <c r="D128" s="122" t="s">
        <v>614</v>
      </c>
      <c r="E128" s="278"/>
      <c r="F128" s="126"/>
      <c r="G128" s="122"/>
      <c r="H128" s="126">
        <f>SUM(H125:H127)</f>
        <v>1607.0923200000002</v>
      </c>
    </row>
    <row r="129" spans="1:8" ht="45" x14ac:dyDescent="0.15">
      <c r="A129" s="276"/>
      <c r="B129" s="85"/>
      <c r="C129" s="86" t="str">
        <f>"THU NHẬP CHỊU THUẾ TÍNH TRƯỚC (T+GT) x "&amp;HSXL!C$16</f>
        <v>THU NHẬP CHỊU THUẾ TÍNH TRƯỚC (T+GT) x 5,5%</v>
      </c>
      <c r="D129" s="85" t="s">
        <v>617</v>
      </c>
      <c r="E129" s="279" t="str">
        <f>HSXL!C$16</f>
        <v>5,5%</v>
      </c>
      <c r="F129" s="114"/>
      <c r="G129" s="85"/>
      <c r="H129" s="114">
        <f>(H123+H128)*HSXL!D$16</f>
        <v>1116.1816775999998</v>
      </c>
    </row>
    <row r="130" spans="1:8" ht="30" x14ac:dyDescent="0.15">
      <c r="A130" s="276"/>
      <c r="B130" s="85"/>
      <c r="C130" s="86" t="s">
        <v>925</v>
      </c>
      <c r="D130" s="85" t="s">
        <v>619</v>
      </c>
      <c r="E130" s="279"/>
      <c r="F130" s="114"/>
      <c r="G130" s="85"/>
      <c r="H130" s="114">
        <f>H123+H128+H129</f>
        <v>21410.3939976</v>
      </c>
    </row>
    <row r="131" spans="1:8" ht="30" x14ac:dyDescent="0.15">
      <c r="A131" s="276"/>
      <c r="B131" s="85"/>
      <c r="C131" s="86" t="str">
        <f>"THUẾ GIÁ TRỊ GIA TĂNG (G x "&amp;HSXL!C$17&amp;")"</f>
        <v>THUẾ GIÁ TRỊ GIA TĂNG (G x 8%)</v>
      </c>
      <c r="D131" s="85" t="s">
        <v>623</v>
      </c>
      <c r="E131" s="192">
        <f>HSXL!D$17</f>
        <v>0.08</v>
      </c>
      <c r="F131" s="114"/>
      <c r="G131" s="85"/>
      <c r="H131" s="114">
        <f>E131*H130</f>
        <v>1712.8315198079999</v>
      </c>
    </row>
    <row r="132" spans="1:8" ht="30" x14ac:dyDescent="0.15">
      <c r="A132" s="280"/>
      <c r="B132" s="281"/>
      <c r="C132" s="282" t="s">
        <v>926</v>
      </c>
      <c r="D132" s="281" t="s">
        <v>626</v>
      </c>
      <c r="E132" s="283"/>
      <c r="F132" s="284"/>
      <c r="G132" s="281"/>
      <c r="H132" s="285">
        <f>H130+H131</f>
        <v>23123.225517407998</v>
      </c>
    </row>
    <row r="133" spans="1:8" ht="45" x14ac:dyDescent="0.15">
      <c r="A133" s="141">
        <f>'Công trình'!A47</f>
        <v>9</v>
      </c>
      <c r="B133" s="122" t="str">
        <f>'Công trình'!E47</f>
        <v>AB.36120</v>
      </c>
      <c r="C133" s="123" t="str">
        <f>'Công trình'!F47</f>
        <v>Xói hút bùn trong khung vây phòng nước, các trụ dưới nước</v>
      </c>
      <c r="D133" s="122" t="str">
        <f>'Công trình'!G47</f>
        <v>m3</v>
      </c>
      <c r="E133" s="123">
        <v>1</v>
      </c>
      <c r="F133" s="126"/>
      <c r="G133" s="122"/>
      <c r="H133" s="126"/>
    </row>
    <row r="134" spans="1:8" x14ac:dyDescent="0.15">
      <c r="A134" s="274"/>
      <c r="B134" s="146"/>
      <c r="C134" s="145" t="s">
        <v>477</v>
      </c>
      <c r="D134" s="146"/>
      <c r="E134" s="145"/>
      <c r="F134" s="275"/>
      <c r="G134" s="146"/>
      <c r="H134" s="275">
        <f>H139</f>
        <v>5013.75</v>
      </c>
    </row>
    <row r="135" spans="1:8" ht="30" x14ac:dyDescent="0.15">
      <c r="A135" s="276"/>
      <c r="B135" s="85" t="str">
        <f>'Giá tháng'!B$18</f>
        <v>A24.0350</v>
      </c>
      <c r="C135" s="86" t="str">
        <f>'Giá tháng'!C$18</f>
        <v>ống xói F50mm</v>
      </c>
      <c r="D135" s="85" t="str">
        <f>'Giá tháng'!D$18</f>
        <v>m</v>
      </c>
      <c r="E135" s="135">
        <f>HaoPhiVatTu!F$37</f>
        <v>5.0000000000000001E-3</v>
      </c>
      <c r="F135" s="114">
        <f>'Tổng hợp VT'!O$22</f>
        <v>55000</v>
      </c>
      <c r="G135" s="136">
        <f>'Giá tháng'!G$18</f>
        <v>1</v>
      </c>
      <c r="H135" s="114">
        <f>E135*F135*G135</f>
        <v>275</v>
      </c>
    </row>
    <row r="136" spans="1:8" ht="30" x14ac:dyDescent="0.15">
      <c r="A136" s="276"/>
      <c r="B136" s="85" t="str">
        <f>'Giá tháng'!B$16</f>
        <v>A24.0348</v>
      </c>
      <c r="C136" s="86" t="str">
        <f>'Giá tháng'!C$16</f>
        <v>ống xói F150mm</v>
      </c>
      <c r="D136" s="85" t="str">
        <f>'Giá tháng'!D$16</f>
        <v>m</v>
      </c>
      <c r="E136" s="135">
        <f>HaoPhiVatTu!F$38</f>
        <v>5.0000000000000001E-3</v>
      </c>
      <c r="F136" s="114">
        <f>'Tổng hợp VT'!O$20</f>
        <v>350000</v>
      </c>
      <c r="G136" s="136">
        <f>'Giá tháng'!G$16</f>
        <v>1</v>
      </c>
      <c r="H136" s="114">
        <f>E136*F136*G136</f>
        <v>1750</v>
      </c>
    </row>
    <row r="137" spans="1:8" ht="30" x14ac:dyDescent="0.15">
      <c r="A137" s="276"/>
      <c r="B137" s="85" t="str">
        <f>'Giá tháng'!B$17</f>
        <v>A24.0349</v>
      </c>
      <c r="C137" s="86" t="str">
        <f>'Giá tháng'!C$17</f>
        <v>ống xói F250mm</v>
      </c>
      <c r="D137" s="85" t="str">
        <f>'Giá tháng'!D$17</f>
        <v>m</v>
      </c>
      <c r="E137" s="135">
        <f>HaoPhiVatTu!F$39</f>
        <v>5.0000000000000001E-3</v>
      </c>
      <c r="F137" s="114">
        <f>'Tổng hợp VT'!O$21</f>
        <v>550000</v>
      </c>
      <c r="G137" s="136">
        <f>'Giá tháng'!G$17</f>
        <v>1</v>
      </c>
      <c r="H137" s="114">
        <f>E137*F137*G137</f>
        <v>2750</v>
      </c>
    </row>
    <row r="138" spans="1:8" x14ac:dyDescent="0.15">
      <c r="A138" s="276"/>
      <c r="B138" s="85" t="s">
        <v>478</v>
      </c>
      <c r="C138" s="86" t="s">
        <v>479</v>
      </c>
      <c r="D138" s="85" t="s">
        <v>480</v>
      </c>
      <c r="E138" s="135">
        <f>HaoPhiVatTu!F$40</f>
        <v>5</v>
      </c>
      <c r="F138" s="114">
        <f>SUM(H135:H137)</f>
        <v>4775</v>
      </c>
      <c r="G138" s="85"/>
      <c r="H138" s="114">
        <f>E138*F138/100</f>
        <v>238.75</v>
      </c>
    </row>
    <row r="139" spans="1:8" x14ac:dyDescent="0.15">
      <c r="A139" s="276"/>
      <c r="B139" s="85"/>
      <c r="C139" s="86" t="s">
        <v>586</v>
      </c>
      <c r="D139" s="85"/>
      <c r="E139" s="86"/>
      <c r="F139" s="114"/>
      <c r="G139" s="85"/>
      <c r="H139" s="114">
        <f>SUM(H135:H138)</f>
        <v>5013.75</v>
      </c>
    </row>
    <row r="140" spans="1:8" x14ac:dyDescent="0.15">
      <c r="A140" s="274"/>
      <c r="B140" s="146"/>
      <c r="C140" s="145" t="s">
        <v>481</v>
      </c>
      <c r="D140" s="146"/>
      <c r="E140" s="145"/>
      <c r="F140" s="275"/>
      <c r="G140" s="146"/>
      <c r="H140" s="275">
        <f>H141</f>
        <v>82858</v>
      </c>
    </row>
    <row r="141" spans="1:8" ht="30" x14ac:dyDescent="0.15">
      <c r="A141" s="276"/>
      <c r="B141" s="85" t="str">
        <f>'Giá tháng'!B$27</f>
        <v>N1.30</v>
      </c>
      <c r="C141" s="86" t="str">
        <f>'Giá tháng'!C$27</f>
        <v>Nhân công 3,0/7 - Nhóm 1</v>
      </c>
      <c r="D141" s="85" t="str">
        <f>'Giá tháng'!D$27</f>
        <v>công</v>
      </c>
      <c r="E141" s="135">
        <f>HaoPhiVatTu!F$42</f>
        <v>0.34</v>
      </c>
      <c r="F141" s="114">
        <f>'Tổng hợp VT'!O$34</f>
        <v>243700</v>
      </c>
      <c r="G141" s="136">
        <f>'Giá tháng'!G$27</f>
        <v>1</v>
      </c>
      <c r="H141" s="114">
        <f>E141*F141*G141</f>
        <v>82858</v>
      </c>
    </row>
    <row r="142" spans="1:8" x14ac:dyDescent="0.15">
      <c r="A142" s="274"/>
      <c r="B142" s="146"/>
      <c r="C142" s="145" t="s">
        <v>482</v>
      </c>
      <c r="D142" s="146"/>
      <c r="E142" s="145"/>
      <c r="F142" s="275"/>
      <c r="G142" s="146"/>
      <c r="H142" s="275">
        <f>H149</f>
        <v>640080.94799999997</v>
      </c>
    </row>
    <row r="143" spans="1:8" ht="45" x14ac:dyDescent="0.15">
      <c r="A143" s="276"/>
      <c r="B143" s="85" t="str">
        <f>'Giá tháng'!B$46</f>
        <v>M108.0308</v>
      </c>
      <c r="C143" s="86" t="str">
        <f>'Giá tháng'!C$46</f>
        <v>Máy nén khí, động cơ diezel - năng suất : 1200,00 m3/h</v>
      </c>
      <c r="D143" s="85" t="str">
        <f>'Giá tháng'!D$46</f>
        <v>ca</v>
      </c>
      <c r="E143" s="135">
        <f>HaoPhiVatTu!F$44</f>
        <v>5.7000000000000002E-2</v>
      </c>
      <c r="F143" s="114">
        <f>'Tổng hợp VT'!O$56</f>
        <v>2576996</v>
      </c>
      <c r="G143" s="136">
        <f>'Giá tháng'!G$46</f>
        <v>1</v>
      </c>
      <c r="H143" s="114">
        <f t="shared" ref="H143:H148" si="0">E143*F143*G143</f>
        <v>146888.772</v>
      </c>
    </row>
    <row r="144" spans="1:8" ht="30" x14ac:dyDescent="0.15">
      <c r="A144" s="276"/>
      <c r="B144" s="85" t="str">
        <f>'Giá tháng'!B$37</f>
        <v>M112.0402</v>
      </c>
      <c r="C144" s="86" t="str">
        <f>'Giá tháng'!C$37</f>
        <v>Máy bơm xói 4MC (75 kW)</v>
      </c>
      <c r="D144" s="85" t="str">
        <f>'Giá tháng'!D$37</f>
        <v>ca</v>
      </c>
      <c r="E144" s="135">
        <f>HaoPhiVatTu!F$45</f>
        <v>5.7000000000000002E-2</v>
      </c>
      <c r="F144" s="114">
        <f>'Tổng hợp VT'!O$47</f>
        <v>782820</v>
      </c>
      <c r="G144" s="136">
        <f>'Giá tháng'!G$37</f>
        <v>1</v>
      </c>
      <c r="H144" s="114">
        <f t="shared" si="0"/>
        <v>44620.740000000005</v>
      </c>
    </row>
    <row r="145" spans="1:8" ht="30" x14ac:dyDescent="0.15">
      <c r="A145" s="276"/>
      <c r="B145" s="85" t="str">
        <f>'Giá tháng'!B$52</f>
        <v>M109.0104</v>
      </c>
      <c r="C145" s="86" t="str">
        <f>'Giá tháng'!C$52</f>
        <v>Sà lan 400T</v>
      </c>
      <c r="D145" s="85" t="str">
        <f>'Giá tháng'!D$52</f>
        <v>ca</v>
      </c>
      <c r="E145" s="135">
        <f>HaoPhiVatTu!F$46</f>
        <v>5.7000000000000002E-2</v>
      </c>
      <c r="F145" s="114">
        <f>'Tổng hợp VT'!O$61</f>
        <v>891221</v>
      </c>
      <c r="G145" s="136">
        <f>'Giá tháng'!G$52</f>
        <v>1</v>
      </c>
      <c r="H145" s="114">
        <f t="shared" si="0"/>
        <v>50799.597000000002</v>
      </c>
    </row>
    <row r="146" spans="1:8" ht="30" x14ac:dyDescent="0.15">
      <c r="A146" s="276"/>
      <c r="B146" s="85" t="str">
        <f>'Giá tháng'!B$32</f>
        <v>M109.0507</v>
      </c>
      <c r="C146" s="86" t="str">
        <f>'Giá tháng'!C$32</f>
        <v>Ca nô 150 CV</v>
      </c>
      <c r="D146" s="85" t="str">
        <f>'Giá tháng'!D$32</f>
        <v>ca</v>
      </c>
      <c r="E146" s="135">
        <f>HaoPhiVatTu!F$47</f>
        <v>1E-3</v>
      </c>
      <c r="F146" s="114">
        <f>'Tổng hợp VT'!O$42</f>
        <v>1995246</v>
      </c>
      <c r="G146" s="136">
        <f>'Giá tháng'!G$32</f>
        <v>1</v>
      </c>
      <c r="H146" s="114">
        <f t="shared" si="0"/>
        <v>1995.2460000000001</v>
      </c>
    </row>
    <row r="147" spans="1:8" ht="30" x14ac:dyDescent="0.15">
      <c r="A147" s="276"/>
      <c r="B147" s="85" t="str">
        <f>'Giá tháng'!B$34</f>
        <v>M102.0501</v>
      </c>
      <c r="C147" s="86" t="str">
        <f>'Giá tháng'!C$34</f>
        <v>Cần cẩu nổi, kéo theo 30T</v>
      </c>
      <c r="D147" s="85" t="str">
        <f>'Giá tháng'!D$34</f>
        <v>ca</v>
      </c>
      <c r="E147" s="135">
        <f>HaoPhiVatTu!F$48</f>
        <v>5.7000000000000002E-2</v>
      </c>
      <c r="F147" s="114">
        <f>'Tổng hợp VT'!O$44</f>
        <v>6848149</v>
      </c>
      <c r="G147" s="136">
        <f>'Giá tháng'!G$34</f>
        <v>1</v>
      </c>
      <c r="H147" s="114">
        <f t="shared" si="0"/>
        <v>390344.49300000002</v>
      </c>
    </row>
    <row r="148" spans="1:8" ht="30" x14ac:dyDescent="0.15">
      <c r="A148" s="276"/>
      <c r="B148" s="85" t="str">
        <f>'Giá tháng'!B$36</f>
        <v>M112.0105</v>
      </c>
      <c r="C148" s="86" t="str">
        <f>'Giá tháng'!C$36</f>
        <v>Máy bơm nước, động cơ điện 14 kW</v>
      </c>
      <c r="D148" s="85" t="str">
        <f>'Giá tháng'!D$36</f>
        <v>ca</v>
      </c>
      <c r="E148" s="135">
        <f>HaoPhiVatTu!F$49</f>
        <v>5.7000000000000002E-2</v>
      </c>
      <c r="F148" s="114">
        <f>'Tổng hợp VT'!O$46</f>
        <v>95300</v>
      </c>
      <c r="G148" s="136">
        <f>'Giá tháng'!G$36</f>
        <v>1</v>
      </c>
      <c r="H148" s="114">
        <f t="shared" si="0"/>
        <v>5432.1</v>
      </c>
    </row>
    <row r="149" spans="1:8" x14ac:dyDescent="0.15">
      <c r="A149" s="276"/>
      <c r="B149" s="85"/>
      <c r="C149" s="86" t="s">
        <v>586</v>
      </c>
      <c r="D149" s="85"/>
      <c r="E149" s="86"/>
      <c r="F149" s="114"/>
      <c r="G149" s="85"/>
      <c r="H149" s="114">
        <f>SUM(H143:H148)</f>
        <v>640080.94799999997</v>
      </c>
    </row>
    <row r="150" spans="1:8" ht="30" x14ac:dyDescent="0.15">
      <c r="A150" s="277"/>
      <c r="B150" s="122"/>
      <c r="C150" s="123" t="s">
        <v>923</v>
      </c>
      <c r="D150" s="122" t="s">
        <v>606</v>
      </c>
      <c r="E150" s="278"/>
      <c r="F150" s="126"/>
      <c r="G150" s="122"/>
      <c r="H150" s="126">
        <f>H134+H140+H142</f>
        <v>727952.69799999997</v>
      </c>
    </row>
    <row r="151" spans="1:8" x14ac:dyDescent="0.15">
      <c r="A151" s="276"/>
      <c r="B151" s="85"/>
      <c r="C151" s="86" t="s">
        <v>608</v>
      </c>
      <c r="D151" s="85" t="str">
        <f>""</f>
        <v/>
      </c>
      <c r="E151" s="279"/>
      <c r="F151" s="114"/>
      <c r="G151" s="85"/>
      <c r="H151" s="114"/>
    </row>
    <row r="152" spans="1:8" x14ac:dyDescent="0.15">
      <c r="A152" s="276"/>
      <c r="B152" s="85"/>
      <c r="C152" s="86" t="str">
        <f>"Chi phí chung (T x "&amp;HSXL!C$14&amp;")"</f>
        <v>Chi phí chung (T x 5,5%)</v>
      </c>
      <c r="D152" s="85" t="s">
        <v>603</v>
      </c>
      <c r="E152" s="279" t="str">
        <f>HSXL!C$14</f>
        <v>5,5%</v>
      </c>
      <c r="F152" s="114"/>
      <c r="G152" s="85"/>
      <c r="H152" s="114">
        <f>H150*HSXL!D$14</f>
        <v>40037.398390000002</v>
      </c>
    </row>
    <row r="153" spans="1:8" ht="45" x14ac:dyDescent="0.15">
      <c r="A153" s="276"/>
      <c r="B153" s="85"/>
      <c r="C153" s="86" t="str">
        <f>"Chi phí nhà tạm để ở và điều hành thi công (T x "&amp;HSXL!C$18&amp;")"</f>
        <v>Chi phí nhà tạm để ở và điều hành thi công (T x 1,1%)</v>
      </c>
      <c r="D153" s="85" t="s">
        <v>611</v>
      </c>
      <c r="E153" s="279" t="str">
        <f>HSXL!C$18</f>
        <v>1,1%</v>
      </c>
      <c r="F153" s="114"/>
      <c r="G153" s="85"/>
      <c r="H153" s="114">
        <f>H150*HSXL!D$18</f>
        <v>8007.4796779999997</v>
      </c>
    </row>
    <row r="154" spans="1:8" ht="60" x14ac:dyDescent="0.15">
      <c r="A154" s="276"/>
      <c r="B154" s="85"/>
      <c r="C154" s="86" t="str">
        <f>"Chi phí một số công việc không xác định được khối lượng từ thiết kế (T x "&amp;HSXL!C$13&amp;")"</f>
        <v>Chi phí một số công việc không xác định được khối lượng từ thiết kế (T x 2%)</v>
      </c>
      <c r="D154" s="85" t="s">
        <v>42</v>
      </c>
      <c r="E154" s="279" t="str">
        <f>HSXL!C$13</f>
        <v>2%</v>
      </c>
      <c r="F154" s="114"/>
      <c r="G154" s="85"/>
      <c r="H154" s="114">
        <f>H150*HSXL!D$13</f>
        <v>14559.053959999999</v>
      </c>
    </row>
    <row r="155" spans="1:8" ht="30" x14ac:dyDescent="0.15">
      <c r="A155" s="277"/>
      <c r="B155" s="122"/>
      <c r="C155" s="123" t="s">
        <v>924</v>
      </c>
      <c r="D155" s="122" t="s">
        <v>614</v>
      </c>
      <c r="E155" s="278"/>
      <c r="F155" s="126"/>
      <c r="G155" s="122"/>
      <c r="H155" s="126">
        <f>SUM(H152:H154)</f>
        <v>62603.932028000003</v>
      </c>
    </row>
    <row r="156" spans="1:8" ht="45" x14ac:dyDescent="0.15">
      <c r="A156" s="276"/>
      <c r="B156" s="85"/>
      <c r="C156" s="86" t="str">
        <f>"THU NHẬP CHỊU THUẾ TÍNH TRƯỚC (T+GT) x "&amp;HSXL!C$16</f>
        <v>THU NHẬP CHỊU THUẾ TÍNH TRƯỚC (T+GT) x 5,5%</v>
      </c>
      <c r="D156" s="85" t="s">
        <v>617</v>
      </c>
      <c r="E156" s="279" t="str">
        <f>HSXL!C$16</f>
        <v>5,5%</v>
      </c>
      <c r="F156" s="114"/>
      <c r="G156" s="85"/>
      <c r="H156" s="114">
        <f>(H150+H155)*HSXL!D$16</f>
        <v>43480.614651539996</v>
      </c>
    </row>
    <row r="157" spans="1:8" ht="30" x14ac:dyDescent="0.15">
      <c r="A157" s="276"/>
      <c r="B157" s="85"/>
      <c r="C157" s="86" t="s">
        <v>925</v>
      </c>
      <c r="D157" s="85" t="s">
        <v>619</v>
      </c>
      <c r="E157" s="279"/>
      <c r="F157" s="114"/>
      <c r="G157" s="85"/>
      <c r="H157" s="114">
        <f>H150+H155+H156</f>
        <v>834037.24467953993</v>
      </c>
    </row>
    <row r="158" spans="1:8" ht="30" x14ac:dyDescent="0.15">
      <c r="A158" s="276"/>
      <c r="B158" s="85"/>
      <c r="C158" s="86" t="str">
        <f>"THUẾ GIÁ TRỊ GIA TĂNG (G x "&amp;HSXL!C$17&amp;")"</f>
        <v>THUẾ GIÁ TRỊ GIA TĂNG (G x 8%)</v>
      </c>
      <c r="D158" s="85" t="s">
        <v>623</v>
      </c>
      <c r="E158" s="192">
        <f>HSXL!D$17</f>
        <v>0.08</v>
      </c>
      <c r="F158" s="114"/>
      <c r="G158" s="85"/>
      <c r="H158" s="114">
        <f>E158*H157</f>
        <v>66722.979574363198</v>
      </c>
    </row>
    <row r="159" spans="1:8" ht="30" x14ac:dyDescent="0.15">
      <c r="A159" s="280"/>
      <c r="B159" s="281"/>
      <c r="C159" s="282" t="s">
        <v>926</v>
      </c>
      <c r="D159" s="281" t="s">
        <v>626</v>
      </c>
      <c r="E159" s="283"/>
      <c r="F159" s="284"/>
      <c r="G159" s="281"/>
      <c r="H159" s="285">
        <f>H157+H158</f>
        <v>900760.22425390314</v>
      </c>
    </row>
    <row r="160" spans="1:8" ht="60" x14ac:dyDescent="0.15">
      <c r="A160" s="141">
        <f>'Công trình'!A49</f>
        <v>10</v>
      </c>
      <c r="B160" s="122" t="str">
        <f>'Công trình'!E49</f>
        <v>AB.25211</v>
      </c>
      <c r="C160" s="123" t="str">
        <f>'Công trình'!F49</f>
        <v>Đào móng công trình, chiều rộng móng &lt;= 10m, bằng máy đào 0,8m3, đất cấp I</v>
      </c>
      <c r="D160" s="122" t="str">
        <f>'Công trình'!G49</f>
        <v>100m3</v>
      </c>
      <c r="E160" s="123">
        <v>1</v>
      </c>
      <c r="F160" s="126"/>
      <c r="G160" s="122"/>
      <c r="H160" s="126"/>
    </row>
    <row r="161" spans="1:8" x14ac:dyDescent="0.15">
      <c r="A161" s="274"/>
      <c r="B161" s="146"/>
      <c r="C161" s="145" t="s">
        <v>481</v>
      </c>
      <c r="D161" s="146"/>
      <c r="E161" s="145"/>
      <c r="F161" s="275"/>
      <c r="G161" s="146"/>
      <c r="H161" s="275">
        <f>H162</f>
        <v>419164</v>
      </c>
    </row>
    <row r="162" spans="1:8" ht="30" x14ac:dyDescent="0.15">
      <c r="A162" s="276"/>
      <c r="B162" s="85" t="str">
        <f>'Giá tháng'!B$27</f>
        <v>N1.30</v>
      </c>
      <c r="C162" s="86" t="str">
        <f>'Giá tháng'!C$27</f>
        <v>Nhân công 3,0/7 - Nhóm 1</v>
      </c>
      <c r="D162" s="85" t="str">
        <f>'Giá tháng'!D$27</f>
        <v>công</v>
      </c>
      <c r="E162" s="135">
        <f>HaoPhiVatTu!F$52</f>
        <v>1.72</v>
      </c>
      <c r="F162" s="114">
        <f>'Tổng hợp VT'!O$34</f>
        <v>243700</v>
      </c>
      <c r="G162" s="136">
        <f>'Giá tháng'!G$27</f>
        <v>1</v>
      </c>
      <c r="H162" s="114">
        <f>E162*F162*G162</f>
        <v>419164</v>
      </c>
    </row>
    <row r="163" spans="1:8" x14ac:dyDescent="0.15">
      <c r="A163" s="274"/>
      <c r="B163" s="146"/>
      <c r="C163" s="145" t="s">
        <v>482</v>
      </c>
      <c r="D163" s="146"/>
      <c r="E163" s="145"/>
      <c r="F163" s="275"/>
      <c r="G163" s="146"/>
      <c r="H163" s="275">
        <f>H164</f>
        <v>768147.78599999996</v>
      </c>
    </row>
    <row r="164" spans="1:8" ht="45" x14ac:dyDescent="0.15">
      <c r="A164" s="276"/>
      <c r="B164" s="85" t="str">
        <f>'Giá tháng'!B$40</f>
        <v>M101.0104</v>
      </c>
      <c r="C164" s="86" t="str">
        <f>'Giá tháng'!C$40</f>
        <v>Máy đào một gầu, bánh xích - dung tích gầu : 0,80 m3</v>
      </c>
      <c r="D164" s="85" t="str">
        <f>'Giá tháng'!D$40</f>
        <v>ca</v>
      </c>
      <c r="E164" s="135">
        <f>HaoPhiVatTu!F$54</f>
        <v>0.30099999999999999</v>
      </c>
      <c r="F164" s="114">
        <f>'Tổng hợp VT'!O$50</f>
        <v>2551986</v>
      </c>
      <c r="G164" s="136">
        <f>'Giá tháng'!G$40</f>
        <v>1</v>
      </c>
      <c r="H164" s="114">
        <f>E164*F164*G164</f>
        <v>768147.78599999996</v>
      </c>
    </row>
    <row r="165" spans="1:8" ht="30" x14ac:dyDescent="0.15">
      <c r="A165" s="277"/>
      <c r="B165" s="122"/>
      <c r="C165" s="123" t="s">
        <v>923</v>
      </c>
      <c r="D165" s="122" t="s">
        <v>606</v>
      </c>
      <c r="E165" s="278"/>
      <c r="F165" s="126"/>
      <c r="G165" s="122"/>
      <c r="H165" s="126">
        <f>+H161+H163</f>
        <v>1187311.7859999998</v>
      </c>
    </row>
    <row r="166" spans="1:8" x14ac:dyDescent="0.15">
      <c r="A166" s="276"/>
      <c r="B166" s="85"/>
      <c r="C166" s="86" t="s">
        <v>608</v>
      </c>
      <c r="D166" s="85" t="str">
        <f>""</f>
        <v/>
      </c>
      <c r="E166" s="279"/>
      <c r="F166" s="114"/>
      <c r="G166" s="85"/>
      <c r="H166" s="114"/>
    </row>
    <row r="167" spans="1:8" x14ac:dyDescent="0.15">
      <c r="A167" s="276"/>
      <c r="B167" s="85"/>
      <c r="C167" s="86" t="str">
        <f>"Chi phí chung (T x "&amp;HSXL!C$14&amp;")"</f>
        <v>Chi phí chung (T x 5,5%)</v>
      </c>
      <c r="D167" s="85" t="s">
        <v>603</v>
      </c>
      <c r="E167" s="279" t="str">
        <f>HSXL!C$14</f>
        <v>5,5%</v>
      </c>
      <c r="F167" s="114"/>
      <c r="G167" s="85"/>
      <c r="H167" s="114">
        <f>H165*HSXL!D$14</f>
        <v>65302.148229999992</v>
      </c>
    </row>
    <row r="168" spans="1:8" ht="45" x14ac:dyDescent="0.15">
      <c r="A168" s="276"/>
      <c r="B168" s="85"/>
      <c r="C168" s="86" t="str">
        <f>"Chi phí nhà tạm để ở và điều hành thi công (T x "&amp;HSXL!C$18&amp;")"</f>
        <v>Chi phí nhà tạm để ở và điều hành thi công (T x 1,1%)</v>
      </c>
      <c r="D168" s="85" t="s">
        <v>611</v>
      </c>
      <c r="E168" s="279" t="str">
        <f>HSXL!C$18</f>
        <v>1,1%</v>
      </c>
      <c r="F168" s="114"/>
      <c r="G168" s="85"/>
      <c r="H168" s="114">
        <f>H165*HSXL!D$18</f>
        <v>13060.429645999997</v>
      </c>
    </row>
    <row r="169" spans="1:8" ht="60" x14ac:dyDescent="0.15">
      <c r="A169" s="276"/>
      <c r="B169" s="85"/>
      <c r="C169" s="86" t="str">
        <f>"Chi phí một số công việc không xác định được khối lượng từ thiết kế (T x "&amp;HSXL!C$13&amp;")"</f>
        <v>Chi phí một số công việc không xác định được khối lượng từ thiết kế (T x 2%)</v>
      </c>
      <c r="D169" s="85" t="s">
        <v>42</v>
      </c>
      <c r="E169" s="279" t="str">
        <f>HSXL!C$13</f>
        <v>2%</v>
      </c>
      <c r="F169" s="114"/>
      <c r="G169" s="85"/>
      <c r="H169" s="114">
        <f>H165*HSXL!D$13</f>
        <v>23746.235719999997</v>
      </c>
    </row>
    <row r="170" spans="1:8" ht="30" x14ac:dyDescent="0.15">
      <c r="A170" s="277"/>
      <c r="B170" s="122"/>
      <c r="C170" s="123" t="s">
        <v>924</v>
      </c>
      <c r="D170" s="122" t="s">
        <v>614</v>
      </c>
      <c r="E170" s="278"/>
      <c r="F170" s="126"/>
      <c r="G170" s="122"/>
      <c r="H170" s="126">
        <f>SUM(H167:H169)</f>
        <v>102108.81359599999</v>
      </c>
    </row>
    <row r="171" spans="1:8" ht="45" x14ac:dyDescent="0.15">
      <c r="A171" s="276"/>
      <c r="B171" s="85"/>
      <c r="C171" s="86" t="str">
        <f>"THU NHẬP CHỊU THUẾ TÍNH TRƯỚC (T+GT) x "&amp;HSXL!C$16</f>
        <v>THU NHẬP CHỊU THUẾ TÍNH TRƯỚC (T+GT) x 5,5%</v>
      </c>
      <c r="D171" s="85" t="s">
        <v>617</v>
      </c>
      <c r="E171" s="279" t="str">
        <f>HSXL!C$16</f>
        <v>5,5%</v>
      </c>
      <c r="F171" s="114"/>
      <c r="G171" s="85"/>
      <c r="H171" s="114">
        <f>(H165+H170)*HSXL!D$16</f>
        <v>70918.132977779984</v>
      </c>
    </row>
    <row r="172" spans="1:8" ht="30" x14ac:dyDescent="0.15">
      <c r="A172" s="276"/>
      <c r="B172" s="85"/>
      <c r="C172" s="86" t="s">
        <v>925</v>
      </c>
      <c r="D172" s="85" t="s">
        <v>619</v>
      </c>
      <c r="E172" s="279"/>
      <c r="F172" s="114"/>
      <c r="G172" s="85"/>
      <c r="H172" s="114">
        <f>H165+H170+H171</f>
        <v>1360338.7325737798</v>
      </c>
    </row>
    <row r="173" spans="1:8" ht="30" x14ac:dyDescent="0.15">
      <c r="A173" s="276"/>
      <c r="B173" s="85"/>
      <c r="C173" s="86" t="str">
        <f>"THUẾ GIÁ TRỊ GIA TĂNG (G x "&amp;HSXL!C$17&amp;")"</f>
        <v>THUẾ GIÁ TRỊ GIA TĂNG (G x 8%)</v>
      </c>
      <c r="D173" s="85" t="s">
        <v>623</v>
      </c>
      <c r="E173" s="192">
        <f>HSXL!D$17</f>
        <v>0.08</v>
      </c>
      <c r="F173" s="114"/>
      <c r="G173" s="85"/>
      <c r="H173" s="114">
        <f>E173*H172</f>
        <v>108827.09860590239</v>
      </c>
    </row>
    <row r="174" spans="1:8" ht="30" x14ac:dyDescent="0.15">
      <c r="A174" s="280"/>
      <c r="B174" s="281"/>
      <c r="C174" s="282" t="s">
        <v>926</v>
      </c>
      <c r="D174" s="281" t="s">
        <v>626</v>
      </c>
      <c r="E174" s="283"/>
      <c r="F174" s="284"/>
      <c r="G174" s="281"/>
      <c r="H174" s="285">
        <f>H172+H173</f>
        <v>1469165.8311796822</v>
      </c>
    </row>
    <row r="175" spans="1:8" ht="30" x14ac:dyDescent="0.15">
      <c r="A175" s="141">
        <f>'Công trình'!A51</f>
        <v>11</v>
      </c>
      <c r="B175" s="122" t="str">
        <f>'Công trình'!E51</f>
        <v>AB.24131</v>
      </c>
      <c r="C175" s="123" t="str">
        <f>'Công trình'!F51</f>
        <v>Đào xúc đất bằng máy đào 1,25m3, đất cấp I</v>
      </c>
      <c r="D175" s="122" t="str">
        <f>'Công trình'!G51</f>
        <v>100m3</v>
      </c>
      <c r="E175" s="123">
        <v>1</v>
      </c>
      <c r="F175" s="126"/>
      <c r="G175" s="122"/>
      <c r="H175" s="126"/>
    </row>
    <row r="176" spans="1:8" x14ac:dyDescent="0.15">
      <c r="A176" s="274"/>
      <c r="B176" s="146"/>
      <c r="C176" s="145" t="s">
        <v>481</v>
      </c>
      <c r="D176" s="146"/>
      <c r="E176" s="145"/>
      <c r="F176" s="275"/>
      <c r="G176" s="146"/>
      <c r="H176" s="275">
        <f>H177</f>
        <v>90169</v>
      </c>
    </row>
    <row r="177" spans="1:8" ht="30" x14ac:dyDescent="0.15">
      <c r="A177" s="276"/>
      <c r="B177" s="85" t="str">
        <f>'Giá tháng'!B$27</f>
        <v>N1.30</v>
      </c>
      <c r="C177" s="86" t="str">
        <f>'Giá tháng'!C$27</f>
        <v>Nhân công 3,0/7 - Nhóm 1</v>
      </c>
      <c r="D177" s="85" t="str">
        <f>'Giá tháng'!D$27</f>
        <v>công</v>
      </c>
      <c r="E177" s="135">
        <f>HaoPhiVatTu!F$57</f>
        <v>0.37</v>
      </c>
      <c r="F177" s="114">
        <f>'Tổng hợp VT'!O$34</f>
        <v>243700</v>
      </c>
      <c r="G177" s="136">
        <f>'Giá tháng'!G$27</f>
        <v>1</v>
      </c>
      <c r="H177" s="114">
        <f>E177*F177*G177</f>
        <v>90169</v>
      </c>
    </row>
    <row r="178" spans="1:8" x14ac:dyDescent="0.15">
      <c r="A178" s="274"/>
      <c r="B178" s="146"/>
      <c r="C178" s="145" t="s">
        <v>482</v>
      </c>
      <c r="D178" s="146"/>
      <c r="E178" s="145"/>
      <c r="F178" s="275"/>
      <c r="G178" s="146"/>
      <c r="H178" s="275">
        <f>H181</f>
        <v>638319.02</v>
      </c>
    </row>
    <row r="179" spans="1:8" ht="45" x14ac:dyDescent="0.15">
      <c r="A179" s="276"/>
      <c r="B179" s="85" t="str">
        <f>'Giá tháng'!B$41</f>
        <v>M101.0105</v>
      </c>
      <c r="C179" s="86" t="str">
        <f>'Giá tháng'!C$41</f>
        <v>Máy đào một gầu, bánh xích - dung tích gầu : 1,25 m3</v>
      </c>
      <c r="D179" s="85" t="str">
        <f>'Giá tháng'!D$41</f>
        <v>ca</v>
      </c>
      <c r="E179" s="135">
        <f>HaoPhiVatTu!F$59</f>
        <v>0.17199999999999999</v>
      </c>
      <c r="F179" s="114">
        <f>'Tổng hợp VT'!O$51</f>
        <v>3498165</v>
      </c>
      <c r="G179" s="136">
        <f>'Giá tháng'!G$41</f>
        <v>1</v>
      </c>
      <c r="H179" s="114">
        <f>E179*F179*G179</f>
        <v>601684.38</v>
      </c>
    </row>
    <row r="180" spans="1:8" ht="30" x14ac:dyDescent="0.15">
      <c r="A180" s="276"/>
      <c r="B180" s="85" t="str">
        <f>'Giá tháng'!B$48</f>
        <v>M101.0503</v>
      </c>
      <c r="C180" s="86" t="str">
        <f>'Giá tháng'!C$48</f>
        <v>Máy ủi - công suất : 110,0 CV</v>
      </c>
      <c r="D180" s="85" t="str">
        <f>'Giá tháng'!D$48</f>
        <v>ca</v>
      </c>
      <c r="E180" s="135">
        <f>HaoPhiVatTu!F$60</f>
        <v>0.02</v>
      </c>
      <c r="F180" s="114">
        <f>'Tổng hợp VT'!O$58</f>
        <v>1831732</v>
      </c>
      <c r="G180" s="136">
        <f>'Giá tháng'!G$48</f>
        <v>1</v>
      </c>
      <c r="H180" s="114">
        <f>E180*F180*G180</f>
        <v>36634.639999999999</v>
      </c>
    </row>
    <row r="181" spans="1:8" x14ac:dyDescent="0.15">
      <c r="A181" s="276"/>
      <c r="B181" s="85"/>
      <c r="C181" s="86" t="s">
        <v>586</v>
      </c>
      <c r="D181" s="85"/>
      <c r="E181" s="86"/>
      <c r="F181" s="114"/>
      <c r="G181" s="85"/>
      <c r="H181" s="114">
        <f>SUM(H179:H180)</f>
        <v>638319.02</v>
      </c>
    </row>
    <row r="182" spans="1:8" ht="30" x14ac:dyDescent="0.15">
      <c r="A182" s="277"/>
      <c r="B182" s="122"/>
      <c r="C182" s="123" t="s">
        <v>923</v>
      </c>
      <c r="D182" s="122" t="s">
        <v>606</v>
      </c>
      <c r="E182" s="278"/>
      <c r="F182" s="126"/>
      <c r="G182" s="122"/>
      <c r="H182" s="126">
        <f>+H176+H178</f>
        <v>728488.02</v>
      </c>
    </row>
    <row r="183" spans="1:8" x14ac:dyDescent="0.15">
      <c r="A183" s="276"/>
      <c r="B183" s="85"/>
      <c r="C183" s="86" t="s">
        <v>608</v>
      </c>
      <c r="D183" s="85" t="str">
        <f>""</f>
        <v/>
      </c>
      <c r="E183" s="279"/>
      <c r="F183" s="114"/>
      <c r="G183" s="85"/>
      <c r="H183" s="114"/>
    </row>
    <row r="184" spans="1:8" x14ac:dyDescent="0.15">
      <c r="A184" s="276"/>
      <c r="B184" s="85"/>
      <c r="C184" s="86" t="str">
        <f>"Chi phí chung (T x "&amp;HSXL!C$14&amp;")"</f>
        <v>Chi phí chung (T x 5,5%)</v>
      </c>
      <c r="D184" s="85" t="s">
        <v>603</v>
      </c>
      <c r="E184" s="279" t="str">
        <f>HSXL!C$14</f>
        <v>5,5%</v>
      </c>
      <c r="F184" s="114"/>
      <c r="G184" s="85"/>
      <c r="H184" s="114">
        <f>H182*HSXL!D$14</f>
        <v>40066.841099999998</v>
      </c>
    </row>
    <row r="185" spans="1:8" ht="45" x14ac:dyDescent="0.15">
      <c r="A185" s="276"/>
      <c r="B185" s="85"/>
      <c r="C185" s="86" t="str">
        <f>"Chi phí nhà tạm để ở và điều hành thi công (T x "&amp;HSXL!C$18&amp;")"</f>
        <v>Chi phí nhà tạm để ở và điều hành thi công (T x 1,1%)</v>
      </c>
      <c r="D185" s="85" t="s">
        <v>611</v>
      </c>
      <c r="E185" s="279" t="str">
        <f>HSXL!C$18</f>
        <v>1,1%</v>
      </c>
      <c r="F185" s="114"/>
      <c r="G185" s="85"/>
      <c r="H185" s="114">
        <f>H182*HSXL!D$18</f>
        <v>8013.3682199999994</v>
      </c>
    </row>
    <row r="186" spans="1:8" ht="60" x14ac:dyDescent="0.15">
      <c r="A186" s="276"/>
      <c r="B186" s="85"/>
      <c r="C186" s="86" t="str">
        <f>"Chi phí một số công việc không xác định được khối lượng từ thiết kế (T x "&amp;HSXL!C$13&amp;")"</f>
        <v>Chi phí một số công việc không xác định được khối lượng từ thiết kế (T x 2%)</v>
      </c>
      <c r="D186" s="85" t="s">
        <v>42</v>
      </c>
      <c r="E186" s="279" t="str">
        <f>HSXL!C$13</f>
        <v>2%</v>
      </c>
      <c r="F186" s="114"/>
      <c r="G186" s="85"/>
      <c r="H186" s="114">
        <f>H182*HSXL!D$13</f>
        <v>14569.760400000001</v>
      </c>
    </row>
    <row r="187" spans="1:8" ht="30" x14ac:dyDescent="0.15">
      <c r="A187" s="277"/>
      <c r="B187" s="122"/>
      <c r="C187" s="123" t="s">
        <v>924</v>
      </c>
      <c r="D187" s="122" t="s">
        <v>614</v>
      </c>
      <c r="E187" s="278"/>
      <c r="F187" s="126"/>
      <c r="G187" s="122"/>
      <c r="H187" s="126">
        <f>SUM(H184:H186)</f>
        <v>62649.969719999994</v>
      </c>
    </row>
    <row r="188" spans="1:8" ht="45" x14ac:dyDescent="0.15">
      <c r="A188" s="276"/>
      <c r="B188" s="85"/>
      <c r="C188" s="86" t="str">
        <f>"THU NHẬP CHỊU THUẾ TÍNH TRƯỚC (T+GT) x "&amp;HSXL!C$16</f>
        <v>THU NHẬP CHỊU THUẾ TÍNH TRƯỚC (T+GT) x 5,5%</v>
      </c>
      <c r="D188" s="85" t="s">
        <v>617</v>
      </c>
      <c r="E188" s="279" t="str">
        <f>HSXL!C$16</f>
        <v>5,5%</v>
      </c>
      <c r="F188" s="114"/>
      <c r="G188" s="85"/>
      <c r="H188" s="114">
        <f>(H182+H187)*HSXL!D$16</f>
        <v>43512.589434599999</v>
      </c>
    </row>
    <row r="189" spans="1:8" ht="30" x14ac:dyDescent="0.15">
      <c r="A189" s="276"/>
      <c r="B189" s="85"/>
      <c r="C189" s="86" t="s">
        <v>925</v>
      </c>
      <c r="D189" s="85" t="s">
        <v>619</v>
      </c>
      <c r="E189" s="279"/>
      <c r="F189" s="114"/>
      <c r="G189" s="85"/>
      <c r="H189" s="114">
        <f>H182+H187+H188</f>
        <v>834650.57915459992</v>
      </c>
    </row>
    <row r="190" spans="1:8" ht="30" x14ac:dyDescent="0.15">
      <c r="A190" s="276"/>
      <c r="B190" s="85"/>
      <c r="C190" s="86" t="str">
        <f>"THUẾ GIÁ TRỊ GIA TĂNG (G x "&amp;HSXL!C$17&amp;")"</f>
        <v>THUẾ GIÁ TRỊ GIA TĂNG (G x 8%)</v>
      </c>
      <c r="D190" s="85" t="s">
        <v>623</v>
      </c>
      <c r="E190" s="192">
        <f>HSXL!D$17</f>
        <v>0.08</v>
      </c>
      <c r="F190" s="114"/>
      <c r="G190" s="85"/>
      <c r="H190" s="114">
        <f>E190*H189</f>
        <v>66772.046332368001</v>
      </c>
    </row>
    <row r="191" spans="1:8" ht="30" x14ac:dyDescent="0.15">
      <c r="A191" s="280"/>
      <c r="B191" s="281"/>
      <c r="C191" s="282" t="s">
        <v>926</v>
      </c>
      <c r="D191" s="281" t="s">
        <v>626</v>
      </c>
      <c r="E191" s="283"/>
      <c r="F191" s="284"/>
      <c r="G191" s="281"/>
      <c r="H191" s="285">
        <f>H189+H190</f>
        <v>901422.62548696797</v>
      </c>
    </row>
    <row r="192" spans="1:8" ht="60" x14ac:dyDescent="0.15">
      <c r="A192" s="141">
        <f>'Công trình'!A53</f>
        <v>12</v>
      </c>
      <c r="B192" s="122" t="str">
        <f>'Công trình'!E53</f>
        <v>AB.41411</v>
      </c>
      <c r="C192" s="123" t="str">
        <f>'Công trình'!F53</f>
        <v>Vận chuyển đất bằng ôtô tự đổ 5 tấn trong phạm vi &lt;= 1000m, đất cấp I</v>
      </c>
      <c r="D192" s="122" t="str">
        <f>'Công trình'!G53</f>
        <v>100m3</v>
      </c>
      <c r="E192" s="123">
        <v>1</v>
      </c>
      <c r="F192" s="126"/>
      <c r="G192" s="122"/>
      <c r="H192" s="126"/>
    </row>
    <row r="193" spans="1:8" x14ac:dyDescent="0.15">
      <c r="A193" s="274"/>
      <c r="B193" s="146"/>
      <c r="C193" s="145" t="s">
        <v>482</v>
      </c>
      <c r="D193" s="146"/>
      <c r="E193" s="145"/>
      <c r="F193" s="275"/>
      <c r="G193" s="146"/>
      <c r="H193" s="275">
        <f>H194</f>
        <v>1716330.15</v>
      </c>
    </row>
    <row r="194" spans="1:8" ht="30" x14ac:dyDescent="0.15">
      <c r="A194" s="276"/>
      <c r="B194" s="85" t="str">
        <f>'Giá tháng'!B$50</f>
        <v>M106.0202</v>
      </c>
      <c r="C194" s="86" t="str">
        <f>'Giá tháng'!C$50</f>
        <v>Ô tô tự đổ - trọng tải : 5,0 T</v>
      </c>
      <c r="D194" s="85" t="str">
        <f>'Giá tháng'!D$50</f>
        <v>ca</v>
      </c>
      <c r="E194" s="135">
        <f>HaoPhiVatTu!F$63</f>
        <v>1.1499999999999999</v>
      </c>
      <c r="F194" s="114">
        <f>'Tổng hợp VT'!O$60</f>
        <v>1492461</v>
      </c>
      <c r="G194" s="136">
        <f>'Giá tháng'!G$50</f>
        <v>1</v>
      </c>
      <c r="H194" s="114">
        <f>E194*F194*G194</f>
        <v>1716330.15</v>
      </c>
    </row>
    <row r="195" spans="1:8" ht="30" x14ac:dyDescent="0.15">
      <c r="A195" s="277"/>
      <c r="B195" s="122"/>
      <c r="C195" s="123" t="s">
        <v>923</v>
      </c>
      <c r="D195" s="122" t="s">
        <v>606</v>
      </c>
      <c r="E195" s="278"/>
      <c r="F195" s="126"/>
      <c r="G195" s="122"/>
      <c r="H195" s="126">
        <f>+H193</f>
        <v>1716330.15</v>
      </c>
    </row>
    <row r="196" spans="1:8" x14ac:dyDescent="0.15">
      <c r="A196" s="276"/>
      <c r="B196" s="85"/>
      <c r="C196" s="86" t="s">
        <v>608</v>
      </c>
      <c r="D196" s="85" t="str">
        <f>""</f>
        <v/>
      </c>
      <c r="E196" s="279"/>
      <c r="F196" s="114"/>
      <c r="G196" s="85"/>
      <c r="H196" s="114"/>
    </row>
    <row r="197" spans="1:8" x14ac:dyDescent="0.15">
      <c r="A197" s="276"/>
      <c r="B197" s="85"/>
      <c r="C197" s="86" t="str">
        <f>"Chi phí chung (T x "&amp;HSXL!C$14&amp;")"</f>
        <v>Chi phí chung (T x 5,5%)</v>
      </c>
      <c r="D197" s="85" t="s">
        <v>603</v>
      </c>
      <c r="E197" s="279" t="str">
        <f>HSXL!C$14</f>
        <v>5,5%</v>
      </c>
      <c r="F197" s="114"/>
      <c r="G197" s="85"/>
      <c r="H197" s="114">
        <f>H195*HSXL!D$14</f>
        <v>94398.158249999993</v>
      </c>
    </row>
    <row r="198" spans="1:8" ht="45" x14ac:dyDescent="0.15">
      <c r="A198" s="276"/>
      <c r="B198" s="85"/>
      <c r="C198" s="86" t="str">
        <f>"Chi phí nhà tạm để ở và điều hành thi công (T x "&amp;HSXL!C$18&amp;")"</f>
        <v>Chi phí nhà tạm để ở và điều hành thi công (T x 1,1%)</v>
      </c>
      <c r="D198" s="85" t="s">
        <v>611</v>
      </c>
      <c r="E198" s="279" t="str">
        <f>HSXL!C$18</f>
        <v>1,1%</v>
      </c>
      <c r="F198" s="114"/>
      <c r="G198" s="85"/>
      <c r="H198" s="114">
        <f>H195*HSXL!D$18</f>
        <v>18879.631649999999</v>
      </c>
    </row>
    <row r="199" spans="1:8" ht="60" x14ac:dyDescent="0.15">
      <c r="A199" s="276"/>
      <c r="B199" s="85"/>
      <c r="C199" s="86" t="str">
        <f>"Chi phí một số công việc không xác định được khối lượng từ thiết kế (T x "&amp;HSXL!C$13&amp;")"</f>
        <v>Chi phí một số công việc không xác định được khối lượng từ thiết kế (T x 2%)</v>
      </c>
      <c r="D199" s="85" t="s">
        <v>42</v>
      </c>
      <c r="E199" s="279" t="str">
        <f>HSXL!C$13</f>
        <v>2%</v>
      </c>
      <c r="F199" s="114"/>
      <c r="G199" s="85"/>
      <c r="H199" s="114">
        <f>H195*HSXL!D$13</f>
        <v>34326.602999999996</v>
      </c>
    </row>
    <row r="200" spans="1:8" ht="30" x14ac:dyDescent="0.15">
      <c r="A200" s="277"/>
      <c r="B200" s="122"/>
      <c r="C200" s="123" t="s">
        <v>924</v>
      </c>
      <c r="D200" s="122" t="s">
        <v>614</v>
      </c>
      <c r="E200" s="278"/>
      <c r="F200" s="126"/>
      <c r="G200" s="122"/>
      <c r="H200" s="126">
        <f>SUM(H197:H199)</f>
        <v>147604.39289999998</v>
      </c>
    </row>
    <row r="201" spans="1:8" ht="45" x14ac:dyDescent="0.15">
      <c r="A201" s="276"/>
      <c r="B201" s="85"/>
      <c r="C201" s="86" t="str">
        <f>"THU NHẬP CHỊU THUẾ TÍNH TRƯỚC (T+GT) x "&amp;HSXL!C$16</f>
        <v>THU NHẬP CHỊU THUẾ TÍNH TRƯỚC (T+GT) x 5,5%</v>
      </c>
      <c r="D201" s="85" t="s">
        <v>617</v>
      </c>
      <c r="E201" s="279" t="str">
        <f>HSXL!C$16</f>
        <v>5,5%</v>
      </c>
      <c r="F201" s="114"/>
      <c r="G201" s="85"/>
      <c r="H201" s="114">
        <f>(H195+H200)*HSXL!D$16</f>
        <v>102516.39985949999</v>
      </c>
    </row>
    <row r="202" spans="1:8" ht="30" x14ac:dyDescent="0.15">
      <c r="A202" s="276"/>
      <c r="B202" s="85"/>
      <c r="C202" s="86" t="s">
        <v>925</v>
      </c>
      <c r="D202" s="85" t="s">
        <v>619</v>
      </c>
      <c r="E202" s="279"/>
      <c r="F202" s="114"/>
      <c r="G202" s="85"/>
      <c r="H202" s="114">
        <f>H195+H200+H201</f>
        <v>1966450.9427594997</v>
      </c>
    </row>
    <row r="203" spans="1:8" ht="30" x14ac:dyDescent="0.15">
      <c r="A203" s="276"/>
      <c r="B203" s="85"/>
      <c r="C203" s="86" t="str">
        <f>"THUẾ GIÁ TRỊ GIA TĂNG (G x "&amp;HSXL!C$17&amp;")"</f>
        <v>THUẾ GIÁ TRỊ GIA TĂNG (G x 8%)</v>
      </c>
      <c r="D203" s="85" t="s">
        <v>623</v>
      </c>
      <c r="E203" s="192">
        <f>HSXL!D$17</f>
        <v>0.08</v>
      </c>
      <c r="F203" s="114"/>
      <c r="G203" s="85"/>
      <c r="H203" s="114">
        <f>E203*H202</f>
        <v>157316.07542075997</v>
      </c>
    </row>
    <row r="204" spans="1:8" ht="30" x14ac:dyDescent="0.15">
      <c r="A204" s="280"/>
      <c r="B204" s="281"/>
      <c r="C204" s="282" t="s">
        <v>926</v>
      </c>
      <c r="D204" s="281" t="s">
        <v>626</v>
      </c>
      <c r="E204" s="283"/>
      <c r="F204" s="284"/>
      <c r="G204" s="281"/>
      <c r="H204" s="285">
        <f>H202+H203</f>
        <v>2123767.0181802595</v>
      </c>
    </row>
    <row r="205" spans="1:8" ht="60" x14ac:dyDescent="0.15">
      <c r="A205" s="141">
        <f>'Công trình'!A55</f>
        <v>13</v>
      </c>
      <c r="B205" s="122" t="str">
        <f>'Công trình'!E55</f>
        <v>AB.42111</v>
      </c>
      <c r="C205" s="123" t="str">
        <f>'Công trình'!F55</f>
        <v>Vận chuyển đất bằng ô tô tự đổ 5T 1km tiếp theo trong phạm vi &lt;= 5km, đất cấp I</v>
      </c>
      <c r="D205" s="122" t="str">
        <f>'Công trình'!G55</f>
        <v>100m3</v>
      </c>
      <c r="E205" s="123">
        <v>1</v>
      </c>
      <c r="F205" s="126"/>
      <c r="G205" s="122"/>
      <c r="H205" s="126"/>
    </row>
    <row r="206" spans="1:8" x14ac:dyDescent="0.15">
      <c r="A206" s="274"/>
      <c r="B206" s="146"/>
      <c r="C206" s="145" t="s">
        <v>482</v>
      </c>
      <c r="D206" s="146"/>
      <c r="E206" s="145"/>
      <c r="F206" s="275"/>
      <c r="G206" s="146"/>
      <c r="H206" s="275">
        <f>H207</f>
        <v>3164017.3200000003</v>
      </c>
    </row>
    <row r="207" spans="1:8" ht="30" x14ac:dyDescent="0.15">
      <c r="A207" s="276"/>
      <c r="B207" s="85" t="str">
        <f>'Giá tháng'!B$51</f>
        <v>M106.0202</v>
      </c>
      <c r="C207" s="86" t="str">
        <f>'Giá tháng'!C$51</f>
        <v>Ô tô tự đổ - trọng tải : 5,0 T</v>
      </c>
      <c r="D207" s="85" t="str">
        <f>'Giá tháng'!D$51</f>
        <v>ca</v>
      </c>
      <c r="E207" s="135">
        <f>HaoPhiVatTu!F$66</f>
        <v>0.53</v>
      </c>
      <c r="F207" s="114">
        <f>'Tổng hợp VT'!O$60</f>
        <v>1492461</v>
      </c>
      <c r="G207" s="136">
        <f>'Giá tháng'!G$51</f>
        <v>4</v>
      </c>
      <c r="H207" s="114">
        <f>E207*F207*G207</f>
        <v>3164017.3200000003</v>
      </c>
    </row>
    <row r="208" spans="1:8" ht="30" x14ac:dyDescent="0.15">
      <c r="A208" s="277"/>
      <c r="B208" s="122"/>
      <c r="C208" s="123" t="s">
        <v>923</v>
      </c>
      <c r="D208" s="122" t="s">
        <v>606</v>
      </c>
      <c r="E208" s="278"/>
      <c r="F208" s="126"/>
      <c r="G208" s="122"/>
      <c r="H208" s="126">
        <f>+H206</f>
        <v>3164017.3200000003</v>
      </c>
    </row>
    <row r="209" spans="1:8" x14ac:dyDescent="0.15">
      <c r="A209" s="276"/>
      <c r="B209" s="85"/>
      <c r="C209" s="86" t="s">
        <v>608</v>
      </c>
      <c r="D209" s="85" t="str">
        <f>""</f>
        <v/>
      </c>
      <c r="E209" s="279"/>
      <c r="F209" s="114"/>
      <c r="G209" s="85"/>
      <c r="H209" s="114"/>
    </row>
    <row r="210" spans="1:8" x14ac:dyDescent="0.15">
      <c r="A210" s="276"/>
      <c r="B210" s="85"/>
      <c r="C210" s="86" t="str">
        <f>"Chi phí chung (T x "&amp;HSXL!C$14&amp;")"</f>
        <v>Chi phí chung (T x 5,5%)</v>
      </c>
      <c r="D210" s="85" t="s">
        <v>603</v>
      </c>
      <c r="E210" s="279" t="str">
        <f>HSXL!C$14</f>
        <v>5,5%</v>
      </c>
      <c r="F210" s="114"/>
      <c r="G210" s="85"/>
      <c r="H210" s="114">
        <f>H208*HSXL!D$14</f>
        <v>174020.95260000002</v>
      </c>
    </row>
    <row r="211" spans="1:8" ht="45" x14ac:dyDescent="0.15">
      <c r="A211" s="276"/>
      <c r="B211" s="85"/>
      <c r="C211" s="86" t="str">
        <f>"Chi phí nhà tạm để ở và điều hành thi công (T x "&amp;HSXL!C$18&amp;")"</f>
        <v>Chi phí nhà tạm để ở và điều hành thi công (T x 1,1%)</v>
      </c>
      <c r="D211" s="85" t="s">
        <v>611</v>
      </c>
      <c r="E211" s="279" t="str">
        <f>HSXL!C$18</f>
        <v>1,1%</v>
      </c>
      <c r="F211" s="114"/>
      <c r="G211" s="85"/>
      <c r="H211" s="114">
        <f>H208*HSXL!D$18</f>
        <v>34804.190520000004</v>
      </c>
    </row>
    <row r="212" spans="1:8" ht="60" x14ac:dyDescent="0.15">
      <c r="A212" s="276"/>
      <c r="B212" s="85"/>
      <c r="C212" s="86" t="str">
        <f>"Chi phí một số công việc không xác định được khối lượng từ thiết kế (T x "&amp;HSXL!C$13&amp;")"</f>
        <v>Chi phí một số công việc không xác định được khối lượng từ thiết kế (T x 2%)</v>
      </c>
      <c r="D212" s="85" t="s">
        <v>42</v>
      </c>
      <c r="E212" s="279" t="str">
        <f>HSXL!C$13</f>
        <v>2%</v>
      </c>
      <c r="F212" s="114"/>
      <c r="G212" s="85"/>
      <c r="H212" s="114">
        <f>H208*HSXL!D$13</f>
        <v>63280.346400000009</v>
      </c>
    </row>
    <row r="213" spans="1:8" ht="30" x14ac:dyDescent="0.15">
      <c r="A213" s="277"/>
      <c r="B213" s="122"/>
      <c r="C213" s="123" t="s">
        <v>924</v>
      </c>
      <c r="D213" s="122" t="s">
        <v>614</v>
      </c>
      <c r="E213" s="278"/>
      <c r="F213" s="126"/>
      <c r="G213" s="122"/>
      <c r="H213" s="126">
        <f>SUM(H210:H212)</f>
        <v>272105.48952000006</v>
      </c>
    </row>
    <row r="214" spans="1:8" ht="45" x14ac:dyDescent="0.15">
      <c r="A214" s="276"/>
      <c r="B214" s="85"/>
      <c r="C214" s="86" t="str">
        <f>"THU NHẬP CHỊU THUẾ TÍNH TRƯỚC (T+GT) x "&amp;HSXL!C$16</f>
        <v>THU NHẬP CHỊU THUẾ TÍNH TRƯỚC (T+GT) x 5,5%</v>
      </c>
      <c r="D214" s="85" t="s">
        <v>617</v>
      </c>
      <c r="E214" s="279" t="str">
        <f>HSXL!C$16</f>
        <v>5,5%</v>
      </c>
      <c r="F214" s="114"/>
      <c r="G214" s="85"/>
      <c r="H214" s="114">
        <f>(H208+H213)*HSXL!D$16</f>
        <v>188986.75452360004</v>
      </c>
    </row>
    <row r="215" spans="1:8" ht="30" x14ac:dyDescent="0.15">
      <c r="A215" s="276"/>
      <c r="B215" s="85"/>
      <c r="C215" s="86" t="s">
        <v>925</v>
      </c>
      <c r="D215" s="85" t="s">
        <v>619</v>
      </c>
      <c r="E215" s="279"/>
      <c r="F215" s="114"/>
      <c r="G215" s="85"/>
      <c r="H215" s="114">
        <f>H208+H213+H214</f>
        <v>3625109.5640436006</v>
      </c>
    </row>
    <row r="216" spans="1:8" ht="30" x14ac:dyDescent="0.15">
      <c r="A216" s="276"/>
      <c r="B216" s="85"/>
      <c r="C216" s="86" t="str">
        <f>"THUẾ GIÁ TRỊ GIA TĂNG (G x "&amp;HSXL!C$17&amp;")"</f>
        <v>THUẾ GIÁ TRỊ GIA TĂNG (G x 8%)</v>
      </c>
      <c r="D216" s="85" t="s">
        <v>623</v>
      </c>
      <c r="E216" s="192">
        <f>HSXL!D$17</f>
        <v>0.08</v>
      </c>
      <c r="F216" s="114"/>
      <c r="G216" s="85"/>
      <c r="H216" s="114">
        <f>E216*H215</f>
        <v>290008.76512348803</v>
      </c>
    </row>
    <row r="217" spans="1:8" ht="30" x14ac:dyDescent="0.15">
      <c r="A217" s="280"/>
      <c r="B217" s="281"/>
      <c r="C217" s="282" t="s">
        <v>926</v>
      </c>
      <c r="D217" s="281" t="s">
        <v>626</v>
      </c>
      <c r="E217" s="283"/>
      <c r="F217" s="284"/>
      <c r="G217" s="281"/>
      <c r="H217" s="285">
        <f>H215+H216</f>
        <v>3915118.3291670885</v>
      </c>
    </row>
    <row r="218" spans="1:8" ht="45" x14ac:dyDescent="0.15">
      <c r="A218" s="141">
        <f>'Công trình'!A57</f>
        <v>14</v>
      </c>
      <c r="B218" s="122" t="str">
        <f>'Công trình'!E57</f>
        <v>AC.11121</v>
      </c>
      <c r="C218" s="123" t="str">
        <f>'Công trình'!F57</f>
        <v>Đóng cọc tre bằng thủ công, chiều dài cọc &gt; 2,5m vào đất cấp I</v>
      </c>
      <c r="D218" s="122" t="str">
        <f>'Công trình'!G57</f>
        <v>100m</v>
      </c>
      <c r="E218" s="123">
        <v>1</v>
      </c>
      <c r="F218" s="126"/>
      <c r="G218" s="122"/>
      <c r="H218" s="126"/>
    </row>
    <row r="219" spans="1:8" x14ac:dyDescent="0.15">
      <c r="A219" s="274"/>
      <c r="B219" s="146"/>
      <c r="C219" s="145" t="s">
        <v>477</v>
      </c>
      <c r="D219" s="146"/>
      <c r="E219" s="145"/>
      <c r="F219" s="275"/>
      <c r="G219" s="146"/>
      <c r="H219" s="275">
        <f>H224</f>
        <v>590499</v>
      </c>
    </row>
    <row r="220" spans="1:8" ht="30" x14ac:dyDescent="0.15">
      <c r="A220" s="276"/>
      <c r="B220" s="85" t="str">
        <f>'Giá tháng'!B$9</f>
        <v>A24.0227</v>
      </c>
      <c r="C220" s="86" t="str">
        <f>'Giá tháng'!C$9</f>
        <v>Cọc tre &gt;2,5m</v>
      </c>
      <c r="D220" s="85" t="str">
        <f>'Giá tháng'!D$9</f>
        <v>m</v>
      </c>
      <c r="E220" s="135">
        <f>HaoPhiVatTu!F$69</f>
        <v>105</v>
      </c>
      <c r="F220" s="114">
        <f>'Tổng hợp VT'!O$13</f>
        <v>4800</v>
      </c>
      <c r="G220" s="136">
        <f>'Giá tháng'!G$9</f>
        <v>1</v>
      </c>
      <c r="H220" s="114">
        <f>E220*F220*G220</f>
        <v>504000</v>
      </c>
    </row>
    <row r="221" spans="1:8" ht="30" x14ac:dyDescent="0.15">
      <c r="A221" s="276"/>
      <c r="B221" s="85" t="str">
        <f>'Giá tháng'!B$8</f>
        <v>A24.0183</v>
      </c>
      <c r="C221" s="86" t="str">
        <f>'Giá tháng'!C$8</f>
        <v>Cây chống</v>
      </c>
      <c r="D221" s="85" t="str">
        <f>'Giá tháng'!D$8</f>
        <v>cây</v>
      </c>
      <c r="E221" s="135">
        <f>HaoPhiVatTu!F$70</f>
        <v>1.65</v>
      </c>
      <c r="F221" s="114">
        <f>'Tổng hợp VT'!O$12</f>
        <v>22000</v>
      </c>
      <c r="G221" s="136">
        <f>'Giá tháng'!G$8</f>
        <v>1</v>
      </c>
      <c r="H221" s="114">
        <f>E221*F221*G221</f>
        <v>36300</v>
      </c>
    </row>
    <row r="222" spans="1:8" ht="30" x14ac:dyDescent="0.15">
      <c r="A222" s="276"/>
      <c r="B222" s="85" t="str">
        <f>'Giá tháng'!B$14</f>
        <v>A24.0418</v>
      </c>
      <c r="C222" s="86" t="str">
        <f>'Giá tháng'!C$14</f>
        <v>Gỗ ván</v>
      </c>
      <c r="D222" s="85" t="str">
        <f>'Giá tháng'!D$14</f>
        <v>m3</v>
      </c>
      <c r="E222" s="135">
        <f>HaoPhiVatTu!F$71</f>
        <v>0.01</v>
      </c>
      <c r="F222" s="114">
        <f>'Tổng hợp VT'!O$18</f>
        <v>3300000</v>
      </c>
      <c r="G222" s="136">
        <f>'Giá tháng'!G$14</f>
        <v>1</v>
      </c>
      <c r="H222" s="114">
        <f>E222*F222*G222</f>
        <v>33000</v>
      </c>
    </row>
    <row r="223" spans="1:8" x14ac:dyDescent="0.15">
      <c r="A223" s="276"/>
      <c r="B223" s="85" t="s">
        <v>478</v>
      </c>
      <c r="C223" s="86" t="s">
        <v>479</v>
      </c>
      <c r="D223" s="85" t="s">
        <v>480</v>
      </c>
      <c r="E223" s="135">
        <f>HaoPhiVatTu!F$72</f>
        <v>3</v>
      </c>
      <c r="F223" s="114">
        <f>SUM(H220:H222)</f>
        <v>573300</v>
      </c>
      <c r="G223" s="85"/>
      <c r="H223" s="114">
        <f>E223*F223/100</f>
        <v>17199</v>
      </c>
    </row>
    <row r="224" spans="1:8" x14ac:dyDescent="0.15">
      <c r="A224" s="276"/>
      <c r="B224" s="85"/>
      <c r="C224" s="86" t="s">
        <v>586</v>
      </c>
      <c r="D224" s="85"/>
      <c r="E224" s="86"/>
      <c r="F224" s="114"/>
      <c r="G224" s="85"/>
      <c r="H224" s="114">
        <f>SUM(H220:H223)</f>
        <v>590499</v>
      </c>
    </row>
    <row r="225" spans="1:8" x14ac:dyDescent="0.15">
      <c r="A225" s="274"/>
      <c r="B225" s="146"/>
      <c r="C225" s="145" t="s">
        <v>481</v>
      </c>
      <c r="D225" s="146"/>
      <c r="E225" s="145"/>
      <c r="F225" s="275"/>
      <c r="G225" s="146"/>
      <c r="H225" s="275">
        <f>H226</f>
        <v>532876</v>
      </c>
    </row>
    <row r="226" spans="1:8" ht="30" x14ac:dyDescent="0.15">
      <c r="A226" s="276"/>
      <c r="B226" s="85" t="str">
        <f>'Giá tháng'!B$28</f>
        <v>N2.30</v>
      </c>
      <c r="C226" s="86" t="str">
        <f>'Giá tháng'!C$28</f>
        <v>Nhân công 3,0/7 - Nhóm 2</v>
      </c>
      <c r="D226" s="85" t="str">
        <f>'Giá tháng'!D$28</f>
        <v>công</v>
      </c>
      <c r="E226" s="135">
        <f>HaoPhiVatTu!F$74</f>
        <v>2.02</v>
      </c>
      <c r="F226" s="114">
        <f>'Tổng hợp VT'!O$35</f>
        <v>263800</v>
      </c>
      <c r="G226" s="136">
        <f>'Giá tháng'!G$28</f>
        <v>1</v>
      </c>
      <c r="H226" s="114">
        <f>E226*F226*G226</f>
        <v>532876</v>
      </c>
    </row>
    <row r="227" spans="1:8" ht="30" x14ac:dyDescent="0.15">
      <c r="A227" s="277"/>
      <c r="B227" s="122"/>
      <c r="C227" s="123" t="s">
        <v>923</v>
      </c>
      <c r="D227" s="122" t="s">
        <v>606</v>
      </c>
      <c r="E227" s="278"/>
      <c r="F227" s="126"/>
      <c r="G227" s="122"/>
      <c r="H227" s="126">
        <f>H219+H225</f>
        <v>1123375</v>
      </c>
    </row>
    <row r="228" spans="1:8" x14ac:dyDescent="0.15">
      <c r="A228" s="276"/>
      <c r="B228" s="85"/>
      <c r="C228" s="86" t="s">
        <v>608</v>
      </c>
      <c r="D228" s="85" t="str">
        <f>""</f>
        <v/>
      </c>
      <c r="E228" s="279"/>
      <c r="F228" s="114"/>
      <c r="G228" s="85"/>
      <c r="H228" s="114"/>
    </row>
    <row r="229" spans="1:8" x14ac:dyDescent="0.15">
      <c r="A229" s="276"/>
      <c r="B229" s="85"/>
      <c r="C229" s="86" t="str">
        <f>"Chi phí chung (T x "&amp;HSXL!C$14&amp;")"</f>
        <v>Chi phí chung (T x 5,5%)</v>
      </c>
      <c r="D229" s="85" t="s">
        <v>603</v>
      </c>
      <c r="E229" s="279" t="str">
        <f>HSXL!C$14</f>
        <v>5,5%</v>
      </c>
      <c r="F229" s="114"/>
      <c r="G229" s="85"/>
      <c r="H229" s="114">
        <f>H227*HSXL!D$14</f>
        <v>61785.625</v>
      </c>
    </row>
    <row r="230" spans="1:8" ht="45" x14ac:dyDescent="0.15">
      <c r="A230" s="276"/>
      <c r="B230" s="85"/>
      <c r="C230" s="86" t="str">
        <f>"Chi phí nhà tạm để ở và điều hành thi công (T x "&amp;HSXL!C$18&amp;")"</f>
        <v>Chi phí nhà tạm để ở và điều hành thi công (T x 1,1%)</v>
      </c>
      <c r="D230" s="85" t="s">
        <v>611</v>
      </c>
      <c r="E230" s="279" t="str">
        <f>HSXL!C$18</f>
        <v>1,1%</v>
      </c>
      <c r="F230" s="114"/>
      <c r="G230" s="85"/>
      <c r="H230" s="114">
        <f>H227*HSXL!D$18</f>
        <v>12357.125</v>
      </c>
    </row>
    <row r="231" spans="1:8" ht="60" x14ac:dyDescent="0.15">
      <c r="A231" s="276"/>
      <c r="B231" s="85"/>
      <c r="C231" s="86" t="str">
        <f>"Chi phí một số công việc không xác định được khối lượng từ thiết kế (T x "&amp;HSXL!C$13&amp;")"</f>
        <v>Chi phí một số công việc không xác định được khối lượng từ thiết kế (T x 2%)</v>
      </c>
      <c r="D231" s="85" t="s">
        <v>42</v>
      </c>
      <c r="E231" s="279" t="str">
        <f>HSXL!C$13</f>
        <v>2%</v>
      </c>
      <c r="F231" s="114"/>
      <c r="G231" s="85"/>
      <c r="H231" s="114">
        <f>H227*HSXL!D$13</f>
        <v>22467.5</v>
      </c>
    </row>
    <row r="232" spans="1:8" ht="30" x14ac:dyDescent="0.15">
      <c r="A232" s="277"/>
      <c r="B232" s="122"/>
      <c r="C232" s="123" t="s">
        <v>924</v>
      </c>
      <c r="D232" s="122" t="s">
        <v>614</v>
      </c>
      <c r="E232" s="278"/>
      <c r="F232" s="126"/>
      <c r="G232" s="122"/>
      <c r="H232" s="126">
        <f>SUM(H229:H231)</f>
        <v>96610.25</v>
      </c>
    </row>
    <row r="233" spans="1:8" ht="45" x14ac:dyDescent="0.15">
      <c r="A233" s="276"/>
      <c r="B233" s="85"/>
      <c r="C233" s="86" t="str">
        <f>"THU NHẬP CHỊU THUẾ TÍNH TRƯỚC (T+GT) x "&amp;HSXL!C$16</f>
        <v>THU NHẬP CHỊU THUẾ TÍNH TRƯỚC (T+GT) x 5,5%</v>
      </c>
      <c r="D233" s="85" t="s">
        <v>617</v>
      </c>
      <c r="E233" s="279" t="str">
        <f>HSXL!C$16</f>
        <v>5,5%</v>
      </c>
      <c r="F233" s="114"/>
      <c r="G233" s="85"/>
      <c r="H233" s="114">
        <f>(H227+H232)*HSXL!D$16</f>
        <v>67099.188750000001</v>
      </c>
    </row>
    <row r="234" spans="1:8" ht="30" x14ac:dyDescent="0.15">
      <c r="A234" s="276"/>
      <c r="B234" s="85"/>
      <c r="C234" s="86" t="s">
        <v>925</v>
      </c>
      <c r="D234" s="85" t="s">
        <v>619</v>
      </c>
      <c r="E234" s="279"/>
      <c r="F234" s="114"/>
      <c r="G234" s="85"/>
      <c r="H234" s="114">
        <f>H227+H232+H233</f>
        <v>1287084.43875</v>
      </c>
    </row>
    <row r="235" spans="1:8" ht="30" x14ac:dyDescent="0.15">
      <c r="A235" s="276"/>
      <c r="B235" s="85"/>
      <c r="C235" s="86" t="str">
        <f>"THUẾ GIÁ TRỊ GIA TĂNG (G x "&amp;HSXL!C$17&amp;")"</f>
        <v>THUẾ GIÁ TRỊ GIA TĂNG (G x 8%)</v>
      </c>
      <c r="D235" s="85" t="s">
        <v>623</v>
      </c>
      <c r="E235" s="192">
        <f>HSXL!D$17</f>
        <v>0.08</v>
      </c>
      <c r="F235" s="114"/>
      <c r="G235" s="85"/>
      <c r="H235" s="114">
        <f>E235*H234</f>
        <v>102966.75509999999</v>
      </c>
    </row>
    <row r="236" spans="1:8" ht="30" x14ac:dyDescent="0.15">
      <c r="A236" s="280"/>
      <c r="B236" s="281"/>
      <c r="C236" s="282" t="s">
        <v>926</v>
      </c>
      <c r="D236" s="281" t="s">
        <v>626</v>
      </c>
      <c r="E236" s="283"/>
      <c r="F236" s="284"/>
      <c r="G236" s="281"/>
      <c r="H236" s="285">
        <f>H234+H235</f>
        <v>1390051.1938499999</v>
      </c>
    </row>
    <row r="237" spans="1:8" ht="45" x14ac:dyDescent="0.15">
      <c r="A237" s="141">
        <f>'Công trình'!A59</f>
        <v>15</v>
      </c>
      <c r="B237" s="122" t="str">
        <f>'Công trình'!E59</f>
        <v>AB.13411</v>
      </c>
      <c r="C237" s="123" t="str">
        <f>'Công trình'!F59</f>
        <v>Đắp cát công trình bằng thủ công, đắp nền móng công trình</v>
      </c>
      <c r="D237" s="122" t="str">
        <f>'Công trình'!G59</f>
        <v>m3</v>
      </c>
      <c r="E237" s="123">
        <v>1</v>
      </c>
      <c r="F237" s="126"/>
      <c r="G237" s="122"/>
      <c r="H237" s="126"/>
    </row>
    <row r="238" spans="1:8" x14ac:dyDescent="0.15">
      <c r="A238" s="274"/>
      <c r="B238" s="146"/>
      <c r="C238" s="145" t="s">
        <v>477</v>
      </c>
      <c r="D238" s="146"/>
      <c r="E238" s="145"/>
      <c r="F238" s="275"/>
      <c r="G238" s="146"/>
      <c r="H238" s="275">
        <f>H241</f>
        <v>348432</v>
      </c>
    </row>
    <row r="239" spans="1:8" ht="30" x14ac:dyDescent="0.15">
      <c r="A239" s="276"/>
      <c r="B239" s="85" t="str">
        <f>'Giá tháng'!B$6</f>
        <v>A24.1042</v>
      </c>
      <c r="C239" s="86" t="str">
        <f>'Giá tháng'!C$6</f>
        <v>Cát</v>
      </c>
      <c r="D239" s="85" t="str">
        <f>'Giá tháng'!D$6</f>
        <v>m3</v>
      </c>
      <c r="E239" s="135">
        <f>HaoPhiVatTu!F$77</f>
        <v>1.22</v>
      </c>
      <c r="F239" s="114">
        <f>'Tổng hợp VT'!O$10</f>
        <v>280000</v>
      </c>
      <c r="G239" s="136">
        <f>'Giá tháng'!G$6</f>
        <v>1</v>
      </c>
      <c r="H239" s="114">
        <f>E239*F239*G239</f>
        <v>341600</v>
      </c>
    </row>
    <row r="240" spans="1:8" x14ac:dyDescent="0.15">
      <c r="A240" s="276"/>
      <c r="B240" s="85" t="s">
        <v>478</v>
      </c>
      <c r="C240" s="86" t="s">
        <v>479</v>
      </c>
      <c r="D240" s="85" t="s">
        <v>480</v>
      </c>
      <c r="E240" s="135">
        <f>HaoPhiVatTu!F$78</f>
        <v>2</v>
      </c>
      <c r="F240" s="114">
        <f>SUM(H239:H239)</f>
        <v>341600</v>
      </c>
      <c r="G240" s="85"/>
      <c r="H240" s="114">
        <f>E240*F240/100</f>
        <v>6832</v>
      </c>
    </row>
    <row r="241" spans="1:8" x14ac:dyDescent="0.15">
      <c r="A241" s="276"/>
      <c r="B241" s="85"/>
      <c r="C241" s="86" t="s">
        <v>586</v>
      </c>
      <c r="D241" s="85"/>
      <c r="E241" s="86"/>
      <c r="F241" s="114"/>
      <c r="G241" s="85"/>
      <c r="H241" s="114">
        <f>SUM(H239:H240)</f>
        <v>348432</v>
      </c>
    </row>
    <row r="242" spans="1:8" x14ac:dyDescent="0.15">
      <c r="A242" s="274"/>
      <c r="B242" s="146"/>
      <c r="C242" s="145" t="s">
        <v>481</v>
      </c>
      <c r="D242" s="146"/>
      <c r="E242" s="145"/>
      <c r="F242" s="275"/>
      <c r="G242" s="146"/>
      <c r="H242" s="275">
        <f>H243</f>
        <v>109665</v>
      </c>
    </row>
    <row r="243" spans="1:8" ht="30" x14ac:dyDescent="0.15">
      <c r="A243" s="276"/>
      <c r="B243" s="85" t="str">
        <f>'Giá tháng'!B$27</f>
        <v>N1.30</v>
      </c>
      <c r="C243" s="86" t="str">
        <f>'Giá tháng'!C$27</f>
        <v>Nhân công 3,0/7 - Nhóm 1</v>
      </c>
      <c r="D243" s="85" t="str">
        <f>'Giá tháng'!D$27</f>
        <v>công</v>
      </c>
      <c r="E243" s="135">
        <f>HaoPhiVatTu!F$80</f>
        <v>0.45</v>
      </c>
      <c r="F243" s="114">
        <f>'Tổng hợp VT'!O$34</f>
        <v>243700</v>
      </c>
      <c r="G243" s="136">
        <f>'Giá tháng'!G$27</f>
        <v>1</v>
      </c>
      <c r="H243" s="114">
        <f>E243*F243*G243</f>
        <v>109665</v>
      </c>
    </row>
    <row r="244" spans="1:8" ht="30" x14ac:dyDescent="0.15">
      <c r="A244" s="277"/>
      <c r="B244" s="122"/>
      <c r="C244" s="123" t="s">
        <v>923</v>
      </c>
      <c r="D244" s="122" t="s">
        <v>606</v>
      </c>
      <c r="E244" s="278"/>
      <c r="F244" s="126"/>
      <c r="G244" s="122"/>
      <c r="H244" s="126">
        <f>H238+H242</f>
        <v>458097</v>
      </c>
    </row>
    <row r="245" spans="1:8" x14ac:dyDescent="0.15">
      <c r="A245" s="276"/>
      <c r="B245" s="85"/>
      <c r="C245" s="86" t="s">
        <v>608</v>
      </c>
      <c r="D245" s="85" t="str">
        <f>""</f>
        <v/>
      </c>
      <c r="E245" s="279"/>
      <c r="F245" s="114"/>
      <c r="G245" s="85"/>
      <c r="H245" s="114"/>
    </row>
    <row r="246" spans="1:8" x14ac:dyDescent="0.15">
      <c r="A246" s="276"/>
      <c r="B246" s="85"/>
      <c r="C246" s="86" t="str">
        <f>"Chi phí chung (T x "&amp;HSXL!C$14&amp;")"</f>
        <v>Chi phí chung (T x 5,5%)</v>
      </c>
      <c r="D246" s="85" t="s">
        <v>603</v>
      </c>
      <c r="E246" s="279" t="str">
        <f>HSXL!C$14</f>
        <v>5,5%</v>
      </c>
      <c r="F246" s="114"/>
      <c r="G246" s="85"/>
      <c r="H246" s="114">
        <f>H244*HSXL!D$14</f>
        <v>25195.334999999999</v>
      </c>
    </row>
    <row r="247" spans="1:8" ht="45" x14ac:dyDescent="0.15">
      <c r="A247" s="276"/>
      <c r="B247" s="85"/>
      <c r="C247" s="86" t="str">
        <f>"Chi phí nhà tạm để ở và điều hành thi công (T x "&amp;HSXL!C$18&amp;")"</f>
        <v>Chi phí nhà tạm để ở và điều hành thi công (T x 1,1%)</v>
      </c>
      <c r="D247" s="85" t="s">
        <v>611</v>
      </c>
      <c r="E247" s="279" t="str">
        <f>HSXL!C$18</f>
        <v>1,1%</v>
      </c>
      <c r="F247" s="114"/>
      <c r="G247" s="85"/>
      <c r="H247" s="114">
        <f>H244*HSXL!D$18</f>
        <v>5039.067</v>
      </c>
    </row>
    <row r="248" spans="1:8" ht="60" x14ac:dyDescent="0.15">
      <c r="A248" s="276"/>
      <c r="B248" s="85"/>
      <c r="C248" s="86" t="str">
        <f>"Chi phí một số công việc không xác định được khối lượng từ thiết kế (T x "&amp;HSXL!C$13&amp;")"</f>
        <v>Chi phí một số công việc không xác định được khối lượng từ thiết kế (T x 2%)</v>
      </c>
      <c r="D248" s="85" t="s">
        <v>42</v>
      </c>
      <c r="E248" s="279" t="str">
        <f>HSXL!C$13</f>
        <v>2%</v>
      </c>
      <c r="F248" s="114"/>
      <c r="G248" s="85"/>
      <c r="H248" s="114">
        <f>H244*HSXL!D$13</f>
        <v>9161.94</v>
      </c>
    </row>
    <row r="249" spans="1:8" ht="30" x14ac:dyDescent="0.15">
      <c r="A249" s="277"/>
      <c r="B249" s="122"/>
      <c r="C249" s="123" t="s">
        <v>924</v>
      </c>
      <c r="D249" s="122" t="s">
        <v>614</v>
      </c>
      <c r="E249" s="278"/>
      <c r="F249" s="126"/>
      <c r="G249" s="122"/>
      <c r="H249" s="126">
        <f>SUM(H246:H248)</f>
        <v>39396.341999999997</v>
      </c>
    </row>
    <row r="250" spans="1:8" ht="45" x14ac:dyDescent="0.15">
      <c r="A250" s="276"/>
      <c r="B250" s="85"/>
      <c r="C250" s="86" t="str">
        <f>"THU NHẬP CHỊU THUẾ TÍNH TRƯỚC (T+GT) x "&amp;HSXL!C$16</f>
        <v>THU NHẬP CHỊU THUẾ TÍNH TRƯỚC (T+GT) x 5,5%</v>
      </c>
      <c r="D250" s="85" t="s">
        <v>617</v>
      </c>
      <c r="E250" s="279" t="str">
        <f>HSXL!C$16</f>
        <v>5,5%</v>
      </c>
      <c r="F250" s="114"/>
      <c r="G250" s="85"/>
      <c r="H250" s="114">
        <f>(H244+H249)*HSXL!D$16</f>
        <v>27362.133809999999</v>
      </c>
    </row>
    <row r="251" spans="1:8" ht="30" x14ac:dyDescent="0.15">
      <c r="A251" s="276"/>
      <c r="B251" s="85"/>
      <c r="C251" s="86" t="s">
        <v>925</v>
      </c>
      <c r="D251" s="85" t="s">
        <v>619</v>
      </c>
      <c r="E251" s="279"/>
      <c r="F251" s="114"/>
      <c r="G251" s="85"/>
      <c r="H251" s="114">
        <f>H244+H249+H250</f>
        <v>524855.47580999997</v>
      </c>
    </row>
    <row r="252" spans="1:8" ht="30" x14ac:dyDescent="0.15">
      <c r="A252" s="276"/>
      <c r="B252" s="85"/>
      <c r="C252" s="86" t="str">
        <f>"THUẾ GIÁ TRỊ GIA TĂNG (G x "&amp;HSXL!C$17&amp;")"</f>
        <v>THUẾ GIÁ TRỊ GIA TĂNG (G x 8%)</v>
      </c>
      <c r="D252" s="85" t="s">
        <v>623</v>
      </c>
      <c r="E252" s="192">
        <f>HSXL!D$17</f>
        <v>0.08</v>
      </c>
      <c r="F252" s="114"/>
      <c r="G252" s="85"/>
      <c r="H252" s="114">
        <f>E252*H251</f>
        <v>41988.438064800001</v>
      </c>
    </row>
    <row r="253" spans="1:8" ht="30" x14ac:dyDescent="0.15">
      <c r="A253" s="280"/>
      <c r="B253" s="281"/>
      <c r="C253" s="282" t="s">
        <v>926</v>
      </c>
      <c r="D253" s="281" t="s">
        <v>626</v>
      </c>
      <c r="E253" s="283"/>
      <c r="F253" s="284"/>
      <c r="G253" s="281"/>
      <c r="H253" s="285">
        <f>H251+H252</f>
        <v>566843.91387479997</v>
      </c>
    </row>
    <row r="254" spans="1:8" ht="30" x14ac:dyDescent="0.15">
      <c r="A254" s="141">
        <f>'Công trình'!A61</f>
        <v>16</v>
      </c>
      <c r="B254" s="122" t="str">
        <f>'Công trình'!E61</f>
        <v>AF.82511</v>
      </c>
      <c r="C254" s="123" t="str">
        <f>'Công trình'!F61</f>
        <v>Ván khuôn thép. Ván khuôn móng dài</v>
      </c>
      <c r="D254" s="122" t="str">
        <f>'Công trình'!G61</f>
        <v>100m2</v>
      </c>
      <c r="E254" s="123">
        <v>1</v>
      </c>
      <c r="F254" s="126"/>
      <c r="G254" s="122"/>
      <c r="H254" s="126"/>
    </row>
    <row r="255" spans="1:8" x14ac:dyDescent="0.15">
      <c r="A255" s="274"/>
      <c r="B255" s="146"/>
      <c r="C255" s="145" t="s">
        <v>477</v>
      </c>
      <c r="D255" s="146"/>
      <c r="E255" s="145"/>
      <c r="F255" s="275"/>
      <c r="G255" s="146"/>
      <c r="H255" s="275">
        <f>H260</f>
        <v>1740379.2</v>
      </c>
    </row>
    <row r="256" spans="1:8" ht="30" x14ac:dyDescent="0.15">
      <c r="A256" s="276"/>
      <c r="B256" s="85" t="str">
        <f>'Giá tháng'!B$21</f>
        <v>A24.0726</v>
      </c>
      <c r="C256" s="86" t="str">
        <f>'Giá tháng'!C$21</f>
        <v>Thép tấm</v>
      </c>
      <c r="D256" s="85" t="str">
        <f>'Giá tháng'!D$21</f>
        <v>kg</v>
      </c>
      <c r="E256" s="135">
        <f>HaoPhiVatTu!F$83</f>
        <v>51.81</v>
      </c>
      <c r="F256" s="114">
        <f>'Tổng hợp VT'!O$25</f>
        <v>18800</v>
      </c>
      <c r="G256" s="136">
        <f>'Giá tháng'!G$21</f>
        <v>1</v>
      </c>
      <c r="H256" s="114">
        <f>E256*F256*G256</f>
        <v>974028</v>
      </c>
    </row>
    <row r="257" spans="1:8" ht="30" x14ac:dyDescent="0.15">
      <c r="A257" s="276"/>
      <c r="B257" s="85" t="str">
        <f>'Giá tháng'!B$20</f>
        <v>A24.0712</v>
      </c>
      <c r="C257" s="86" t="str">
        <f>'Giá tháng'!C$20</f>
        <v>Thép hình</v>
      </c>
      <c r="D257" s="85" t="str">
        <f>'Giá tháng'!D$20</f>
        <v>kg</v>
      </c>
      <c r="E257" s="135">
        <f>HaoPhiVatTu!F$84</f>
        <v>32.020000000000003</v>
      </c>
      <c r="F257" s="114">
        <f>'Tổng hợp VT'!O$24</f>
        <v>18800</v>
      </c>
      <c r="G257" s="136">
        <f>'Giá tháng'!G$20</f>
        <v>1</v>
      </c>
      <c r="H257" s="114">
        <f>E257*F257*G257</f>
        <v>601976.00000000012</v>
      </c>
    </row>
    <row r="258" spans="1:8" ht="30" x14ac:dyDescent="0.15">
      <c r="A258" s="276"/>
      <c r="B258" s="85" t="str">
        <f>'Giá tháng'!B$19</f>
        <v>A24.0543</v>
      </c>
      <c r="C258" s="86" t="str">
        <f>'Giá tháng'!C$19</f>
        <v>Que hàn</v>
      </c>
      <c r="D258" s="85" t="str">
        <f>'Giá tháng'!D$19</f>
        <v>kg</v>
      </c>
      <c r="E258" s="135">
        <f>HaoPhiVatTu!F$85</f>
        <v>3.26</v>
      </c>
      <c r="F258" s="114">
        <f>'Tổng hợp VT'!O$23</f>
        <v>25000</v>
      </c>
      <c r="G258" s="136">
        <f>'Giá tháng'!G$19</f>
        <v>1</v>
      </c>
      <c r="H258" s="114">
        <f>E258*F258*G258</f>
        <v>81500</v>
      </c>
    </row>
    <row r="259" spans="1:8" x14ac:dyDescent="0.15">
      <c r="A259" s="276"/>
      <c r="B259" s="85" t="s">
        <v>478</v>
      </c>
      <c r="C259" s="86" t="s">
        <v>479</v>
      </c>
      <c r="D259" s="85" t="s">
        <v>480</v>
      </c>
      <c r="E259" s="135">
        <f>HaoPhiVatTu!F$86</f>
        <v>5</v>
      </c>
      <c r="F259" s="114">
        <f>SUM(H256:H258)</f>
        <v>1657504</v>
      </c>
      <c r="G259" s="85"/>
      <c r="H259" s="114">
        <f>E259*F259/100</f>
        <v>82875.199999999997</v>
      </c>
    </row>
    <row r="260" spans="1:8" x14ac:dyDescent="0.15">
      <c r="A260" s="276"/>
      <c r="B260" s="85"/>
      <c r="C260" s="86" t="s">
        <v>586</v>
      </c>
      <c r="D260" s="85"/>
      <c r="E260" s="86"/>
      <c r="F260" s="114"/>
      <c r="G260" s="85"/>
      <c r="H260" s="114">
        <f>SUM(H256:H259)</f>
        <v>1740379.2</v>
      </c>
    </row>
    <row r="261" spans="1:8" x14ac:dyDescent="0.15">
      <c r="A261" s="274"/>
      <c r="B261" s="146"/>
      <c r="C261" s="145" t="s">
        <v>481</v>
      </c>
      <c r="D261" s="146"/>
      <c r="E261" s="145"/>
      <c r="F261" s="275"/>
      <c r="G261" s="146"/>
      <c r="H261" s="275">
        <f>H262</f>
        <v>3836700</v>
      </c>
    </row>
    <row r="262" spans="1:8" ht="30" x14ac:dyDescent="0.15">
      <c r="A262" s="276"/>
      <c r="B262" s="85" t="str">
        <f>'Giá tháng'!B$30</f>
        <v>N2.40</v>
      </c>
      <c r="C262" s="86" t="str">
        <f>'Giá tháng'!C$30</f>
        <v>Nhân công 4,0/7 - Nhóm 2</v>
      </c>
      <c r="D262" s="85" t="str">
        <f>'Giá tháng'!D$30</f>
        <v>công</v>
      </c>
      <c r="E262" s="135">
        <f>HaoPhiVatTu!F$88</f>
        <v>12.25</v>
      </c>
      <c r="F262" s="114">
        <f>'Tổng hợp VT'!O$37</f>
        <v>313200</v>
      </c>
      <c r="G262" s="136">
        <f>'Giá tháng'!G$30</f>
        <v>1</v>
      </c>
      <c r="H262" s="114">
        <f>E262*F262*G262</f>
        <v>3836700</v>
      </c>
    </row>
    <row r="263" spans="1:8" x14ac:dyDescent="0.15">
      <c r="A263" s="274"/>
      <c r="B263" s="146"/>
      <c r="C263" s="145" t="s">
        <v>482</v>
      </c>
      <c r="D263" s="146"/>
      <c r="E263" s="145"/>
      <c r="F263" s="275"/>
      <c r="G263" s="146"/>
      <c r="H263" s="275">
        <f>H266</f>
        <v>374276.45399999997</v>
      </c>
    </row>
    <row r="264" spans="1:8" ht="30" x14ac:dyDescent="0.15">
      <c r="A264" s="276"/>
      <c r="B264" s="85" t="str">
        <f>'Giá tháng'!B$45</f>
        <v>M112.4003</v>
      </c>
      <c r="C264" s="86" t="str">
        <f>'Giá tháng'!C$45</f>
        <v>Máy hàn xoay chiều - công suất : 23,0 kW</v>
      </c>
      <c r="D264" s="85" t="str">
        <f>'Giá tháng'!D$45</f>
        <v>ca</v>
      </c>
      <c r="E264" s="135">
        <f>HaoPhiVatTu!F$90</f>
        <v>0.82</v>
      </c>
      <c r="F264" s="114">
        <f>'Tổng hợp VT'!O$55</f>
        <v>447485</v>
      </c>
      <c r="G264" s="136">
        <f>'Giá tháng'!G$45</f>
        <v>1</v>
      </c>
      <c r="H264" s="114">
        <f>E264*F264*G264</f>
        <v>366937.69999999995</v>
      </c>
    </row>
    <row r="265" spans="1:8" x14ac:dyDescent="0.15">
      <c r="A265" s="276"/>
      <c r="B265" s="85" t="s">
        <v>483</v>
      </c>
      <c r="C265" s="86" t="s">
        <v>484</v>
      </c>
      <c r="D265" s="85" t="s">
        <v>480</v>
      </c>
      <c r="E265" s="135">
        <f>HaoPhiVatTu!F$91</f>
        <v>2</v>
      </c>
      <c r="F265" s="114">
        <f>SUM(H264:H264)</f>
        <v>366937.69999999995</v>
      </c>
      <c r="G265" s="85"/>
      <c r="H265" s="114">
        <f>E265*F265/100</f>
        <v>7338.753999999999</v>
      </c>
    </row>
    <row r="266" spans="1:8" x14ac:dyDescent="0.15">
      <c r="A266" s="276"/>
      <c r="B266" s="85"/>
      <c r="C266" s="86" t="s">
        <v>586</v>
      </c>
      <c r="D266" s="85"/>
      <c r="E266" s="86"/>
      <c r="F266" s="114"/>
      <c r="G266" s="85"/>
      <c r="H266" s="114">
        <f>SUM(H264:H265)</f>
        <v>374276.45399999997</v>
      </c>
    </row>
    <row r="267" spans="1:8" ht="30" x14ac:dyDescent="0.15">
      <c r="A267" s="277"/>
      <c r="B267" s="122"/>
      <c r="C267" s="123" t="s">
        <v>923</v>
      </c>
      <c r="D267" s="122" t="s">
        <v>606</v>
      </c>
      <c r="E267" s="278"/>
      <c r="F267" s="126"/>
      <c r="G267" s="122"/>
      <c r="H267" s="126">
        <f>H255+H261+H263</f>
        <v>5951355.6540000001</v>
      </c>
    </row>
    <row r="268" spans="1:8" x14ac:dyDescent="0.15">
      <c r="A268" s="276"/>
      <c r="B268" s="85"/>
      <c r="C268" s="86" t="s">
        <v>608</v>
      </c>
      <c r="D268" s="85" t="str">
        <f>""</f>
        <v/>
      </c>
      <c r="E268" s="279"/>
      <c r="F268" s="114"/>
      <c r="G268" s="85"/>
      <c r="H268" s="114"/>
    </row>
    <row r="269" spans="1:8" x14ac:dyDescent="0.15">
      <c r="A269" s="276"/>
      <c r="B269" s="85"/>
      <c r="C269" s="86" t="str">
        <f>"Chi phí chung (T x "&amp;HSXL!C$14&amp;")"</f>
        <v>Chi phí chung (T x 5,5%)</v>
      </c>
      <c r="D269" s="85" t="s">
        <v>603</v>
      </c>
      <c r="E269" s="279" t="str">
        <f>HSXL!C$14</f>
        <v>5,5%</v>
      </c>
      <c r="F269" s="114"/>
      <c r="G269" s="85"/>
      <c r="H269" s="114">
        <f>H267*HSXL!D$14</f>
        <v>327324.56096999999</v>
      </c>
    </row>
    <row r="270" spans="1:8" ht="45" x14ac:dyDescent="0.15">
      <c r="A270" s="276"/>
      <c r="B270" s="85"/>
      <c r="C270" s="86" t="str">
        <f>"Chi phí nhà tạm để ở và điều hành thi công (T x "&amp;HSXL!C$18&amp;")"</f>
        <v>Chi phí nhà tạm để ở và điều hành thi công (T x 1,1%)</v>
      </c>
      <c r="D270" s="85" t="s">
        <v>611</v>
      </c>
      <c r="E270" s="279" t="str">
        <f>HSXL!C$18</f>
        <v>1,1%</v>
      </c>
      <c r="F270" s="114"/>
      <c r="G270" s="85"/>
      <c r="H270" s="114">
        <f>H267*HSXL!D$18</f>
        <v>65464.912193999997</v>
      </c>
    </row>
    <row r="271" spans="1:8" ht="60" x14ac:dyDescent="0.15">
      <c r="A271" s="276"/>
      <c r="B271" s="85"/>
      <c r="C271" s="86" t="str">
        <f>"Chi phí một số công việc không xác định được khối lượng từ thiết kế (T x "&amp;HSXL!C$13&amp;")"</f>
        <v>Chi phí một số công việc không xác định được khối lượng từ thiết kế (T x 2%)</v>
      </c>
      <c r="D271" s="85" t="s">
        <v>42</v>
      </c>
      <c r="E271" s="279" t="str">
        <f>HSXL!C$13</f>
        <v>2%</v>
      </c>
      <c r="F271" s="114"/>
      <c r="G271" s="85"/>
      <c r="H271" s="114">
        <f>H267*HSXL!D$13</f>
        <v>119027.11308000001</v>
      </c>
    </row>
    <row r="272" spans="1:8" ht="30" x14ac:dyDescent="0.15">
      <c r="A272" s="277"/>
      <c r="B272" s="122"/>
      <c r="C272" s="123" t="s">
        <v>924</v>
      </c>
      <c r="D272" s="122" t="s">
        <v>614</v>
      </c>
      <c r="E272" s="278"/>
      <c r="F272" s="126"/>
      <c r="G272" s="122"/>
      <c r="H272" s="126">
        <f>SUM(H269:H271)</f>
        <v>511816.58624400001</v>
      </c>
    </row>
    <row r="273" spans="1:8" ht="45" x14ac:dyDescent="0.15">
      <c r="A273" s="276"/>
      <c r="B273" s="85"/>
      <c r="C273" s="86" t="str">
        <f>"THU NHẬP CHỊU THUẾ TÍNH TRƯỚC (T+GT) x "&amp;HSXL!C$16</f>
        <v>THU NHẬP CHỊU THUẾ TÍNH TRƯỚC (T+GT) x 5,5%</v>
      </c>
      <c r="D273" s="85" t="s">
        <v>617</v>
      </c>
      <c r="E273" s="279" t="str">
        <f>HSXL!C$16</f>
        <v>5,5%</v>
      </c>
      <c r="F273" s="114"/>
      <c r="G273" s="85"/>
      <c r="H273" s="114">
        <f>(H267+H272)*HSXL!D$16</f>
        <v>355474.47321342002</v>
      </c>
    </row>
    <row r="274" spans="1:8" ht="30" x14ac:dyDescent="0.15">
      <c r="A274" s="276"/>
      <c r="B274" s="85"/>
      <c r="C274" s="86" t="s">
        <v>925</v>
      </c>
      <c r="D274" s="85" t="s">
        <v>619</v>
      </c>
      <c r="E274" s="279"/>
      <c r="F274" s="114"/>
      <c r="G274" s="85"/>
      <c r="H274" s="114">
        <f>H267+H272+H273</f>
        <v>6818646.7134574205</v>
      </c>
    </row>
    <row r="275" spans="1:8" ht="30" x14ac:dyDescent="0.15">
      <c r="A275" s="276"/>
      <c r="B275" s="85"/>
      <c r="C275" s="86" t="str">
        <f>"THUẾ GIÁ TRỊ GIA TĂNG (G x "&amp;HSXL!C$17&amp;")"</f>
        <v>THUẾ GIÁ TRỊ GIA TĂNG (G x 8%)</v>
      </c>
      <c r="D275" s="85" t="s">
        <v>623</v>
      </c>
      <c r="E275" s="192">
        <f>HSXL!D$17</f>
        <v>0.08</v>
      </c>
      <c r="F275" s="114"/>
      <c r="G275" s="85"/>
      <c r="H275" s="114">
        <f>E275*H274</f>
        <v>545491.73707659368</v>
      </c>
    </row>
    <row r="276" spans="1:8" ht="30" x14ac:dyDescent="0.15">
      <c r="A276" s="280"/>
      <c r="B276" s="281"/>
      <c r="C276" s="282" t="s">
        <v>926</v>
      </c>
      <c r="D276" s="281" t="s">
        <v>626</v>
      </c>
      <c r="E276" s="283"/>
      <c r="F276" s="284"/>
      <c r="G276" s="281"/>
      <c r="H276" s="285">
        <f>H274+H275</f>
        <v>7364138.450534014</v>
      </c>
    </row>
    <row r="277" spans="1:8" ht="75" x14ac:dyDescent="0.15">
      <c r="A277" s="141">
        <f>'Công trình'!A63</f>
        <v>17</v>
      </c>
      <c r="B277" s="122" t="str">
        <f>'Công trình'!E63</f>
        <v>AF.11211A</v>
      </c>
      <c r="C277" s="123" t="str">
        <f>'Công trình'!F63</f>
        <v>Đổ bê tông thủ công bằng máy trộn, bê tông móng, chiều rộng &lt;= 250 cm, đá 1x2, mác 100, PCB30</v>
      </c>
      <c r="D277" s="122" t="str">
        <f>'Công trình'!G63</f>
        <v>m3</v>
      </c>
      <c r="E277" s="123">
        <v>1</v>
      </c>
      <c r="F277" s="126"/>
      <c r="G277" s="122"/>
      <c r="H277" s="126"/>
    </row>
    <row r="278" spans="1:8" x14ac:dyDescent="0.15">
      <c r="A278" s="274"/>
      <c r="B278" s="146"/>
      <c r="C278" s="145" t="s">
        <v>477</v>
      </c>
      <c r="D278" s="146"/>
      <c r="E278" s="145"/>
      <c r="F278" s="275"/>
      <c r="G278" s="146"/>
      <c r="H278" s="275">
        <f>H284</f>
        <v>1211123.44625</v>
      </c>
    </row>
    <row r="279" spans="1:8" ht="30" x14ac:dyDescent="0.15">
      <c r="A279" s="276"/>
      <c r="B279" s="85" t="str">
        <f>'Giá tháng'!B$25</f>
        <v>A24.0797A</v>
      </c>
      <c r="C279" s="86" t="str">
        <f>'Giá tháng'!C$25</f>
        <v>Xi măng PCB30</v>
      </c>
      <c r="D279" s="85" t="str">
        <f>'Giá tháng'!D$25</f>
        <v>kg</v>
      </c>
      <c r="E279" s="135">
        <f>HaoPhiVatTu!F$94</f>
        <v>222.42500000000001</v>
      </c>
      <c r="F279" s="114">
        <f>'Tổng hợp VT'!O$29</f>
        <v>1597</v>
      </c>
      <c r="G279" s="136">
        <f>'Giá tháng'!G$25</f>
        <v>1</v>
      </c>
      <c r="H279" s="114">
        <f>E279*F279*G279</f>
        <v>355212.72500000003</v>
      </c>
    </row>
    <row r="280" spans="1:8" ht="30" x14ac:dyDescent="0.15">
      <c r="A280" s="276"/>
      <c r="B280" s="85" t="str">
        <f>'Giá tháng'!B$7</f>
        <v>A24.0180</v>
      </c>
      <c r="C280" s="86" t="str">
        <f>'Giá tháng'!C$7</f>
        <v>Cát vàng</v>
      </c>
      <c r="D280" s="85" t="str">
        <f>'Giá tháng'!D$7</f>
        <v>m3</v>
      </c>
      <c r="E280" s="135">
        <f>HaoPhiVatTu!F$95</f>
        <v>0.55247500000000005</v>
      </c>
      <c r="F280" s="114">
        <f>'Tổng hợp VT'!O$11</f>
        <v>750000</v>
      </c>
      <c r="G280" s="136">
        <f>'Giá tháng'!G$7</f>
        <v>1</v>
      </c>
      <c r="H280" s="114">
        <f>E280*F280*G280</f>
        <v>414356.25000000006</v>
      </c>
    </row>
    <row r="281" spans="1:8" ht="30" x14ac:dyDescent="0.15">
      <c r="A281" s="276"/>
      <c r="B281" s="85" t="str">
        <f>'Giá tháng'!B$13</f>
        <v>A24.0008</v>
      </c>
      <c r="C281" s="86" t="str">
        <f>'Giá tháng'!C$13</f>
        <v>Đá 1x2</v>
      </c>
      <c r="D281" s="85" t="str">
        <f>'Giá tháng'!D$13</f>
        <v>m3</v>
      </c>
      <c r="E281" s="135">
        <f>HaoPhiVatTu!F$96</f>
        <v>0.90917499999999996</v>
      </c>
      <c r="F281" s="114">
        <f>'Tổng hợp VT'!O$17</f>
        <v>470000</v>
      </c>
      <c r="G281" s="136">
        <f>'Giá tháng'!G$13</f>
        <v>1</v>
      </c>
      <c r="H281" s="114">
        <f>E281*F281*G281</f>
        <v>427312.25</v>
      </c>
    </row>
    <row r="282" spans="1:8" ht="30" x14ac:dyDescent="0.15">
      <c r="A282" s="276"/>
      <c r="B282" s="85" t="str">
        <f>'Giá tháng'!B$15</f>
        <v>A24.0524</v>
      </c>
      <c r="C282" s="86" t="str">
        <f>'Giá tháng'!C$15</f>
        <v>Nước</v>
      </c>
      <c r="D282" s="85" t="str">
        <f>'Giá tháng'!D$15</f>
        <v>lít</v>
      </c>
      <c r="E282" s="135">
        <f>HaoPhiVatTu!F$97</f>
        <v>187.57499999999999</v>
      </c>
      <c r="F282" s="114">
        <f>'Tổng hợp VT'!O$19</f>
        <v>12</v>
      </c>
      <c r="G282" s="136">
        <f>'Giá tháng'!G$15</f>
        <v>1</v>
      </c>
      <c r="H282" s="114">
        <f>E282*F282*G282</f>
        <v>2250.8999999999996</v>
      </c>
    </row>
    <row r="283" spans="1:8" x14ac:dyDescent="0.15">
      <c r="A283" s="276"/>
      <c r="B283" s="85" t="s">
        <v>478</v>
      </c>
      <c r="C283" s="86" t="s">
        <v>479</v>
      </c>
      <c r="D283" s="85" t="s">
        <v>480</v>
      </c>
      <c r="E283" s="135">
        <f>HaoPhiVatTu!F$98</f>
        <v>1</v>
      </c>
      <c r="F283" s="114">
        <f>SUM(H279:H282)</f>
        <v>1199132.125</v>
      </c>
      <c r="G283" s="85"/>
      <c r="H283" s="114">
        <f>E283*F283/100</f>
        <v>11991.321250000001</v>
      </c>
    </row>
    <row r="284" spans="1:8" x14ac:dyDescent="0.15">
      <c r="A284" s="276"/>
      <c r="B284" s="85"/>
      <c r="C284" s="86" t="s">
        <v>586</v>
      </c>
      <c r="D284" s="85"/>
      <c r="E284" s="86"/>
      <c r="F284" s="114"/>
      <c r="G284" s="85"/>
      <c r="H284" s="114">
        <f>SUM(H279:H283)</f>
        <v>1211123.44625</v>
      </c>
    </row>
    <row r="285" spans="1:8" x14ac:dyDescent="0.15">
      <c r="A285" s="274"/>
      <c r="B285" s="146"/>
      <c r="C285" s="145" t="s">
        <v>481</v>
      </c>
      <c r="D285" s="146"/>
      <c r="E285" s="145"/>
      <c r="F285" s="275"/>
      <c r="G285" s="146"/>
      <c r="H285" s="275">
        <f>H286</f>
        <v>324474</v>
      </c>
    </row>
    <row r="286" spans="1:8" ht="30" x14ac:dyDescent="0.15">
      <c r="A286" s="276"/>
      <c r="B286" s="85" t="str">
        <f>'Giá tháng'!B$28</f>
        <v>N2.30</v>
      </c>
      <c r="C286" s="86" t="str">
        <f>'Giá tháng'!C$28</f>
        <v>Nhân công 3,0/7 - Nhóm 2</v>
      </c>
      <c r="D286" s="85" t="str">
        <f>'Giá tháng'!D$28</f>
        <v>công</v>
      </c>
      <c r="E286" s="135">
        <f>HaoPhiVatTu!F$100</f>
        <v>1.23</v>
      </c>
      <c r="F286" s="114">
        <f>'Tổng hợp VT'!O$35</f>
        <v>263800</v>
      </c>
      <c r="G286" s="136">
        <f>'Giá tháng'!G$28</f>
        <v>1</v>
      </c>
      <c r="H286" s="114">
        <f>E286*F286*G286</f>
        <v>324474</v>
      </c>
    </row>
    <row r="287" spans="1:8" x14ac:dyDescent="0.15">
      <c r="A287" s="274"/>
      <c r="B287" s="146"/>
      <c r="C287" s="145" t="s">
        <v>482</v>
      </c>
      <c r="D287" s="146"/>
      <c r="E287" s="145"/>
      <c r="F287" s="275"/>
      <c r="G287" s="146"/>
      <c r="H287" s="275">
        <f>H290</f>
        <v>59923.404999999999</v>
      </c>
    </row>
    <row r="288" spans="1:8" ht="30" x14ac:dyDescent="0.15">
      <c r="A288" s="276"/>
      <c r="B288" s="85" t="str">
        <f>'Giá tháng'!B$47</f>
        <v>M104.0102</v>
      </c>
      <c r="C288" s="86" t="str">
        <f>'Giá tháng'!C$47</f>
        <v>Máy trộn bê tông - dung tích : 250,0 lít</v>
      </c>
      <c r="D288" s="85" t="str">
        <f>'Giá tháng'!D$47</f>
        <v>ca</v>
      </c>
      <c r="E288" s="135">
        <f>HaoPhiVatTu!F$102</f>
        <v>9.5000000000000001E-2</v>
      </c>
      <c r="F288" s="114">
        <f>'Tổng hợp VT'!O$57</f>
        <v>347214</v>
      </c>
      <c r="G288" s="136">
        <f>'Giá tháng'!G$47</f>
        <v>1</v>
      </c>
      <c r="H288" s="114">
        <f>E288*F288*G288</f>
        <v>32985.33</v>
      </c>
    </row>
    <row r="289" spans="1:8" ht="30" x14ac:dyDescent="0.15">
      <c r="A289" s="276"/>
      <c r="B289" s="85" t="str">
        <f>'Giá tháng'!B$42</f>
        <v>M112.1301</v>
      </c>
      <c r="C289" s="86" t="str">
        <f>'Giá tháng'!C$42</f>
        <v>Máy đầm bê tông, dầm dùi - công suất : 1,5 kW</v>
      </c>
      <c r="D289" s="85" t="str">
        <f>'Giá tháng'!D$42</f>
        <v>ca</v>
      </c>
      <c r="E289" s="135">
        <f>HaoPhiVatTu!F$103</f>
        <v>8.8999999999999996E-2</v>
      </c>
      <c r="F289" s="114">
        <f>'Tổng hợp VT'!O$52</f>
        <v>302675</v>
      </c>
      <c r="G289" s="136">
        <f>'Giá tháng'!G$42</f>
        <v>1</v>
      </c>
      <c r="H289" s="114">
        <f>E289*F289*G289</f>
        <v>26938.074999999997</v>
      </c>
    </row>
    <row r="290" spans="1:8" x14ac:dyDescent="0.15">
      <c r="A290" s="276"/>
      <c r="B290" s="85"/>
      <c r="C290" s="86" t="s">
        <v>586</v>
      </c>
      <c r="D290" s="85"/>
      <c r="E290" s="86"/>
      <c r="F290" s="114"/>
      <c r="G290" s="85"/>
      <c r="H290" s="114">
        <f>SUM(H288:H289)</f>
        <v>59923.404999999999</v>
      </c>
    </row>
    <row r="291" spans="1:8" ht="30" x14ac:dyDescent="0.15">
      <c r="A291" s="277"/>
      <c r="B291" s="122"/>
      <c r="C291" s="123" t="s">
        <v>923</v>
      </c>
      <c r="D291" s="122" t="s">
        <v>606</v>
      </c>
      <c r="E291" s="278"/>
      <c r="F291" s="126"/>
      <c r="G291" s="122"/>
      <c r="H291" s="126">
        <f>H278+H285+H287</f>
        <v>1595520.8512500001</v>
      </c>
    </row>
    <row r="292" spans="1:8" x14ac:dyDescent="0.15">
      <c r="A292" s="276"/>
      <c r="B292" s="85"/>
      <c r="C292" s="86" t="s">
        <v>608</v>
      </c>
      <c r="D292" s="85" t="str">
        <f>""</f>
        <v/>
      </c>
      <c r="E292" s="279"/>
      <c r="F292" s="114"/>
      <c r="G292" s="85"/>
      <c r="H292" s="114"/>
    </row>
    <row r="293" spans="1:8" x14ac:dyDescent="0.15">
      <c r="A293" s="276"/>
      <c r="B293" s="85"/>
      <c r="C293" s="86" t="str">
        <f>"Chi phí chung (T x "&amp;HSXL!C$14&amp;")"</f>
        <v>Chi phí chung (T x 5,5%)</v>
      </c>
      <c r="D293" s="85" t="s">
        <v>603</v>
      </c>
      <c r="E293" s="279" t="str">
        <f>HSXL!C$14</f>
        <v>5,5%</v>
      </c>
      <c r="F293" s="114"/>
      <c r="G293" s="85"/>
      <c r="H293" s="114">
        <f>H291*HSXL!D$14</f>
        <v>87753.64681875</v>
      </c>
    </row>
    <row r="294" spans="1:8" ht="45" x14ac:dyDescent="0.15">
      <c r="A294" s="276"/>
      <c r="B294" s="85"/>
      <c r="C294" s="86" t="str">
        <f>"Chi phí nhà tạm để ở và điều hành thi công (T x "&amp;HSXL!C$18&amp;")"</f>
        <v>Chi phí nhà tạm để ở và điều hành thi công (T x 1,1%)</v>
      </c>
      <c r="D294" s="85" t="s">
        <v>611</v>
      </c>
      <c r="E294" s="279" t="str">
        <f>HSXL!C$18</f>
        <v>1,1%</v>
      </c>
      <c r="F294" s="114"/>
      <c r="G294" s="85"/>
      <c r="H294" s="114">
        <f>H291*HSXL!D$18</f>
        <v>17550.729363750001</v>
      </c>
    </row>
    <row r="295" spans="1:8" ht="60" x14ac:dyDescent="0.15">
      <c r="A295" s="276"/>
      <c r="B295" s="85"/>
      <c r="C295" s="86" t="str">
        <f>"Chi phí một số công việc không xác định được khối lượng từ thiết kế (T x "&amp;HSXL!C$13&amp;")"</f>
        <v>Chi phí một số công việc không xác định được khối lượng từ thiết kế (T x 2%)</v>
      </c>
      <c r="D295" s="85" t="s">
        <v>42</v>
      </c>
      <c r="E295" s="279" t="str">
        <f>HSXL!C$13</f>
        <v>2%</v>
      </c>
      <c r="F295" s="114"/>
      <c r="G295" s="85"/>
      <c r="H295" s="114">
        <f>H291*HSXL!D$13</f>
        <v>31910.417025000002</v>
      </c>
    </row>
    <row r="296" spans="1:8" ht="30" x14ac:dyDescent="0.15">
      <c r="A296" s="277"/>
      <c r="B296" s="122"/>
      <c r="C296" s="123" t="s">
        <v>924</v>
      </c>
      <c r="D296" s="122" t="s">
        <v>614</v>
      </c>
      <c r="E296" s="278"/>
      <c r="F296" s="126"/>
      <c r="G296" s="122"/>
      <c r="H296" s="126">
        <f>SUM(H293:H295)</f>
        <v>137214.79320750001</v>
      </c>
    </row>
    <row r="297" spans="1:8" ht="45" x14ac:dyDescent="0.15">
      <c r="A297" s="276"/>
      <c r="B297" s="85"/>
      <c r="C297" s="86" t="str">
        <f>"THU NHẬP CHỊU THUẾ TÍNH TRƯỚC (T+GT) x "&amp;HSXL!C$16</f>
        <v>THU NHẬP CHỊU THUẾ TÍNH TRƯỚC (T+GT) x 5,5%</v>
      </c>
      <c r="D297" s="85" t="s">
        <v>617</v>
      </c>
      <c r="E297" s="279" t="str">
        <f>HSXL!C$16</f>
        <v>5,5%</v>
      </c>
      <c r="F297" s="114"/>
      <c r="G297" s="85"/>
      <c r="H297" s="114">
        <f>(H291+H296)*HSXL!D$16</f>
        <v>95300.460445162505</v>
      </c>
    </row>
    <row r="298" spans="1:8" ht="30" x14ac:dyDescent="0.15">
      <c r="A298" s="276"/>
      <c r="B298" s="85"/>
      <c r="C298" s="86" t="s">
        <v>925</v>
      </c>
      <c r="D298" s="85" t="s">
        <v>619</v>
      </c>
      <c r="E298" s="279"/>
      <c r="F298" s="114"/>
      <c r="G298" s="85"/>
      <c r="H298" s="114">
        <f>H291+H296+H297</f>
        <v>1828036.1049026626</v>
      </c>
    </row>
    <row r="299" spans="1:8" ht="30" x14ac:dyDescent="0.15">
      <c r="A299" s="276"/>
      <c r="B299" s="85"/>
      <c r="C299" s="86" t="str">
        <f>"THUẾ GIÁ TRỊ GIA TĂNG (G x "&amp;HSXL!C$17&amp;")"</f>
        <v>THUẾ GIÁ TRỊ GIA TĂNG (G x 8%)</v>
      </c>
      <c r="D299" s="85" t="s">
        <v>623</v>
      </c>
      <c r="E299" s="192">
        <f>HSXL!D$17</f>
        <v>0.08</v>
      </c>
      <c r="F299" s="114"/>
      <c r="G299" s="85"/>
      <c r="H299" s="114">
        <f>E299*H298</f>
        <v>146242.888392213</v>
      </c>
    </row>
    <row r="300" spans="1:8" ht="30" x14ac:dyDescent="0.15">
      <c r="A300" s="280"/>
      <c r="B300" s="281"/>
      <c r="C300" s="282" t="s">
        <v>926</v>
      </c>
      <c r="D300" s="281" t="s">
        <v>626</v>
      </c>
      <c r="E300" s="283"/>
      <c r="F300" s="284"/>
      <c r="G300" s="281"/>
      <c r="H300" s="285">
        <f>H298+H299</f>
        <v>1974278.9932948756</v>
      </c>
    </row>
    <row r="301" spans="1:8" ht="60" x14ac:dyDescent="0.15">
      <c r="A301" s="141">
        <f>'Công trình'!A65</f>
        <v>18</v>
      </c>
      <c r="B301" s="122" t="str">
        <f>'Công trình'!E65</f>
        <v>AF.61120</v>
      </c>
      <c r="C301" s="123" t="str">
        <f>'Công trình'!F65</f>
        <v>Công tác gia công lắp dựng cốt thép. Cốt thép móng, đường kính cốt thép &lt;= 18mm</v>
      </c>
      <c r="D301" s="122" t="str">
        <f>'Công trình'!G65</f>
        <v>tấn</v>
      </c>
      <c r="E301" s="123">
        <v>1</v>
      </c>
      <c r="F301" s="126"/>
      <c r="G301" s="122"/>
      <c r="H301" s="126"/>
    </row>
    <row r="302" spans="1:8" x14ac:dyDescent="0.15">
      <c r="A302" s="274"/>
      <c r="B302" s="146"/>
      <c r="C302" s="145" t="s">
        <v>477</v>
      </c>
      <c r="D302" s="146"/>
      <c r="E302" s="145"/>
      <c r="F302" s="275"/>
      <c r="G302" s="146"/>
      <c r="H302" s="275">
        <f>H306</f>
        <v>15295600</v>
      </c>
    </row>
    <row r="303" spans="1:8" ht="30" x14ac:dyDescent="0.15">
      <c r="A303" s="276"/>
      <c r="B303" s="85" t="str">
        <f>'Giá tháng'!B$23</f>
        <v>A24.0739</v>
      </c>
      <c r="C303" s="86" t="str">
        <f>'Giá tháng'!C$23</f>
        <v>Thép tròn D&lt;=18mm</v>
      </c>
      <c r="D303" s="85" t="str">
        <f>'Giá tháng'!D$23</f>
        <v>kg</v>
      </c>
      <c r="E303" s="135">
        <f>HaoPhiVatTu!F$106</f>
        <v>1020</v>
      </c>
      <c r="F303" s="114">
        <f>'Tổng hợp VT'!O$27</f>
        <v>14700</v>
      </c>
      <c r="G303" s="136">
        <f>'Giá tháng'!G$23</f>
        <v>1</v>
      </c>
      <c r="H303" s="114">
        <f>E303*F303*G303</f>
        <v>14994000</v>
      </c>
    </row>
    <row r="304" spans="1:8" ht="30" x14ac:dyDescent="0.15">
      <c r="A304" s="276"/>
      <c r="B304" s="85" t="str">
        <f>'Giá tháng'!B$12</f>
        <v>A24.0293</v>
      </c>
      <c r="C304" s="86" t="str">
        <f>'Giá tháng'!C$12</f>
        <v>Dây thép</v>
      </c>
      <c r="D304" s="85" t="str">
        <f>'Giá tháng'!D$12</f>
        <v>kg</v>
      </c>
      <c r="E304" s="135">
        <f>HaoPhiVatTu!F$107</f>
        <v>9.2799999999999994</v>
      </c>
      <c r="F304" s="114">
        <f>'Tổng hợp VT'!O$16</f>
        <v>20000</v>
      </c>
      <c r="G304" s="136">
        <f>'Giá tháng'!G$12</f>
        <v>1</v>
      </c>
      <c r="H304" s="114">
        <f>E304*F304*G304</f>
        <v>185600</v>
      </c>
    </row>
    <row r="305" spans="1:8" ht="30" x14ac:dyDescent="0.15">
      <c r="A305" s="276"/>
      <c r="B305" s="85" t="str">
        <f>'Giá tháng'!B$19</f>
        <v>A24.0543</v>
      </c>
      <c r="C305" s="86" t="str">
        <f>'Giá tháng'!C$19</f>
        <v>Que hàn</v>
      </c>
      <c r="D305" s="85" t="str">
        <f>'Giá tháng'!D$19</f>
        <v>kg</v>
      </c>
      <c r="E305" s="135">
        <f>HaoPhiVatTu!F$108</f>
        <v>4.6399999999999997</v>
      </c>
      <c r="F305" s="114">
        <f>'Tổng hợp VT'!O$23</f>
        <v>25000</v>
      </c>
      <c r="G305" s="136">
        <f>'Giá tháng'!G$19</f>
        <v>1</v>
      </c>
      <c r="H305" s="114">
        <f>E305*F305*G305</f>
        <v>115999.99999999999</v>
      </c>
    </row>
    <row r="306" spans="1:8" x14ac:dyDescent="0.15">
      <c r="A306" s="276"/>
      <c r="B306" s="85"/>
      <c r="C306" s="86" t="s">
        <v>586</v>
      </c>
      <c r="D306" s="85"/>
      <c r="E306" s="86"/>
      <c r="F306" s="114"/>
      <c r="G306" s="85"/>
      <c r="H306" s="114">
        <f>SUM(H303:H305)</f>
        <v>15295600</v>
      </c>
    </row>
    <row r="307" spans="1:8" x14ac:dyDescent="0.15">
      <c r="A307" s="274"/>
      <c r="B307" s="146"/>
      <c r="C307" s="145" t="s">
        <v>481</v>
      </c>
      <c r="D307" s="146"/>
      <c r="E307" s="145"/>
      <c r="F307" s="275"/>
      <c r="G307" s="146"/>
      <c r="H307" s="275">
        <f>H308</f>
        <v>2212795</v>
      </c>
    </row>
    <row r="308" spans="1:8" ht="30" x14ac:dyDescent="0.15">
      <c r="A308" s="276"/>
      <c r="B308" s="85" t="str">
        <f>'Giá tháng'!B$29</f>
        <v>N2.35</v>
      </c>
      <c r="C308" s="86" t="str">
        <f>'Giá tháng'!C$29</f>
        <v>Nhân công 3,5/7 - Nhóm 2</v>
      </c>
      <c r="D308" s="85" t="str">
        <f>'Giá tháng'!D$29</f>
        <v>công</v>
      </c>
      <c r="E308" s="135">
        <f>HaoPhiVatTu!F$110</f>
        <v>7.67</v>
      </c>
      <c r="F308" s="114">
        <f>'Tổng hợp VT'!O$36</f>
        <v>288500</v>
      </c>
      <c r="G308" s="136">
        <f>'Giá tháng'!G$29</f>
        <v>1</v>
      </c>
      <c r="H308" s="114">
        <f>E308*F308*G308</f>
        <v>2212795</v>
      </c>
    </row>
    <row r="309" spans="1:8" x14ac:dyDescent="0.15">
      <c r="A309" s="274"/>
      <c r="B309" s="146"/>
      <c r="C309" s="145" t="s">
        <v>482</v>
      </c>
      <c r="D309" s="146"/>
      <c r="E309" s="145"/>
      <c r="F309" s="275"/>
      <c r="G309" s="146"/>
      <c r="H309" s="275">
        <f>H312</f>
        <v>599562.72000000009</v>
      </c>
    </row>
    <row r="310" spans="1:8" ht="30" x14ac:dyDescent="0.15">
      <c r="A310" s="276"/>
      <c r="B310" s="85" t="str">
        <f>'Giá tháng'!B$45</f>
        <v>M112.4003</v>
      </c>
      <c r="C310" s="86" t="str">
        <f>'Giá tháng'!C$45</f>
        <v>Máy hàn xoay chiều - công suất : 23,0 kW</v>
      </c>
      <c r="D310" s="85" t="str">
        <f>'Giá tháng'!D$45</f>
        <v>ca</v>
      </c>
      <c r="E310" s="135">
        <f>HaoPhiVatTu!F$112</f>
        <v>1.1200000000000001</v>
      </c>
      <c r="F310" s="114">
        <f>'Tổng hợp VT'!O$55</f>
        <v>447485</v>
      </c>
      <c r="G310" s="136">
        <f>'Giá tháng'!G$45</f>
        <v>1</v>
      </c>
      <c r="H310" s="114">
        <f>E310*F310*G310</f>
        <v>501183.20000000007</v>
      </c>
    </row>
    <row r="311" spans="1:8" ht="30" x14ac:dyDescent="0.15">
      <c r="A311" s="276"/>
      <c r="B311" s="85" t="str">
        <f>'Giá tháng'!B$38</f>
        <v>M112.2601</v>
      </c>
      <c r="C311" s="86" t="str">
        <f>'Giá tháng'!C$38</f>
        <v>Máy cắt uốn cốt thép - công suất : 5,0 kW</v>
      </c>
      <c r="D311" s="85" t="str">
        <f>'Giá tháng'!D$38</f>
        <v>ca</v>
      </c>
      <c r="E311" s="135">
        <f>HaoPhiVatTu!F$113</f>
        <v>0.32</v>
      </c>
      <c r="F311" s="114">
        <f>'Tổng hợp VT'!O$48</f>
        <v>307436</v>
      </c>
      <c r="G311" s="136">
        <f>'Giá tháng'!G$38</f>
        <v>1</v>
      </c>
      <c r="H311" s="114">
        <f>E311*F311*G311</f>
        <v>98379.520000000004</v>
      </c>
    </row>
    <row r="312" spans="1:8" x14ac:dyDescent="0.15">
      <c r="A312" s="276"/>
      <c r="B312" s="85"/>
      <c r="C312" s="86" t="s">
        <v>586</v>
      </c>
      <c r="D312" s="85"/>
      <c r="E312" s="86"/>
      <c r="F312" s="114"/>
      <c r="G312" s="85"/>
      <c r="H312" s="114">
        <f>SUM(H310:H311)</f>
        <v>599562.72000000009</v>
      </c>
    </row>
    <row r="313" spans="1:8" ht="30" x14ac:dyDescent="0.15">
      <c r="A313" s="277"/>
      <c r="B313" s="122"/>
      <c r="C313" s="123" t="s">
        <v>923</v>
      </c>
      <c r="D313" s="122" t="s">
        <v>606</v>
      </c>
      <c r="E313" s="278"/>
      <c r="F313" s="126"/>
      <c r="G313" s="122"/>
      <c r="H313" s="126">
        <f>H302+H307+H309</f>
        <v>18107957.719999999</v>
      </c>
    </row>
    <row r="314" spans="1:8" x14ac:dyDescent="0.15">
      <c r="A314" s="276"/>
      <c r="B314" s="85"/>
      <c r="C314" s="86" t="s">
        <v>608</v>
      </c>
      <c r="D314" s="85" t="str">
        <f>""</f>
        <v/>
      </c>
      <c r="E314" s="279"/>
      <c r="F314" s="114"/>
      <c r="G314" s="85"/>
      <c r="H314" s="114"/>
    </row>
    <row r="315" spans="1:8" x14ac:dyDescent="0.15">
      <c r="A315" s="276"/>
      <c r="B315" s="85"/>
      <c r="C315" s="86" t="str">
        <f>"Chi phí chung (T x "&amp;HSXL!C$14&amp;")"</f>
        <v>Chi phí chung (T x 5,5%)</v>
      </c>
      <c r="D315" s="85" t="s">
        <v>603</v>
      </c>
      <c r="E315" s="279" t="str">
        <f>HSXL!C$14</f>
        <v>5,5%</v>
      </c>
      <c r="F315" s="114"/>
      <c r="G315" s="85"/>
      <c r="H315" s="114">
        <f>H313*HSXL!D$14</f>
        <v>995937.67459999991</v>
      </c>
    </row>
    <row r="316" spans="1:8" ht="45" x14ac:dyDescent="0.15">
      <c r="A316" s="276"/>
      <c r="B316" s="85"/>
      <c r="C316" s="86" t="str">
        <f>"Chi phí nhà tạm để ở và điều hành thi công (T x "&amp;HSXL!C$18&amp;")"</f>
        <v>Chi phí nhà tạm để ở và điều hành thi công (T x 1,1%)</v>
      </c>
      <c r="D316" s="85" t="s">
        <v>611</v>
      </c>
      <c r="E316" s="279" t="str">
        <f>HSXL!C$18</f>
        <v>1,1%</v>
      </c>
      <c r="F316" s="114"/>
      <c r="G316" s="85"/>
      <c r="H316" s="114">
        <f>H313*HSXL!D$18</f>
        <v>199187.53491999998</v>
      </c>
    </row>
    <row r="317" spans="1:8" ht="60" x14ac:dyDescent="0.15">
      <c r="A317" s="276"/>
      <c r="B317" s="85"/>
      <c r="C317" s="86" t="str">
        <f>"Chi phí một số công việc không xác định được khối lượng từ thiết kế (T x "&amp;HSXL!C$13&amp;")"</f>
        <v>Chi phí một số công việc không xác định được khối lượng từ thiết kế (T x 2%)</v>
      </c>
      <c r="D317" s="85" t="s">
        <v>42</v>
      </c>
      <c r="E317" s="279" t="str">
        <f>HSXL!C$13</f>
        <v>2%</v>
      </c>
      <c r="F317" s="114"/>
      <c r="G317" s="85"/>
      <c r="H317" s="114">
        <f>H313*HSXL!D$13</f>
        <v>362159.1544</v>
      </c>
    </row>
    <row r="318" spans="1:8" ht="30" x14ac:dyDescent="0.15">
      <c r="A318" s="277"/>
      <c r="B318" s="122"/>
      <c r="C318" s="123" t="s">
        <v>924</v>
      </c>
      <c r="D318" s="122" t="s">
        <v>614</v>
      </c>
      <c r="E318" s="278"/>
      <c r="F318" s="126"/>
      <c r="G318" s="122"/>
      <c r="H318" s="126">
        <f>SUM(H315:H317)</f>
        <v>1557284.3639199999</v>
      </c>
    </row>
    <row r="319" spans="1:8" ht="45" x14ac:dyDescent="0.15">
      <c r="A319" s="276"/>
      <c r="B319" s="85"/>
      <c r="C319" s="86" t="str">
        <f>"THU NHẬP CHỊU THUẾ TÍNH TRƯỚC (T+GT) x "&amp;HSXL!C$16</f>
        <v>THU NHẬP CHỊU THUẾ TÍNH TRƯỚC (T+GT) x 5,5%</v>
      </c>
      <c r="D319" s="85" t="s">
        <v>617</v>
      </c>
      <c r="E319" s="279" t="str">
        <f>HSXL!C$16</f>
        <v>5,5%</v>
      </c>
      <c r="F319" s="114"/>
      <c r="G319" s="85"/>
      <c r="H319" s="114">
        <f>(H313+H318)*HSXL!D$16</f>
        <v>1081588.3146155998</v>
      </c>
    </row>
    <row r="320" spans="1:8" ht="30" x14ac:dyDescent="0.15">
      <c r="A320" s="276"/>
      <c r="B320" s="85"/>
      <c r="C320" s="86" t="s">
        <v>925</v>
      </c>
      <c r="D320" s="85" t="s">
        <v>619</v>
      </c>
      <c r="E320" s="279"/>
      <c r="F320" s="114"/>
      <c r="G320" s="85"/>
      <c r="H320" s="114">
        <f>H313+H318+H319</f>
        <v>20746830.398535598</v>
      </c>
    </row>
    <row r="321" spans="1:8" ht="30" x14ac:dyDescent="0.15">
      <c r="A321" s="276"/>
      <c r="B321" s="85"/>
      <c r="C321" s="86" t="str">
        <f>"THUẾ GIÁ TRỊ GIA TĂNG (G x "&amp;HSXL!C$17&amp;")"</f>
        <v>THUẾ GIÁ TRỊ GIA TĂNG (G x 8%)</v>
      </c>
      <c r="D321" s="85" t="s">
        <v>623</v>
      </c>
      <c r="E321" s="192">
        <f>HSXL!D$17</f>
        <v>0.08</v>
      </c>
      <c r="F321" s="114"/>
      <c r="G321" s="85"/>
      <c r="H321" s="114">
        <f>E321*H320</f>
        <v>1659746.4318828478</v>
      </c>
    </row>
    <row r="322" spans="1:8" ht="30" x14ac:dyDescent="0.15">
      <c r="A322" s="280"/>
      <c r="B322" s="281"/>
      <c r="C322" s="282" t="s">
        <v>926</v>
      </c>
      <c r="D322" s="281" t="s">
        <v>626</v>
      </c>
      <c r="E322" s="283"/>
      <c r="F322" s="284"/>
      <c r="G322" s="281"/>
      <c r="H322" s="285">
        <f>H320+H321</f>
        <v>22406576.830418445</v>
      </c>
    </row>
    <row r="323" spans="1:8" ht="30" x14ac:dyDescent="0.15">
      <c r="A323" s="141">
        <f>'Công trình'!A67</f>
        <v>19</v>
      </c>
      <c r="B323" s="122" t="str">
        <f>'Công trình'!E67</f>
        <v>AF.82511</v>
      </c>
      <c r="C323" s="123" t="str">
        <f>'Công trình'!F67</f>
        <v>Ván khuôn thép. Ván khuôn móng dài</v>
      </c>
      <c r="D323" s="122" t="str">
        <f>'Công trình'!G67</f>
        <v>100m2</v>
      </c>
      <c r="E323" s="123">
        <v>1</v>
      </c>
      <c r="F323" s="126"/>
      <c r="G323" s="122"/>
      <c r="H323" s="126"/>
    </row>
    <row r="324" spans="1:8" x14ac:dyDescent="0.15">
      <c r="A324" s="274"/>
      <c r="B324" s="146"/>
      <c r="C324" s="145" t="s">
        <v>477</v>
      </c>
      <c r="D324" s="146"/>
      <c r="E324" s="145"/>
      <c r="F324" s="275"/>
      <c r="G324" s="146"/>
      <c r="H324" s="275">
        <f>H329</f>
        <v>1740379.2</v>
      </c>
    </row>
    <row r="325" spans="1:8" ht="30" x14ac:dyDescent="0.15">
      <c r="A325" s="276"/>
      <c r="B325" s="85" t="str">
        <f>'Giá tháng'!B$21</f>
        <v>A24.0726</v>
      </c>
      <c r="C325" s="86" t="str">
        <f>'Giá tháng'!C$21</f>
        <v>Thép tấm</v>
      </c>
      <c r="D325" s="85" t="str">
        <f>'Giá tháng'!D$21</f>
        <v>kg</v>
      </c>
      <c r="E325" s="135">
        <f>HaoPhiVatTu!F$116</f>
        <v>51.81</v>
      </c>
      <c r="F325" s="114">
        <f>'Tổng hợp VT'!O$25</f>
        <v>18800</v>
      </c>
      <c r="G325" s="136">
        <f>'Giá tháng'!G$21</f>
        <v>1</v>
      </c>
      <c r="H325" s="114">
        <f>E325*F325*G325</f>
        <v>974028</v>
      </c>
    </row>
    <row r="326" spans="1:8" ht="30" x14ac:dyDescent="0.15">
      <c r="A326" s="276"/>
      <c r="B326" s="85" t="str">
        <f>'Giá tháng'!B$20</f>
        <v>A24.0712</v>
      </c>
      <c r="C326" s="86" t="str">
        <f>'Giá tháng'!C$20</f>
        <v>Thép hình</v>
      </c>
      <c r="D326" s="85" t="str">
        <f>'Giá tháng'!D$20</f>
        <v>kg</v>
      </c>
      <c r="E326" s="135">
        <f>HaoPhiVatTu!F$117</f>
        <v>32.020000000000003</v>
      </c>
      <c r="F326" s="114">
        <f>'Tổng hợp VT'!O$24</f>
        <v>18800</v>
      </c>
      <c r="G326" s="136">
        <f>'Giá tháng'!G$20</f>
        <v>1</v>
      </c>
      <c r="H326" s="114">
        <f>E326*F326*G326</f>
        <v>601976.00000000012</v>
      </c>
    </row>
    <row r="327" spans="1:8" ht="30" x14ac:dyDescent="0.15">
      <c r="A327" s="276"/>
      <c r="B327" s="85" t="str">
        <f>'Giá tháng'!B$19</f>
        <v>A24.0543</v>
      </c>
      <c r="C327" s="86" t="str">
        <f>'Giá tháng'!C$19</f>
        <v>Que hàn</v>
      </c>
      <c r="D327" s="85" t="str">
        <f>'Giá tháng'!D$19</f>
        <v>kg</v>
      </c>
      <c r="E327" s="135">
        <f>HaoPhiVatTu!F$118</f>
        <v>3.26</v>
      </c>
      <c r="F327" s="114">
        <f>'Tổng hợp VT'!O$23</f>
        <v>25000</v>
      </c>
      <c r="G327" s="136">
        <f>'Giá tháng'!G$19</f>
        <v>1</v>
      </c>
      <c r="H327" s="114">
        <f>E327*F327*G327</f>
        <v>81500</v>
      </c>
    </row>
    <row r="328" spans="1:8" x14ac:dyDescent="0.15">
      <c r="A328" s="276"/>
      <c r="B328" s="85" t="s">
        <v>478</v>
      </c>
      <c r="C328" s="86" t="s">
        <v>479</v>
      </c>
      <c r="D328" s="85" t="s">
        <v>480</v>
      </c>
      <c r="E328" s="135">
        <f>HaoPhiVatTu!F$119</f>
        <v>5</v>
      </c>
      <c r="F328" s="114">
        <f>SUM(H325:H327)</f>
        <v>1657504</v>
      </c>
      <c r="G328" s="85"/>
      <c r="H328" s="114">
        <f>E328*F328/100</f>
        <v>82875.199999999997</v>
      </c>
    </row>
    <row r="329" spans="1:8" x14ac:dyDescent="0.15">
      <c r="A329" s="276"/>
      <c r="B329" s="85"/>
      <c r="C329" s="86" t="s">
        <v>586</v>
      </c>
      <c r="D329" s="85"/>
      <c r="E329" s="86"/>
      <c r="F329" s="114"/>
      <c r="G329" s="85"/>
      <c r="H329" s="114">
        <f>SUM(H325:H328)</f>
        <v>1740379.2</v>
      </c>
    </row>
    <row r="330" spans="1:8" x14ac:dyDescent="0.15">
      <c r="A330" s="274"/>
      <c r="B330" s="146"/>
      <c r="C330" s="145" t="s">
        <v>481</v>
      </c>
      <c r="D330" s="146"/>
      <c r="E330" s="145"/>
      <c r="F330" s="275"/>
      <c r="G330" s="146"/>
      <c r="H330" s="275">
        <f>H331</f>
        <v>3836700</v>
      </c>
    </row>
    <row r="331" spans="1:8" ht="30" x14ac:dyDescent="0.15">
      <c r="A331" s="276"/>
      <c r="B331" s="85" t="str">
        <f>'Giá tháng'!B$30</f>
        <v>N2.40</v>
      </c>
      <c r="C331" s="86" t="str">
        <f>'Giá tháng'!C$30</f>
        <v>Nhân công 4,0/7 - Nhóm 2</v>
      </c>
      <c r="D331" s="85" t="str">
        <f>'Giá tháng'!D$30</f>
        <v>công</v>
      </c>
      <c r="E331" s="135">
        <f>HaoPhiVatTu!F$121</f>
        <v>12.25</v>
      </c>
      <c r="F331" s="114">
        <f>'Tổng hợp VT'!O$37</f>
        <v>313200</v>
      </c>
      <c r="G331" s="136">
        <f>'Giá tháng'!G$30</f>
        <v>1</v>
      </c>
      <c r="H331" s="114">
        <f>E331*F331*G331</f>
        <v>3836700</v>
      </c>
    </row>
    <row r="332" spans="1:8" x14ac:dyDescent="0.15">
      <c r="A332" s="274"/>
      <c r="B332" s="146"/>
      <c r="C332" s="145" t="s">
        <v>482</v>
      </c>
      <c r="D332" s="146"/>
      <c r="E332" s="145"/>
      <c r="F332" s="275"/>
      <c r="G332" s="146"/>
      <c r="H332" s="275">
        <f>H335</f>
        <v>374276.45399999997</v>
      </c>
    </row>
    <row r="333" spans="1:8" ht="30" x14ac:dyDescent="0.15">
      <c r="A333" s="276"/>
      <c r="B333" s="85" t="str">
        <f>'Giá tháng'!B$45</f>
        <v>M112.4003</v>
      </c>
      <c r="C333" s="86" t="str">
        <f>'Giá tháng'!C$45</f>
        <v>Máy hàn xoay chiều - công suất : 23,0 kW</v>
      </c>
      <c r="D333" s="85" t="str">
        <f>'Giá tháng'!D$45</f>
        <v>ca</v>
      </c>
      <c r="E333" s="135">
        <f>HaoPhiVatTu!F$123</f>
        <v>0.82</v>
      </c>
      <c r="F333" s="114">
        <f>'Tổng hợp VT'!O$55</f>
        <v>447485</v>
      </c>
      <c r="G333" s="136">
        <f>'Giá tháng'!G$45</f>
        <v>1</v>
      </c>
      <c r="H333" s="114">
        <f>E333*F333*G333</f>
        <v>366937.69999999995</v>
      </c>
    </row>
    <row r="334" spans="1:8" x14ac:dyDescent="0.15">
      <c r="A334" s="276"/>
      <c r="B334" s="85" t="s">
        <v>483</v>
      </c>
      <c r="C334" s="86" t="s">
        <v>484</v>
      </c>
      <c r="D334" s="85" t="s">
        <v>480</v>
      </c>
      <c r="E334" s="135">
        <f>HaoPhiVatTu!F$124</f>
        <v>2</v>
      </c>
      <c r="F334" s="114">
        <f>SUM(H333:H333)</f>
        <v>366937.69999999995</v>
      </c>
      <c r="G334" s="85"/>
      <c r="H334" s="114">
        <f>E334*F334/100</f>
        <v>7338.753999999999</v>
      </c>
    </row>
    <row r="335" spans="1:8" x14ac:dyDescent="0.15">
      <c r="A335" s="276"/>
      <c r="B335" s="85"/>
      <c r="C335" s="86" t="s">
        <v>586</v>
      </c>
      <c r="D335" s="85"/>
      <c r="E335" s="86"/>
      <c r="F335" s="114"/>
      <c r="G335" s="85"/>
      <c r="H335" s="114">
        <f>SUM(H333:H334)</f>
        <v>374276.45399999997</v>
      </c>
    </row>
    <row r="336" spans="1:8" ht="30" x14ac:dyDescent="0.15">
      <c r="A336" s="277"/>
      <c r="B336" s="122"/>
      <c r="C336" s="123" t="s">
        <v>923</v>
      </c>
      <c r="D336" s="122" t="s">
        <v>606</v>
      </c>
      <c r="E336" s="278"/>
      <c r="F336" s="126"/>
      <c r="G336" s="122"/>
      <c r="H336" s="126">
        <f>H324+H330+H332</f>
        <v>5951355.6540000001</v>
      </c>
    </row>
    <row r="337" spans="1:8" x14ac:dyDescent="0.15">
      <c r="A337" s="276"/>
      <c r="B337" s="85"/>
      <c r="C337" s="86" t="s">
        <v>608</v>
      </c>
      <c r="D337" s="85" t="str">
        <f>""</f>
        <v/>
      </c>
      <c r="E337" s="279"/>
      <c r="F337" s="114"/>
      <c r="G337" s="85"/>
      <c r="H337" s="114"/>
    </row>
    <row r="338" spans="1:8" x14ac:dyDescent="0.15">
      <c r="A338" s="276"/>
      <c r="B338" s="85"/>
      <c r="C338" s="86" t="str">
        <f>"Chi phí chung (T x "&amp;HSXL!C$14&amp;")"</f>
        <v>Chi phí chung (T x 5,5%)</v>
      </c>
      <c r="D338" s="85" t="s">
        <v>603</v>
      </c>
      <c r="E338" s="279" t="str">
        <f>HSXL!C$14</f>
        <v>5,5%</v>
      </c>
      <c r="F338" s="114"/>
      <c r="G338" s="85"/>
      <c r="H338" s="114">
        <f>H336*HSXL!D$14</f>
        <v>327324.56096999999</v>
      </c>
    </row>
    <row r="339" spans="1:8" ht="45" x14ac:dyDescent="0.15">
      <c r="A339" s="276"/>
      <c r="B339" s="85"/>
      <c r="C339" s="86" t="str">
        <f>"Chi phí nhà tạm để ở và điều hành thi công (T x "&amp;HSXL!C$18&amp;")"</f>
        <v>Chi phí nhà tạm để ở và điều hành thi công (T x 1,1%)</v>
      </c>
      <c r="D339" s="85" t="s">
        <v>611</v>
      </c>
      <c r="E339" s="279" t="str">
        <f>HSXL!C$18</f>
        <v>1,1%</v>
      </c>
      <c r="F339" s="114"/>
      <c r="G339" s="85"/>
      <c r="H339" s="114">
        <f>H336*HSXL!D$18</f>
        <v>65464.912193999997</v>
      </c>
    </row>
    <row r="340" spans="1:8" ht="60" x14ac:dyDescent="0.15">
      <c r="A340" s="276"/>
      <c r="B340" s="85"/>
      <c r="C340" s="86" t="str">
        <f>"Chi phí một số công việc không xác định được khối lượng từ thiết kế (T x "&amp;HSXL!C$13&amp;")"</f>
        <v>Chi phí một số công việc không xác định được khối lượng từ thiết kế (T x 2%)</v>
      </c>
      <c r="D340" s="85" t="s">
        <v>42</v>
      </c>
      <c r="E340" s="279" t="str">
        <f>HSXL!C$13</f>
        <v>2%</v>
      </c>
      <c r="F340" s="114"/>
      <c r="G340" s="85"/>
      <c r="H340" s="114">
        <f>H336*HSXL!D$13</f>
        <v>119027.11308000001</v>
      </c>
    </row>
    <row r="341" spans="1:8" ht="30" x14ac:dyDescent="0.15">
      <c r="A341" s="277"/>
      <c r="B341" s="122"/>
      <c r="C341" s="123" t="s">
        <v>924</v>
      </c>
      <c r="D341" s="122" t="s">
        <v>614</v>
      </c>
      <c r="E341" s="278"/>
      <c r="F341" s="126"/>
      <c r="G341" s="122"/>
      <c r="H341" s="126">
        <f>SUM(H338:H340)</f>
        <v>511816.58624400001</v>
      </c>
    </row>
    <row r="342" spans="1:8" ht="45" x14ac:dyDescent="0.15">
      <c r="A342" s="276"/>
      <c r="B342" s="85"/>
      <c r="C342" s="86" t="str">
        <f>"THU NHẬP CHỊU THUẾ TÍNH TRƯỚC (T+GT) x "&amp;HSXL!C$16</f>
        <v>THU NHẬP CHỊU THUẾ TÍNH TRƯỚC (T+GT) x 5,5%</v>
      </c>
      <c r="D342" s="85" t="s">
        <v>617</v>
      </c>
      <c r="E342" s="279" t="str">
        <f>HSXL!C$16</f>
        <v>5,5%</v>
      </c>
      <c r="F342" s="114"/>
      <c r="G342" s="85"/>
      <c r="H342" s="114">
        <f>(H336+H341)*HSXL!D$16</f>
        <v>355474.47321342002</v>
      </c>
    </row>
    <row r="343" spans="1:8" ht="30" x14ac:dyDescent="0.15">
      <c r="A343" s="276"/>
      <c r="B343" s="85"/>
      <c r="C343" s="86" t="s">
        <v>925</v>
      </c>
      <c r="D343" s="85" t="s">
        <v>619</v>
      </c>
      <c r="E343" s="279"/>
      <c r="F343" s="114"/>
      <c r="G343" s="85"/>
      <c r="H343" s="114">
        <f>H336+H341+H342</f>
        <v>6818646.7134574205</v>
      </c>
    </row>
    <row r="344" spans="1:8" ht="30" x14ac:dyDescent="0.15">
      <c r="A344" s="276"/>
      <c r="B344" s="85"/>
      <c r="C344" s="86" t="str">
        <f>"THUẾ GIÁ TRỊ GIA TĂNG (G x "&amp;HSXL!C$17&amp;")"</f>
        <v>THUẾ GIÁ TRỊ GIA TĂNG (G x 8%)</v>
      </c>
      <c r="D344" s="85" t="s">
        <v>623</v>
      </c>
      <c r="E344" s="192">
        <f>HSXL!D$17</f>
        <v>0.08</v>
      </c>
      <c r="F344" s="114"/>
      <c r="G344" s="85"/>
      <c r="H344" s="114">
        <f>E344*H343</f>
        <v>545491.73707659368</v>
      </c>
    </row>
    <row r="345" spans="1:8" ht="30" x14ac:dyDescent="0.15">
      <c r="A345" s="280"/>
      <c r="B345" s="281"/>
      <c r="C345" s="282" t="s">
        <v>926</v>
      </c>
      <c r="D345" s="281" t="s">
        <v>626</v>
      </c>
      <c r="E345" s="283"/>
      <c r="F345" s="284"/>
      <c r="G345" s="281"/>
      <c r="H345" s="285">
        <f>H343+H344</f>
        <v>7364138.450534014</v>
      </c>
    </row>
    <row r="346" spans="1:8" ht="75" x14ac:dyDescent="0.15">
      <c r="A346" s="141">
        <f>'Công trình'!A69</f>
        <v>20</v>
      </c>
      <c r="B346" s="122" t="str">
        <f>'Công trình'!E69</f>
        <v>AF.11214A</v>
      </c>
      <c r="C346" s="123" t="str">
        <f>'Công trình'!F69</f>
        <v>Đổ bê tông thủ công bằng máy trộn, bê tông móng, chiều rộng &lt;= 250 cm, đá 1x2, mác 250, PCB30</v>
      </c>
      <c r="D346" s="122" t="str">
        <f>'Công trình'!G69</f>
        <v>m3</v>
      </c>
      <c r="E346" s="123">
        <v>1</v>
      </c>
      <c r="F346" s="126"/>
      <c r="G346" s="122"/>
      <c r="H346" s="126"/>
    </row>
    <row r="347" spans="1:8" x14ac:dyDescent="0.15">
      <c r="A347" s="274"/>
      <c r="B347" s="146"/>
      <c r="C347" s="145" t="s">
        <v>477</v>
      </c>
      <c r="D347" s="146"/>
      <c r="E347" s="145"/>
      <c r="F347" s="275"/>
      <c r="G347" s="146"/>
      <c r="H347" s="275">
        <f>H353</f>
        <v>1394384.4364999998</v>
      </c>
    </row>
    <row r="348" spans="1:8" ht="30" x14ac:dyDescent="0.15">
      <c r="A348" s="276"/>
      <c r="B348" s="85" t="str">
        <f>'Giá tháng'!B$25</f>
        <v>A24.0797A</v>
      </c>
      <c r="C348" s="86" t="str">
        <f>'Giá tháng'!C$25</f>
        <v>Xi măng PCB30</v>
      </c>
      <c r="D348" s="85" t="str">
        <f>'Giá tháng'!D$25</f>
        <v>kg</v>
      </c>
      <c r="E348" s="135">
        <f>HaoPhiVatTu!F$127</f>
        <v>369</v>
      </c>
      <c r="F348" s="114">
        <f>'Tổng hợp VT'!O$29</f>
        <v>1597</v>
      </c>
      <c r="G348" s="136">
        <f>'Giá tháng'!G$25</f>
        <v>1</v>
      </c>
      <c r="H348" s="114">
        <f>E348*F348*G348</f>
        <v>589293</v>
      </c>
    </row>
    <row r="349" spans="1:8" ht="30" x14ac:dyDescent="0.15">
      <c r="A349" s="276"/>
      <c r="B349" s="85" t="str">
        <f>'Giá tháng'!B$7</f>
        <v>A24.0180</v>
      </c>
      <c r="C349" s="86" t="str">
        <f>'Giá tháng'!C$7</f>
        <v>Cát vàng</v>
      </c>
      <c r="D349" s="85" t="str">
        <f>'Giá tháng'!D$7</f>
        <v>m3</v>
      </c>
      <c r="E349" s="135">
        <f>HaoPhiVatTu!F$128</f>
        <v>0.517625</v>
      </c>
      <c r="F349" s="114">
        <f>'Tổng hợp VT'!O$11</f>
        <v>750000</v>
      </c>
      <c r="G349" s="136">
        <f>'Giá tháng'!G$7</f>
        <v>1</v>
      </c>
      <c r="H349" s="114">
        <f>E349*F349*G349</f>
        <v>388218.75</v>
      </c>
    </row>
    <row r="350" spans="1:8" ht="30" x14ac:dyDescent="0.15">
      <c r="A350" s="276"/>
      <c r="B350" s="85" t="str">
        <f>'Giá tháng'!B$13</f>
        <v>A24.0008</v>
      </c>
      <c r="C350" s="86" t="str">
        <f>'Giá tháng'!C$13</f>
        <v>Đá 1x2</v>
      </c>
      <c r="D350" s="85" t="str">
        <f>'Giá tháng'!D$13</f>
        <v>m3</v>
      </c>
      <c r="E350" s="135">
        <f>HaoPhiVatTu!F$129</f>
        <v>0.8528</v>
      </c>
      <c r="F350" s="114">
        <f>'Tổng hợp VT'!O$17</f>
        <v>470000</v>
      </c>
      <c r="G350" s="136">
        <f>'Giá tháng'!G$13</f>
        <v>1</v>
      </c>
      <c r="H350" s="114">
        <f>E350*F350*G350</f>
        <v>400816</v>
      </c>
    </row>
    <row r="351" spans="1:8" ht="30" x14ac:dyDescent="0.15">
      <c r="A351" s="276"/>
      <c r="B351" s="85" t="str">
        <f>'Giá tháng'!B$15</f>
        <v>A24.0524</v>
      </c>
      <c r="C351" s="86" t="str">
        <f>'Giá tháng'!C$15</f>
        <v>Nước</v>
      </c>
      <c r="D351" s="85" t="str">
        <f>'Giá tháng'!D$15</f>
        <v>lít</v>
      </c>
      <c r="E351" s="135">
        <f>HaoPhiVatTu!F$130</f>
        <v>187.57499999999999</v>
      </c>
      <c r="F351" s="114">
        <f>'Tổng hợp VT'!O$19</f>
        <v>12</v>
      </c>
      <c r="G351" s="136">
        <f>'Giá tháng'!G$15</f>
        <v>1</v>
      </c>
      <c r="H351" s="114">
        <f>E351*F351*G351</f>
        <v>2250.8999999999996</v>
      </c>
    </row>
    <row r="352" spans="1:8" x14ac:dyDescent="0.15">
      <c r="A352" s="276"/>
      <c r="B352" s="85" t="s">
        <v>478</v>
      </c>
      <c r="C352" s="86" t="s">
        <v>479</v>
      </c>
      <c r="D352" s="85" t="s">
        <v>480</v>
      </c>
      <c r="E352" s="135">
        <f>HaoPhiVatTu!F$131</f>
        <v>1</v>
      </c>
      <c r="F352" s="114">
        <f>SUM(H348:H351)</f>
        <v>1380578.65</v>
      </c>
      <c r="G352" s="85"/>
      <c r="H352" s="114">
        <f>E352*F352/100</f>
        <v>13805.786499999998</v>
      </c>
    </row>
    <row r="353" spans="1:8" x14ac:dyDescent="0.15">
      <c r="A353" s="276"/>
      <c r="B353" s="85"/>
      <c r="C353" s="86" t="s">
        <v>586</v>
      </c>
      <c r="D353" s="85"/>
      <c r="E353" s="86"/>
      <c r="F353" s="114"/>
      <c r="G353" s="85"/>
      <c r="H353" s="114">
        <f>SUM(H348:H352)</f>
        <v>1394384.4364999998</v>
      </c>
    </row>
    <row r="354" spans="1:8" x14ac:dyDescent="0.15">
      <c r="A354" s="274"/>
      <c r="B354" s="146"/>
      <c r="C354" s="145" t="s">
        <v>481</v>
      </c>
      <c r="D354" s="146"/>
      <c r="E354" s="145"/>
      <c r="F354" s="275"/>
      <c r="G354" s="146"/>
      <c r="H354" s="275">
        <f>H355</f>
        <v>324474</v>
      </c>
    </row>
    <row r="355" spans="1:8" ht="30" x14ac:dyDescent="0.15">
      <c r="A355" s="276"/>
      <c r="B355" s="85" t="str">
        <f>'Giá tháng'!B$28</f>
        <v>N2.30</v>
      </c>
      <c r="C355" s="86" t="str">
        <f>'Giá tháng'!C$28</f>
        <v>Nhân công 3,0/7 - Nhóm 2</v>
      </c>
      <c r="D355" s="85" t="str">
        <f>'Giá tháng'!D$28</f>
        <v>công</v>
      </c>
      <c r="E355" s="135">
        <f>HaoPhiVatTu!F$133</f>
        <v>1.23</v>
      </c>
      <c r="F355" s="114">
        <f>'Tổng hợp VT'!O$35</f>
        <v>263800</v>
      </c>
      <c r="G355" s="136">
        <f>'Giá tháng'!G$28</f>
        <v>1</v>
      </c>
      <c r="H355" s="114">
        <f>E355*F355*G355</f>
        <v>324474</v>
      </c>
    </row>
    <row r="356" spans="1:8" x14ac:dyDescent="0.15">
      <c r="A356" s="274"/>
      <c r="B356" s="146"/>
      <c r="C356" s="145" t="s">
        <v>482</v>
      </c>
      <c r="D356" s="146"/>
      <c r="E356" s="145"/>
      <c r="F356" s="275"/>
      <c r="G356" s="146"/>
      <c r="H356" s="275">
        <f>H359</f>
        <v>59923.404999999999</v>
      </c>
    </row>
    <row r="357" spans="1:8" ht="30" x14ac:dyDescent="0.15">
      <c r="A357" s="276"/>
      <c r="B357" s="85" t="str">
        <f>'Giá tháng'!B$47</f>
        <v>M104.0102</v>
      </c>
      <c r="C357" s="86" t="str">
        <f>'Giá tháng'!C$47</f>
        <v>Máy trộn bê tông - dung tích : 250,0 lít</v>
      </c>
      <c r="D357" s="85" t="str">
        <f>'Giá tháng'!D$47</f>
        <v>ca</v>
      </c>
      <c r="E357" s="135">
        <f>HaoPhiVatTu!F$135</f>
        <v>9.5000000000000001E-2</v>
      </c>
      <c r="F357" s="114">
        <f>'Tổng hợp VT'!O$57</f>
        <v>347214</v>
      </c>
      <c r="G357" s="136">
        <f>'Giá tháng'!G$47</f>
        <v>1</v>
      </c>
      <c r="H357" s="114">
        <f>E357*F357*G357</f>
        <v>32985.33</v>
      </c>
    </row>
    <row r="358" spans="1:8" ht="30" x14ac:dyDescent="0.15">
      <c r="A358" s="276"/>
      <c r="B358" s="85" t="str">
        <f>'Giá tháng'!B$42</f>
        <v>M112.1301</v>
      </c>
      <c r="C358" s="86" t="str">
        <f>'Giá tháng'!C$42</f>
        <v>Máy đầm bê tông, dầm dùi - công suất : 1,5 kW</v>
      </c>
      <c r="D358" s="85" t="str">
        <f>'Giá tháng'!D$42</f>
        <v>ca</v>
      </c>
      <c r="E358" s="135">
        <f>HaoPhiVatTu!F$136</f>
        <v>8.8999999999999996E-2</v>
      </c>
      <c r="F358" s="114">
        <f>'Tổng hợp VT'!O$52</f>
        <v>302675</v>
      </c>
      <c r="G358" s="136">
        <f>'Giá tháng'!G$42</f>
        <v>1</v>
      </c>
      <c r="H358" s="114">
        <f>E358*F358*G358</f>
        <v>26938.074999999997</v>
      </c>
    </row>
    <row r="359" spans="1:8" x14ac:dyDescent="0.15">
      <c r="A359" s="276"/>
      <c r="B359" s="85"/>
      <c r="C359" s="86" t="s">
        <v>586</v>
      </c>
      <c r="D359" s="85"/>
      <c r="E359" s="86"/>
      <c r="F359" s="114"/>
      <c r="G359" s="85"/>
      <c r="H359" s="114">
        <f>SUM(H357:H358)</f>
        <v>59923.404999999999</v>
      </c>
    </row>
    <row r="360" spans="1:8" ht="30" x14ac:dyDescent="0.15">
      <c r="A360" s="277"/>
      <c r="B360" s="122"/>
      <c r="C360" s="123" t="s">
        <v>923</v>
      </c>
      <c r="D360" s="122" t="s">
        <v>606</v>
      </c>
      <c r="E360" s="278"/>
      <c r="F360" s="126"/>
      <c r="G360" s="122"/>
      <c r="H360" s="126">
        <f>H347+H354+H356</f>
        <v>1778781.8414999999</v>
      </c>
    </row>
    <row r="361" spans="1:8" x14ac:dyDescent="0.15">
      <c r="A361" s="276"/>
      <c r="B361" s="85"/>
      <c r="C361" s="86" t="s">
        <v>608</v>
      </c>
      <c r="D361" s="85" t="str">
        <f>""</f>
        <v/>
      </c>
      <c r="E361" s="279"/>
      <c r="F361" s="114"/>
      <c r="G361" s="85"/>
      <c r="H361" s="114"/>
    </row>
    <row r="362" spans="1:8" x14ac:dyDescent="0.15">
      <c r="A362" s="276"/>
      <c r="B362" s="85"/>
      <c r="C362" s="86" t="str">
        <f>"Chi phí chung (T x "&amp;HSXL!C$14&amp;")"</f>
        <v>Chi phí chung (T x 5,5%)</v>
      </c>
      <c r="D362" s="85" t="s">
        <v>603</v>
      </c>
      <c r="E362" s="279" t="str">
        <f>HSXL!C$14</f>
        <v>5,5%</v>
      </c>
      <c r="F362" s="114"/>
      <c r="G362" s="85"/>
      <c r="H362" s="114">
        <f>H360*HSXL!D$14</f>
        <v>97833.001282499987</v>
      </c>
    </row>
    <row r="363" spans="1:8" ht="45" x14ac:dyDescent="0.15">
      <c r="A363" s="276"/>
      <c r="B363" s="85"/>
      <c r="C363" s="86" t="str">
        <f>"Chi phí nhà tạm để ở và điều hành thi công (T x "&amp;HSXL!C$18&amp;")"</f>
        <v>Chi phí nhà tạm để ở và điều hành thi công (T x 1,1%)</v>
      </c>
      <c r="D363" s="85" t="s">
        <v>611</v>
      </c>
      <c r="E363" s="279" t="str">
        <f>HSXL!C$18</f>
        <v>1,1%</v>
      </c>
      <c r="F363" s="114"/>
      <c r="G363" s="85"/>
      <c r="H363" s="114">
        <f>H360*HSXL!D$18</f>
        <v>19566.600256499998</v>
      </c>
    </row>
    <row r="364" spans="1:8" ht="60" x14ac:dyDescent="0.15">
      <c r="A364" s="276"/>
      <c r="B364" s="85"/>
      <c r="C364" s="86" t="str">
        <f>"Chi phí một số công việc không xác định được khối lượng từ thiết kế (T x "&amp;HSXL!C$13&amp;")"</f>
        <v>Chi phí một số công việc không xác định được khối lượng từ thiết kế (T x 2%)</v>
      </c>
      <c r="D364" s="85" t="s">
        <v>42</v>
      </c>
      <c r="E364" s="279" t="str">
        <f>HSXL!C$13</f>
        <v>2%</v>
      </c>
      <c r="F364" s="114"/>
      <c r="G364" s="85"/>
      <c r="H364" s="114">
        <f>H360*HSXL!D$13</f>
        <v>35575.636829999996</v>
      </c>
    </row>
    <row r="365" spans="1:8" ht="30" x14ac:dyDescent="0.15">
      <c r="A365" s="277"/>
      <c r="B365" s="122"/>
      <c r="C365" s="123" t="s">
        <v>924</v>
      </c>
      <c r="D365" s="122" t="s">
        <v>614</v>
      </c>
      <c r="E365" s="278"/>
      <c r="F365" s="126"/>
      <c r="G365" s="122"/>
      <c r="H365" s="126">
        <f>SUM(H362:H364)</f>
        <v>152975.23836899997</v>
      </c>
    </row>
    <row r="366" spans="1:8" ht="45" x14ac:dyDescent="0.15">
      <c r="A366" s="276"/>
      <c r="B366" s="85"/>
      <c r="C366" s="86" t="str">
        <f>"THU NHẬP CHỊU THUẾ TÍNH TRƯỚC (T+GT) x "&amp;HSXL!C$16</f>
        <v>THU NHẬP CHỊU THUẾ TÍNH TRƯỚC (T+GT) x 5,5%</v>
      </c>
      <c r="D366" s="85" t="s">
        <v>617</v>
      </c>
      <c r="E366" s="279" t="str">
        <f>HSXL!C$16</f>
        <v>5,5%</v>
      </c>
      <c r="F366" s="114"/>
      <c r="G366" s="85"/>
      <c r="H366" s="114">
        <f>(H360+H365)*HSXL!D$16</f>
        <v>106246.63939279498</v>
      </c>
    </row>
    <row r="367" spans="1:8" ht="30" x14ac:dyDescent="0.15">
      <c r="A367" s="276"/>
      <c r="B367" s="85"/>
      <c r="C367" s="86" t="s">
        <v>925</v>
      </c>
      <c r="D367" s="85" t="s">
        <v>619</v>
      </c>
      <c r="E367" s="279"/>
      <c r="F367" s="114"/>
      <c r="G367" s="85"/>
      <c r="H367" s="114">
        <f>H360+H365+H366</f>
        <v>2038003.7192617948</v>
      </c>
    </row>
    <row r="368" spans="1:8" ht="30" x14ac:dyDescent="0.15">
      <c r="A368" s="276"/>
      <c r="B368" s="85"/>
      <c r="C368" s="86" t="str">
        <f>"THUẾ GIÁ TRỊ GIA TĂNG (G x "&amp;HSXL!C$17&amp;")"</f>
        <v>THUẾ GIÁ TRỊ GIA TĂNG (G x 8%)</v>
      </c>
      <c r="D368" s="85" t="s">
        <v>623</v>
      </c>
      <c r="E368" s="192">
        <f>HSXL!D$17</f>
        <v>0.08</v>
      </c>
      <c r="F368" s="114"/>
      <c r="G368" s="85"/>
      <c r="H368" s="114">
        <f>E368*H367</f>
        <v>163040.29754094357</v>
      </c>
    </row>
    <row r="369" spans="1:8" ht="30" x14ac:dyDescent="0.15">
      <c r="A369" s="280"/>
      <c r="B369" s="281"/>
      <c r="C369" s="282" t="s">
        <v>926</v>
      </c>
      <c r="D369" s="281" t="s">
        <v>626</v>
      </c>
      <c r="E369" s="283"/>
      <c r="F369" s="284"/>
      <c r="G369" s="281"/>
      <c r="H369" s="285">
        <f>H367+H368</f>
        <v>2201044.0168027384</v>
      </c>
    </row>
    <row r="370" spans="1:8" ht="75" x14ac:dyDescent="0.15">
      <c r="A370" s="141">
        <f>'Công trình'!A72</f>
        <v>21</v>
      </c>
      <c r="B370" s="122" t="str">
        <f>'Công trình'!E72</f>
        <v>AF.61311</v>
      </c>
      <c r="C370" s="123" t="str">
        <f>'Công trình'!F72</f>
        <v>Công tác gia công lắp dựng cốt thép. Cốt thép tường, đường kính cốt thép &lt;= 10mm, chiều cao &lt;= 6m</v>
      </c>
      <c r="D370" s="122" t="str">
        <f>'Công trình'!G72</f>
        <v>tấn</v>
      </c>
      <c r="E370" s="123">
        <v>1</v>
      </c>
      <c r="F370" s="126"/>
      <c r="G370" s="122"/>
      <c r="H370" s="126"/>
    </row>
    <row r="371" spans="1:8" x14ac:dyDescent="0.15">
      <c r="A371" s="274"/>
      <c r="B371" s="146"/>
      <c r="C371" s="145" t="s">
        <v>477</v>
      </c>
      <c r="D371" s="146"/>
      <c r="E371" s="145"/>
      <c r="F371" s="275"/>
      <c r="G371" s="146"/>
      <c r="H371" s="275">
        <f>H374</f>
        <v>15094900</v>
      </c>
    </row>
    <row r="372" spans="1:8" ht="30" x14ac:dyDescent="0.15">
      <c r="A372" s="276"/>
      <c r="B372" s="85" t="str">
        <f>'Giá tháng'!B$22</f>
        <v>A24.0738</v>
      </c>
      <c r="C372" s="86" t="str">
        <f>'Giá tháng'!C$22</f>
        <v>Thép tròn D&lt;=10mm</v>
      </c>
      <c r="D372" s="85" t="str">
        <f>'Giá tháng'!D$22</f>
        <v>kg</v>
      </c>
      <c r="E372" s="135">
        <f>HaoPhiVatTu!F$139</f>
        <v>1005</v>
      </c>
      <c r="F372" s="114">
        <f>'Tổng hợp VT'!O$26</f>
        <v>14700</v>
      </c>
      <c r="G372" s="136">
        <f>'Giá tháng'!G$22</f>
        <v>1</v>
      </c>
      <c r="H372" s="114">
        <f>E372*F372*G372</f>
        <v>14773500</v>
      </c>
    </row>
    <row r="373" spans="1:8" ht="30" x14ac:dyDescent="0.15">
      <c r="A373" s="276"/>
      <c r="B373" s="85" t="str">
        <f>'Giá tháng'!B$12</f>
        <v>A24.0293</v>
      </c>
      <c r="C373" s="86" t="str">
        <f>'Giá tháng'!C$12</f>
        <v>Dây thép</v>
      </c>
      <c r="D373" s="85" t="str">
        <f>'Giá tháng'!D$12</f>
        <v>kg</v>
      </c>
      <c r="E373" s="135">
        <f>HaoPhiVatTu!F$140</f>
        <v>16.07</v>
      </c>
      <c r="F373" s="114">
        <f>'Tổng hợp VT'!O$16</f>
        <v>20000</v>
      </c>
      <c r="G373" s="136">
        <f>'Giá tháng'!G$12</f>
        <v>1</v>
      </c>
      <c r="H373" s="114">
        <f>E373*F373*G373</f>
        <v>321400</v>
      </c>
    </row>
    <row r="374" spans="1:8" x14ac:dyDescent="0.15">
      <c r="A374" s="276"/>
      <c r="B374" s="85"/>
      <c r="C374" s="86" t="s">
        <v>586</v>
      </c>
      <c r="D374" s="85"/>
      <c r="E374" s="86"/>
      <c r="F374" s="114"/>
      <c r="G374" s="85"/>
      <c r="H374" s="114">
        <f>SUM(H372:H373)</f>
        <v>15094900</v>
      </c>
    </row>
    <row r="375" spans="1:8" x14ac:dyDescent="0.15">
      <c r="A375" s="274"/>
      <c r="B375" s="146"/>
      <c r="C375" s="145" t="s">
        <v>481</v>
      </c>
      <c r="D375" s="146"/>
      <c r="E375" s="145"/>
      <c r="F375" s="275"/>
      <c r="G375" s="146"/>
      <c r="H375" s="275">
        <f>H376</f>
        <v>3736075</v>
      </c>
    </row>
    <row r="376" spans="1:8" ht="30" x14ac:dyDescent="0.15">
      <c r="A376" s="276"/>
      <c r="B376" s="85" t="str">
        <f>'Giá tháng'!B$29</f>
        <v>N2.35</v>
      </c>
      <c r="C376" s="86" t="str">
        <f>'Giá tháng'!C$29</f>
        <v>Nhân công 3,5/7 - Nhóm 2</v>
      </c>
      <c r="D376" s="85" t="str">
        <f>'Giá tháng'!D$29</f>
        <v>công</v>
      </c>
      <c r="E376" s="135">
        <f>HaoPhiVatTu!F$142</f>
        <v>12.95</v>
      </c>
      <c r="F376" s="114">
        <f>'Tổng hợp VT'!O$36</f>
        <v>288500</v>
      </c>
      <c r="G376" s="136">
        <f>'Giá tháng'!G$29</f>
        <v>1</v>
      </c>
      <c r="H376" s="114">
        <f>E376*F376*G376</f>
        <v>3736075</v>
      </c>
    </row>
    <row r="377" spans="1:8" x14ac:dyDescent="0.15">
      <c r="A377" s="274"/>
      <c r="B377" s="146"/>
      <c r="C377" s="145" t="s">
        <v>482</v>
      </c>
      <c r="D377" s="146"/>
      <c r="E377" s="145"/>
      <c r="F377" s="275"/>
      <c r="G377" s="146"/>
      <c r="H377" s="275">
        <f>H378</f>
        <v>122974.40000000001</v>
      </c>
    </row>
    <row r="378" spans="1:8" ht="30" x14ac:dyDescent="0.15">
      <c r="A378" s="276"/>
      <c r="B378" s="85" t="str">
        <f>'Giá tháng'!B$38</f>
        <v>M112.2601</v>
      </c>
      <c r="C378" s="86" t="str">
        <f>'Giá tháng'!C$38</f>
        <v>Máy cắt uốn cốt thép - công suất : 5,0 kW</v>
      </c>
      <c r="D378" s="85" t="str">
        <f>'Giá tháng'!D$38</f>
        <v>ca</v>
      </c>
      <c r="E378" s="135">
        <f>HaoPhiVatTu!F$144</f>
        <v>0.4</v>
      </c>
      <c r="F378" s="114">
        <f>'Tổng hợp VT'!O$48</f>
        <v>307436</v>
      </c>
      <c r="G378" s="136">
        <f>'Giá tháng'!G$38</f>
        <v>1</v>
      </c>
      <c r="H378" s="114">
        <f>E378*F378*G378</f>
        <v>122974.40000000001</v>
      </c>
    </row>
    <row r="379" spans="1:8" ht="30" x14ac:dyDescent="0.15">
      <c r="A379" s="277"/>
      <c r="B379" s="122"/>
      <c r="C379" s="123" t="s">
        <v>923</v>
      </c>
      <c r="D379" s="122" t="s">
        <v>606</v>
      </c>
      <c r="E379" s="278"/>
      <c r="F379" s="126"/>
      <c r="G379" s="122"/>
      <c r="H379" s="126">
        <f>H371+H375+H377</f>
        <v>18953949.399999999</v>
      </c>
    </row>
    <row r="380" spans="1:8" x14ac:dyDescent="0.15">
      <c r="A380" s="276"/>
      <c r="B380" s="85"/>
      <c r="C380" s="86" t="s">
        <v>608</v>
      </c>
      <c r="D380" s="85" t="str">
        <f>""</f>
        <v/>
      </c>
      <c r="E380" s="279"/>
      <c r="F380" s="114"/>
      <c r="G380" s="85"/>
      <c r="H380" s="114"/>
    </row>
    <row r="381" spans="1:8" x14ac:dyDescent="0.15">
      <c r="A381" s="276"/>
      <c r="B381" s="85"/>
      <c r="C381" s="86" t="str">
        <f>"Chi phí chung (T x "&amp;HSXL!C$14&amp;")"</f>
        <v>Chi phí chung (T x 5,5%)</v>
      </c>
      <c r="D381" s="85" t="s">
        <v>603</v>
      </c>
      <c r="E381" s="279" t="str">
        <f>HSXL!C$14</f>
        <v>5,5%</v>
      </c>
      <c r="F381" s="114"/>
      <c r="G381" s="85"/>
      <c r="H381" s="114">
        <f>H379*HSXL!D$14</f>
        <v>1042467.2169999999</v>
      </c>
    </row>
    <row r="382" spans="1:8" ht="45" x14ac:dyDescent="0.15">
      <c r="A382" s="276"/>
      <c r="B382" s="85"/>
      <c r="C382" s="86" t="str">
        <f>"Chi phí nhà tạm để ở và điều hành thi công (T x "&amp;HSXL!C$18&amp;")"</f>
        <v>Chi phí nhà tạm để ở và điều hành thi công (T x 1,1%)</v>
      </c>
      <c r="D382" s="85" t="s">
        <v>611</v>
      </c>
      <c r="E382" s="279" t="str">
        <f>HSXL!C$18</f>
        <v>1,1%</v>
      </c>
      <c r="F382" s="114"/>
      <c r="G382" s="85"/>
      <c r="H382" s="114">
        <f>H379*HSXL!D$18</f>
        <v>208493.44339999996</v>
      </c>
    </row>
    <row r="383" spans="1:8" ht="60" x14ac:dyDescent="0.15">
      <c r="A383" s="276"/>
      <c r="B383" s="85"/>
      <c r="C383" s="86" t="str">
        <f>"Chi phí một số công việc không xác định được khối lượng từ thiết kế (T x "&amp;HSXL!C$13&amp;")"</f>
        <v>Chi phí một số công việc không xác định được khối lượng từ thiết kế (T x 2%)</v>
      </c>
      <c r="D383" s="85" t="s">
        <v>42</v>
      </c>
      <c r="E383" s="279" t="str">
        <f>HSXL!C$13</f>
        <v>2%</v>
      </c>
      <c r="F383" s="114"/>
      <c r="G383" s="85"/>
      <c r="H383" s="114">
        <f>H379*HSXL!D$13</f>
        <v>379078.98799999995</v>
      </c>
    </row>
    <row r="384" spans="1:8" ht="30" x14ac:dyDescent="0.15">
      <c r="A384" s="277"/>
      <c r="B384" s="122"/>
      <c r="C384" s="123" t="s">
        <v>924</v>
      </c>
      <c r="D384" s="122" t="s">
        <v>614</v>
      </c>
      <c r="E384" s="278"/>
      <c r="F384" s="126"/>
      <c r="G384" s="122"/>
      <c r="H384" s="126">
        <f>SUM(H381:H383)</f>
        <v>1630039.6483999998</v>
      </c>
    </row>
    <row r="385" spans="1:8" ht="45" x14ac:dyDescent="0.15">
      <c r="A385" s="276"/>
      <c r="B385" s="85"/>
      <c r="C385" s="86" t="str">
        <f>"THU NHẬP CHỊU THUẾ TÍNH TRƯỚC (T+GT) x "&amp;HSXL!C$16</f>
        <v>THU NHẬP CHỊU THUẾ TÍNH TRƯỚC (T+GT) x 5,5%</v>
      </c>
      <c r="D385" s="85" t="s">
        <v>617</v>
      </c>
      <c r="E385" s="279" t="str">
        <f>HSXL!C$16</f>
        <v>5,5%</v>
      </c>
      <c r="F385" s="114"/>
      <c r="G385" s="85"/>
      <c r="H385" s="114">
        <f>(H379+H384)*HSXL!D$16</f>
        <v>1132119.397662</v>
      </c>
    </row>
    <row r="386" spans="1:8" ht="30" x14ac:dyDescent="0.15">
      <c r="A386" s="276"/>
      <c r="B386" s="85"/>
      <c r="C386" s="86" t="s">
        <v>925</v>
      </c>
      <c r="D386" s="85" t="s">
        <v>619</v>
      </c>
      <c r="E386" s="279"/>
      <c r="F386" s="114"/>
      <c r="G386" s="85"/>
      <c r="H386" s="114">
        <f>H379+H384+H385</f>
        <v>21716108.446061999</v>
      </c>
    </row>
    <row r="387" spans="1:8" ht="30" x14ac:dyDescent="0.15">
      <c r="A387" s="276"/>
      <c r="B387" s="85"/>
      <c r="C387" s="86" t="str">
        <f>"THUẾ GIÁ TRỊ GIA TĂNG (G x "&amp;HSXL!C$17&amp;")"</f>
        <v>THUẾ GIÁ TRỊ GIA TĂNG (G x 8%)</v>
      </c>
      <c r="D387" s="85" t="s">
        <v>623</v>
      </c>
      <c r="E387" s="192">
        <f>HSXL!D$17</f>
        <v>0.08</v>
      </c>
      <c r="F387" s="114"/>
      <c r="G387" s="85"/>
      <c r="H387" s="114">
        <f>E387*H386</f>
        <v>1737288.6756849599</v>
      </c>
    </row>
    <row r="388" spans="1:8" ht="30" x14ac:dyDescent="0.15">
      <c r="A388" s="280"/>
      <c r="B388" s="281"/>
      <c r="C388" s="282" t="s">
        <v>926</v>
      </c>
      <c r="D388" s="281" t="s">
        <v>626</v>
      </c>
      <c r="E388" s="283"/>
      <c r="F388" s="284"/>
      <c r="G388" s="281"/>
      <c r="H388" s="285">
        <f>H386+H387</f>
        <v>23453397.121746957</v>
      </c>
    </row>
    <row r="389" spans="1:8" ht="75" x14ac:dyDescent="0.15">
      <c r="A389" s="141">
        <f>'Công trình'!A74</f>
        <v>22</v>
      </c>
      <c r="B389" s="122" t="str">
        <f>'Công trình'!E74</f>
        <v>AF.86211</v>
      </c>
      <c r="C389" s="123" t="str">
        <f>'Công trình'!F74</f>
        <v>Ván khuôn thép, khung xương thép, cột chống bằng thép ống. Ván khuôn tường, chiều cao &lt;= 28m</v>
      </c>
      <c r="D389" s="122" t="str">
        <f>'Công trình'!G74</f>
        <v>100m2</v>
      </c>
      <c r="E389" s="123">
        <v>1</v>
      </c>
      <c r="F389" s="126"/>
      <c r="G389" s="122"/>
      <c r="H389" s="126"/>
    </row>
    <row r="390" spans="1:8" x14ac:dyDescent="0.15">
      <c r="A390" s="274"/>
      <c r="B390" s="146"/>
      <c r="C390" s="145" t="s">
        <v>477</v>
      </c>
      <c r="D390" s="146"/>
      <c r="E390" s="145"/>
      <c r="F390" s="275"/>
      <c r="G390" s="146"/>
      <c r="H390" s="275">
        <f>H396</f>
        <v>2639371.8854999999</v>
      </c>
    </row>
    <row r="391" spans="1:8" ht="30" x14ac:dyDescent="0.15">
      <c r="A391" s="276"/>
      <c r="B391" s="85" t="str">
        <f>'Giá tháng'!B$21</f>
        <v>A24.0726</v>
      </c>
      <c r="C391" s="86" t="str">
        <f>'Giá tháng'!C$21</f>
        <v>Thép tấm</v>
      </c>
      <c r="D391" s="85" t="str">
        <f>'Giá tháng'!D$21</f>
        <v>kg</v>
      </c>
      <c r="E391" s="135">
        <f>HaoPhiVatTu!F$147</f>
        <v>51.81</v>
      </c>
      <c r="F391" s="114">
        <f>'Tổng hợp VT'!O$25</f>
        <v>18800</v>
      </c>
      <c r="G391" s="136">
        <f>'Giá tháng'!G$21</f>
        <v>1</v>
      </c>
      <c r="H391" s="114">
        <f>E391*F391*G391</f>
        <v>974028</v>
      </c>
    </row>
    <row r="392" spans="1:8" ht="30" x14ac:dyDescent="0.15">
      <c r="A392" s="276"/>
      <c r="B392" s="85" t="str">
        <f>'Giá tháng'!B$20</f>
        <v>A24.0712</v>
      </c>
      <c r="C392" s="86" t="str">
        <f>'Giá tháng'!C$20</f>
        <v>Thép hình</v>
      </c>
      <c r="D392" s="85" t="str">
        <f>'Giá tháng'!D$20</f>
        <v>kg</v>
      </c>
      <c r="E392" s="135">
        <f>HaoPhiVatTu!F$148</f>
        <v>48.84</v>
      </c>
      <c r="F392" s="114">
        <f>'Tổng hợp VT'!O$24</f>
        <v>18800</v>
      </c>
      <c r="G392" s="136">
        <f>'Giá tháng'!G$20</f>
        <v>1</v>
      </c>
      <c r="H392" s="114">
        <f>E392*F392*G392</f>
        <v>918192.00000000012</v>
      </c>
    </row>
    <row r="393" spans="1:8" ht="30" x14ac:dyDescent="0.15">
      <c r="A393" s="276"/>
      <c r="B393" s="85" t="str">
        <f>'Giá tháng'!B$11</f>
        <v>A24.0262</v>
      </c>
      <c r="C393" s="86" t="str">
        <f>'Giá tháng'!C$11</f>
        <v>Cột chống thép ống</v>
      </c>
      <c r="D393" s="85" t="str">
        <f>'Giá tháng'!D$11</f>
        <v>kg</v>
      </c>
      <c r="E393" s="135">
        <f>HaoPhiVatTu!F$149</f>
        <v>38.130000000000003</v>
      </c>
      <c r="F393" s="114">
        <f>'Tổng hợp VT'!O$15</f>
        <v>12627</v>
      </c>
      <c r="G393" s="136">
        <f>'Giá tháng'!G$11</f>
        <v>1</v>
      </c>
      <c r="H393" s="114">
        <f>E393*F393*G393</f>
        <v>481467.51</v>
      </c>
    </row>
    <row r="394" spans="1:8" ht="30" x14ac:dyDescent="0.15">
      <c r="A394" s="276"/>
      <c r="B394" s="85" t="str">
        <f>'Giá tháng'!B$19</f>
        <v>A24.0543</v>
      </c>
      <c r="C394" s="86" t="str">
        <f>'Giá tháng'!C$19</f>
        <v>Que hàn</v>
      </c>
      <c r="D394" s="85" t="str">
        <f>'Giá tháng'!D$19</f>
        <v>kg</v>
      </c>
      <c r="E394" s="135">
        <f>HaoPhiVatTu!F$150</f>
        <v>5.6</v>
      </c>
      <c r="F394" s="114">
        <f>'Tổng hợp VT'!O$23</f>
        <v>25000</v>
      </c>
      <c r="G394" s="136">
        <f>'Giá tháng'!G$19</f>
        <v>1</v>
      </c>
      <c r="H394" s="114">
        <f>E394*F394*G394</f>
        <v>140000</v>
      </c>
    </row>
    <row r="395" spans="1:8" x14ac:dyDescent="0.15">
      <c r="A395" s="276"/>
      <c r="B395" s="85" t="s">
        <v>478</v>
      </c>
      <c r="C395" s="86" t="s">
        <v>479</v>
      </c>
      <c r="D395" s="85" t="s">
        <v>480</v>
      </c>
      <c r="E395" s="135">
        <f>HaoPhiVatTu!F$151</f>
        <v>5</v>
      </c>
      <c r="F395" s="114">
        <f>SUM(H391:H394)</f>
        <v>2513687.5099999998</v>
      </c>
      <c r="G395" s="85"/>
      <c r="H395" s="114">
        <f>E395*F395/100</f>
        <v>125684.37549999999</v>
      </c>
    </row>
    <row r="396" spans="1:8" x14ac:dyDescent="0.15">
      <c r="A396" s="276"/>
      <c r="B396" s="85"/>
      <c r="C396" s="86" t="s">
        <v>586</v>
      </c>
      <c r="D396" s="85"/>
      <c r="E396" s="86"/>
      <c r="F396" s="114"/>
      <c r="G396" s="85"/>
      <c r="H396" s="114">
        <f>SUM(H391:H395)</f>
        <v>2639371.8854999999</v>
      </c>
    </row>
    <row r="397" spans="1:8" x14ac:dyDescent="0.15">
      <c r="A397" s="274"/>
      <c r="B397" s="146"/>
      <c r="C397" s="145" t="s">
        <v>481</v>
      </c>
      <c r="D397" s="146"/>
      <c r="E397" s="145"/>
      <c r="F397" s="275"/>
      <c r="G397" s="146"/>
      <c r="H397" s="275">
        <f>H398</f>
        <v>8926200</v>
      </c>
    </row>
    <row r="398" spans="1:8" ht="30" x14ac:dyDescent="0.15">
      <c r="A398" s="276"/>
      <c r="B398" s="85" t="str">
        <f>'Giá tháng'!B$30</f>
        <v>N2.40</v>
      </c>
      <c r="C398" s="86" t="str">
        <f>'Giá tháng'!C$30</f>
        <v>Nhân công 4,0/7 - Nhóm 2</v>
      </c>
      <c r="D398" s="85" t="str">
        <f>'Giá tháng'!D$30</f>
        <v>công</v>
      </c>
      <c r="E398" s="135">
        <f>HaoPhiVatTu!F$153</f>
        <v>28.5</v>
      </c>
      <c r="F398" s="114">
        <f>'Tổng hợp VT'!O$37</f>
        <v>313200</v>
      </c>
      <c r="G398" s="136">
        <f>'Giá tháng'!G$30</f>
        <v>1</v>
      </c>
      <c r="H398" s="114">
        <f>E398*F398*G398</f>
        <v>8926200</v>
      </c>
    </row>
    <row r="399" spans="1:8" x14ac:dyDescent="0.15">
      <c r="A399" s="274"/>
      <c r="B399" s="146"/>
      <c r="C399" s="145" t="s">
        <v>482</v>
      </c>
      <c r="D399" s="146"/>
      <c r="E399" s="145"/>
      <c r="F399" s="275"/>
      <c r="G399" s="146"/>
      <c r="H399" s="275">
        <f>H404</f>
        <v>1171482.0156</v>
      </c>
    </row>
    <row r="400" spans="1:8" ht="30" x14ac:dyDescent="0.15">
      <c r="A400" s="276"/>
      <c r="B400" s="85" t="str">
        <f>'Giá tháng'!B$45</f>
        <v>M112.4003</v>
      </c>
      <c r="C400" s="86" t="str">
        <f>'Giá tháng'!C$45</f>
        <v>Máy hàn xoay chiều - công suất : 23,0 kW</v>
      </c>
      <c r="D400" s="85" t="str">
        <f>'Giá tháng'!D$45</f>
        <v>ca</v>
      </c>
      <c r="E400" s="135">
        <f>HaoPhiVatTu!F$155</f>
        <v>1.5</v>
      </c>
      <c r="F400" s="114">
        <f>'Tổng hợp VT'!O$55</f>
        <v>447485</v>
      </c>
      <c r="G400" s="136">
        <f>'Giá tháng'!G$45</f>
        <v>1</v>
      </c>
      <c r="H400" s="114">
        <f>E400*F400*G400</f>
        <v>671227.5</v>
      </c>
    </row>
    <row r="401" spans="1:8" ht="30" x14ac:dyDescent="0.15">
      <c r="A401" s="276"/>
      <c r="B401" s="85" t="str">
        <f>'Giá tháng'!B$49</f>
        <v>M102.1001</v>
      </c>
      <c r="C401" s="86" t="str">
        <f>'Giá tháng'!C$49</f>
        <v>Máy vận thăng lồng - sức nâng : 3,0 T</v>
      </c>
      <c r="D401" s="85" t="str">
        <f>'Giá tháng'!D$49</f>
        <v>ca</v>
      </c>
      <c r="E401" s="135">
        <f>HaoPhiVatTu!F$156</f>
        <v>0.12</v>
      </c>
      <c r="F401" s="114">
        <f>'Tổng hợp VT'!O$59</f>
        <v>857495</v>
      </c>
      <c r="G401" s="136">
        <f>'Giá tháng'!G$49</f>
        <v>1</v>
      </c>
      <c r="H401" s="114">
        <f>E401*F401*G401</f>
        <v>102899.4</v>
      </c>
    </row>
    <row r="402" spans="1:8" ht="30" x14ac:dyDescent="0.15">
      <c r="A402" s="276"/>
      <c r="B402" s="85" t="str">
        <f>'Giá tháng'!B$35</f>
        <v>M102.0406</v>
      </c>
      <c r="C402" s="86" t="str">
        <f>'Giá tháng'!C$35</f>
        <v>Cần trục tháp - sức nâng : 25,0 T</v>
      </c>
      <c r="D402" s="85" t="str">
        <f>'Giá tháng'!D$35</f>
        <v>ca</v>
      </c>
      <c r="E402" s="135">
        <f>HaoPhiVatTu!F$157</f>
        <v>0.12</v>
      </c>
      <c r="F402" s="114">
        <f>'Tổng hợp VT'!O$45</f>
        <v>3119874</v>
      </c>
      <c r="G402" s="136">
        <f>'Giá tháng'!G$35</f>
        <v>1</v>
      </c>
      <c r="H402" s="114">
        <f>E402*F402*G402</f>
        <v>374384.88</v>
      </c>
    </row>
    <row r="403" spans="1:8" x14ac:dyDescent="0.15">
      <c r="A403" s="276"/>
      <c r="B403" s="85" t="s">
        <v>483</v>
      </c>
      <c r="C403" s="86" t="s">
        <v>484</v>
      </c>
      <c r="D403" s="85" t="s">
        <v>480</v>
      </c>
      <c r="E403" s="135">
        <f>HaoPhiVatTu!F$158</f>
        <v>2</v>
      </c>
      <c r="F403" s="114">
        <f>SUM(H400:H402)</f>
        <v>1148511.78</v>
      </c>
      <c r="G403" s="85"/>
      <c r="H403" s="114">
        <f>E403*F403/100</f>
        <v>22970.2356</v>
      </c>
    </row>
    <row r="404" spans="1:8" x14ac:dyDescent="0.15">
      <c r="A404" s="276"/>
      <c r="B404" s="85"/>
      <c r="C404" s="86" t="s">
        <v>586</v>
      </c>
      <c r="D404" s="85"/>
      <c r="E404" s="86"/>
      <c r="F404" s="114"/>
      <c r="G404" s="85"/>
      <c r="H404" s="114">
        <f>SUM(H400:H403)</f>
        <v>1171482.0156</v>
      </c>
    </row>
    <row r="405" spans="1:8" ht="30" x14ac:dyDescent="0.15">
      <c r="A405" s="277"/>
      <c r="B405" s="122"/>
      <c r="C405" s="123" t="s">
        <v>923</v>
      </c>
      <c r="D405" s="122" t="s">
        <v>606</v>
      </c>
      <c r="E405" s="278"/>
      <c r="F405" s="126"/>
      <c r="G405" s="122"/>
      <c r="H405" s="126">
        <f>H390+H397+H399</f>
        <v>12737053.901099999</v>
      </c>
    </row>
    <row r="406" spans="1:8" x14ac:dyDescent="0.15">
      <c r="A406" s="276"/>
      <c r="B406" s="85"/>
      <c r="C406" s="86" t="s">
        <v>608</v>
      </c>
      <c r="D406" s="85" t="str">
        <f>""</f>
        <v/>
      </c>
      <c r="E406" s="279"/>
      <c r="F406" s="114"/>
      <c r="G406" s="85"/>
      <c r="H406" s="114"/>
    </row>
    <row r="407" spans="1:8" x14ac:dyDescent="0.15">
      <c r="A407" s="276"/>
      <c r="B407" s="85"/>
      <c r="C407" s="86" t="str">
        <f>"Chi phí chung (T x "&amp;HSXL!C$14&amp;")"</f>
        <v>Chi phí chung (T x 5,5%)</v>
      </c>
      <c r="D407" s="85" t="s">
        <v>603</v>
      </c>
      <c r="E407" s="279" t="str">
        <f>HSXL!C$14</f>
        <v>5,5%</v>
      </c>
      <c r="F407" s="114"/>
      <c r="G407" s="85"/>
      <c r="H407" s="114">
        <f>H405*HSXL!D$14</f>
        <v>700537.96456049988</v>
      </c>
    </row>
    <row r="408" spans="1:8" ht="45" x14ac:dyDescent="0.15">
      <c r="A408" s="276"/>
      <c r="B408" s="85"/>
      <c r="C408" s="86" t="str">
        <f>"Chi phí nhà tạm để ở và điều hành thi công (T x "&amp;HSXL!C$18&amp;")"</f>
        <v>Chi phí nhà tạm để ở và điều hành thi công (T x 1,1%)</v>
      </c>
      <c r="D408" s="85" t="s">
        <v>611</v>
      </c>
      <c r="E408" s="279" t="str">
        <f>HSXL!C$18</f>
        <v>1,1%</v>
      </c>
      <c r="F408" s="114"/>
      <c r="G408" s="85"/>
      <c r="H408" s="114">
        <f>H405*HSXL!D$18</f>
        <v>140107.59291209996</v>
      </c>
    </row>
    <row r="409" spans="1:8" ht="60" x14ac:dyDescent="0.15">
      <c r="A409" s="276"/>
      <c r="B409" s="85"/>
      <c r="C409" s="86" t="str">
        <f>"Chi phí một số công việc không xác định được khối lượng từ thiết kế (T x "&amp;HSXL!C$13&amp;")"</f>
        <v>Chi phí một số công việc không xác định được khối lượng từ thiết kế (T x 2%)</v>
      </c>
      <c r="D409" s="85" t="s">
        <v>42</v>
      </c>
      <c r="E409" s="279" t="str">
        <f>HSXL!C$13</f>
        <v>2%</v>
      </c>
      <c r="F409" s="114"/>
      <c r="G409" s="85"/>
      <c r="H409" s="114">
        <f>H405*HSXL!D$13</f>
        <v>254741.07802199997</v>
      </c>
    </row>
    <row r="410" spans="1:8" ht="30" x14ac:dyDescent="0.15">
      <c r="A410" s="277"/>
      <c r="B410" s="122"/>
      <c r="C410" s="123" t="s">
        <v>924</v>
      </c>
      <c r="D410" s="122" t="s">
        <v>614</v>
      </c>
      <c r="E410" s="278"/>
      <c r="F410" s="126"/>
      <c r="G410" s="122"/>
      <c r="H410" s="126">
        <f>SUM(H407:H409)</f>
        <v>1095386.6354945998</v>
      </c>
    </row>
    <row r="411" spans="1:8" ht="45" x14ac:dyDescent="0.15">
      <c r="A411" s="276"/>
      <c r="B411" s="85"/>
      <c r="C411" s="86" t="str">
        <f>"THU NHẬP CHỊU THUẾ TÍNH TRƯỚC (T+GT) x "&amp;HSXL!C$16</f>
        <v>THU NHẬP CHỊU THUẾ TÍNH TRƯỚC (T+GT) x 5,5%</v>
      </c>
      <c r="D411" s="85" t="s">
        <v>617</v>
      </c>
      <c r="E411" s="279" t="str">
        <f>HSXL!C$16</f>
        <v>5,5%</v>
      </c>
      <c r="F411" s="114"/>
      <c r="G411" s="85"/>
      <c r="H411" s="114">
        <f>(H405+H410)*HSXL!D$16</f>
        <v>760784.22951270291</v>
      </c>
    </row>
    <row r="412" spans="1:8" ht="30" x14ac:dyDescent="0.15">
      <c r="A412" s="276"/>
      <c r="B412" s="85"/>
      <c r="C412" s="86" t="s">
        <v>925</v>
      </c>
      <c r="D412" s="85" t="s">
        <v>619</v>
      </c>
      <c r="E412" s="279"/>
      <c r="F412" s="114"/>
      <c r="G412" s="85"/>
      <c r="H412" s="114">
        <f>H405+H410+H411</f>
        <v>14593224.7661073</v>
      </c>
    </row>
    <row r="413" spans="1:8" ht="30" x14ac:dyDescent="0.15">
      <c r="A413" s="276"/>
      <c r="B413" s="85"/>
      <c r="C413" s="86" t="str">
        <f>"THUẾ GIÁ TRỊ GIA TĂNG (G x "&amp;HSXL!C$17&amp;")"</f>
        <v>THUẾ GIÁ TRỊ GIA TĂNG (G x 8%)</v>
      </c>
      <c r="D413" s="85" t="s">
        <v>623</v>
      </c>
      <c r="E413" s="192">
        <f>HSXL!D$17</f>
        <v>0.08</v>
      </c>
      <c r="F413" s="114"/>
      <c r="G413" s="85"/>
      <c r="H413" s="114">
        <f>E413*H412</f>
        <v>1167457.9812885839</v>
      </c>
    </row>
    <row r="414" spans="1:8" ht="30" x14ac:dyDescent="0.15">
      <c r="A414" s="280"/>
      <c r="B414" s="281"/>
      <c r="C414" s="282" t="s">
        <v>926</v>
      </c>
      <c r="D414" s="281" t="s">
        <v>626</v>
      </c>
      <c r="E414" s="283"/>
      <c r="F414" s="284"/>
      <c r="G414" s="281"/>
      <c r="H414" s="285">
        <f>H412+H413</f>
        <v>15760682.747395884</v>
      </c>
    </row>
    <row r="415" spans="1:8" ht="75" x14ac:dyDescent="0.15">
      <c r="A415" s="141">
        <f>'Công trình'!A76</f>
        <v>23</v>
      </c>
      <c r="B415" s="122" t="str">
        <f>'Công trình'!E76</f>
        <v>AF.12114A</v>
      </c>
      <c r="C415" s="123" t="str">
        <f>'Công trình'!F76</f>
        <v>Đổ bê tông thủ công bằng máy trộn, bê tông tường chiều dày &lt;= 45cm, chiều cao &lt;= 6m, đá 1x2, mác 250, PCB30</v>
      </c>
      <c r="D415" s="122" t="str">
        <f>'Công trình'!G76</f>
        <v>m3</v>
      </c>
      <c r="E415" s="123">
        <v>1</v>
      </c>
      <c r="F415" s="126"/>
      <c r="G415" s="122"/>
      <c r="H415" s="126"/>
    </row>
    <row r="416" spans="1:8" x14ac:dyDescent="0.15">
      <c r="A416" s="274"/>
      <c r="B416" s="146"/>
      <c r="C416" s="145" t="s">
        <v>477</v>
      </c>
      <c r="D416" s="146"/>
      <c r="E416" s="145"/>
      <c r="F416" s="275"/>
      <c r="G416" s="146"/>
      <c r="H416" s="275">
        <f>H422</f>
        <v>1449607.5825</v>
      </c>
    </row>
    <row r="417" spans="1:8" ht="30" x14ac:dyDescent="0.15">
      <c r="A417" s="276"/>
      <c r="B417" s="85" t="str">
        <f>'Giá tháng'!B$25</f>
        <v>A24.0797A</v>
      </c>
      <c r="C417" s="86" t="str">
        <f>'Giá tháng'!C$25</f>
        <v>Xi măng PCB30</v>
      </c>
      <c r="D417" s="85" t="str">
        <f>'Giá tháng'!D$25</f>
        <v>kg</v>
      </c>
      <c r="E417" s="135">
        <f>HaoPhiVatTu!F$161</f>
        <v>369</v>
      </c>
      <c r="F417" s="114">
        <f>'Tổng hợp VT'!O$29</f>
        <v>1597</v>
      </c>
      <c r="G417" s="136">
        <f>'Giá tháng'!G$25</f>
        <v>1</v>
      </c>
      <c r="H417" s="114">
        <f>E417*F417*G417</f>
        <v>589293</v>
      </c>
    </row>
    <row r="418" spans="1:8" ht="30" x14ac:dyDescent="0.15">
      <c r="A418" s="276"/>
      <c r="B418" s="85" t="str">
        <f>'Giá tháng'!B$7</f>
        <v>A24.0180</v>
      </c>
      <c r="C418" s="86" t="str">
        <f>'Giá tháng'!C$7</f>
        <v>Cát vàng</v>
      </c>
      <c r="D418" s="85" t="str">
        <f>'Giá tháng'!D$7</f>
        <v>m3</v>
      </c>
      <c r="E418" s="135">
        <f>HaoPhiVatTu!F$162</f>
        <v>0.517625</v>
      </c>
      <c r="F418" s="114">
        <f>'Tổng hợp VT'!O$11</f>
        <v>750000</v>
      </c>
      <c r="G418" s="136">
        <f>'Giá tháng'!G$7</f>
        <v>1</v>
      </c>
      <c r="H418" s="114">
        <f>E418*F418*G418</f>
        <v>388218.75</v>
      </c>
    </row>
    <row r="419" spans="1:8" ht="30" x14ac:dyDescent="0.15">
      <c r="A419" s="276"/>
      <c r="B419" s="85" t="str">
        <f>'Giá tháng'!B$13</f>
        <v>A24.0008</v>
      </c>
      <c r="C419" s="86" t="str">
        <f>'Giá tháng'!C$13</f>
        <v>Đá 1x2</v>
      </c>
      <c r="D419" s="85" t="str">
        <f>'Giá tháng'!D$13</f>
        <v>m3</v>
      </c>
      <c r="E419" s="135">
        <f>HaoPhiVatTu!F$163</f>
        <v>0.8528</v>
      </c>
      <c r="F419" s="114">
        <f>'Tổng hợp VT'!O$17</f>
        <v>470000</v>
      </c>
      <c r="G419" s="136">
        <f>'Giá tháng'!G$13</f>
        <v>1</v>
      </c>
      <c r="H419" s="114">
        <f>E419*F419*G419</f>
        <v>400816</v>
      </c>
    </row>
    <row r="420" spans="1:8" ht="30" x14ac:dyDescent="0.15">
      <c r="A420" s="276"/>
      <c r="B420" s="85" t="str">
        <f>'Giá tháng'!B$15</f>
        <v>A24.0524</v>
      </c>
      <c r="C420" s="86" t="str">
        <f>'Giá tháng'!C$15</f>
        <v>Nước</v>
      </c>
      <c r="D420" s="85" t="str">
        <f>'Giá tháng'!D$15</f>
        <v>lít</v>
      </c>
      <c r="E420" s="135">
        <f>HaoPhiVatTu!F$164</f>
        <v>187.57499999999999</v>
      </c>
      <c r="F420" s="114">
        <f>'Tổng hợp VT'!O$19</f>
        <v>12</v>
      </c>
      <c r="G420" s="136">
        <f>'Giá tháng'!G$15</f>
        <v>1</v>
      </c>
      <c r="H420" s="114">
        <f>E420*F420*G420</f>
        <v>2250.8999999999996</v>
      </c>
    </row>
    <row r="421" spans="1:8" x14ac:dyDescent="0.15">
      <c r="A421" s="276"/>
      <c r="B421" s="85" t="s">
        <v>478</v>
      </c>
      <c r="C421" s="86" t="s">
        <v>479</v>
      </c>
      <c r="D421" s="85" t="s">
        <v>480</v>
      </c>
      <c r="E421" s="135">
        <f>HaoPhiVatTu!F$165</f>
        <v>5</v>
      </c>
      <c r="F421" s="114">
        <f>SUM(H417:H420)</f>
        <v>1380578.65</v>
      </c>
      <c r="G421" s="85"/>
      <c r="H421" s="114">
        <f>E421*F421/100</f>
        <v>69028.932499999995</v>
      </c>
    </row>
    <row r="422" spans="1:8" x14ac:dyDescent="0.15">
      <c r="A422" s="276"/>
      <c r="B422" s="85"/>
      <c r="C422" s="86" t="s">
        <v>586</v>
      </c>
      <c r="D422" s="85"/>
      <c r="E422" s="86"/>
      <c r="F422" s="114"/>
      <c r="G422" s="85"/>
      <c r="H422" s="114">
        <f>SUM(H417:H421)</f>
        <v>1449607.5825</v>
      </c>
    </row>
    <row r="423" spans="1:8" x14ac:dyDescent="0.15">
      <c r="A423" s="274"/>
      <c r="B423" s="146"/>
      <c r="C423" s="145" t="s">
        <v>481</v>
      </c>
      <c r="D423" s="146"/>
      <c r="E423" s="145"/>
      <c r="F423" s="275"/>
      <c r="G423" s="146"/>
      <c r="H423" s="275">
        <f>H424</f>
        <v>718365.00000000012</v>
      </c>
    </row>
    <row r="424" spans="1:8" ht="30" x14ac:dyDescent="0.15">
      <c r="A424" s="276"/>
      <c r="B424" s="85" t="str">
        <f>'Giá tháng'!B$29</f>
        <v>N2.35</v>
      </c>
      <c r="C424" s="86" t="str">
        <f>'Giá tháng'!C$29</f>
        <v>Nhân công 3,5/7 - Nhóm 2</v>
      </c>
      <c r="D424" s="85" t="str">
        <f>'Giá tháng'!D$29</f>
        <v>công</v>
      </c>
      <c r="E424" s="135">
        <f>HaoPhiVatTu!F$167</f>
        <v>2.4900000000000002</v>
      </c>
      <c r="F424" s="114">
        <f>'Tổng hợp VT'!O$36</f>
        <v>288500</v>
      </c>
      <c r="G424" s="136">
        <f>'Giá tháng'!G$29</f>
        <v>1</v>
      </c>
      <c r="H424" s="114">
        <f>E424*F424*G424</f>
        <v>718365.00000000012</v>
      </c>
    </row>
    <row r="425" spans="1:8" x14ac:dyDescent="0.15">
      <c r="A425" s="274"/>
      <c r="B425" s="146"/>
      <c r="C425" s="145" t="s">
        <v>482</v>
      </c>
      <c r="D425" s="146"/>
      <c r="E425" s="145"/>
      <c r="F425" s="275"/>
      <c r="G425" s="146"/>
      <c r="H425" s="275">
        <f>H428</f>
        <v>87466.83</v>
      </c>
    </row>
    <row r="426" spans="1:8" ht="30" x14ac:dyDescent="0.15">
      <c r="A426" s="276"/>
      <c r="B426" s="85" t="str">
        <f>'Giá tháng'!B$47</f>
        <v>M104.0102</v>
      </c>
      <c r="C426" s="86" t="str">
        <f>'Giá tháng'!C$47</f>
        <v>Máy trộn bê tông - dung tích : 250,0 lít</v>
      </c>
      <c r="D426" s="85" t="str">
        <f>'Giá tháng'!D$47</f>
        <v>ca</v>
      </c>
      <c r="E426" s="135">
        <f>HaoPhiVatTu!F$169</f>
        <v>9.5000000000000001E-2</v>
      </c>
      <c r="F426" s="114">
        <f>'Tổng hợp VT'!O$57</f>
        <v>347214</v>
      </c>
      <c r="G426" s="136">
        <f>'Giá tháng'!G$47</f>
        <v>1</v>
      </c>
      <c r="H426" s="114">
        <f>E426*F426*G426</f>
        <v>32985.33</v>
      </c>
    </row>
    <row r="427" spans="1:8" ht="30" x14ac:dyDescent="0.15">
      <c r="A427" s="276"/>
      <c r="B427" s="85" t="str">
        <f>'Giá tháng'!B$42</f>
        <v>M112.1301</v>
      </c>
      <c r="C427" s="86" t="str">
        <f>'Giá tháng'!C$42</f>
        <v>Máy đầm bê tông, dầm dùi - công suất : 1,5 kW</v>
      </c>
      <c r="D427" s="85" t="str">
        <f>'Giá tháng'!D$42</f>
        <v>ca</v>
      </c>
      <c r="E427" s="135">
        <f>HaoPhiVatTu!F$170</f>
        <v>0.18</v>
      </c>
      <c r="F427" s="114">
        <f>'Tổng hợp VT'!O$52</f>
        <v>302675</v>
      </c>
      <c r="G427" s="136">
        <f>'Giá tháng'!G$42</f>
        <v>1</v>
      </c>
      <c r="H427" s="114">
        <f>E427*F427*G427</f>
        <v>54481.5</v>
      </c>
    </row>
    <row r="428" spans="1:8" x14ac:dyDescent="0.15">
      <c r="A428" s="276"/>
      <c r="B428" s="85"/>
      <c r="C428" s="86" t="s">
        <v>586</v>
      </c>
      <c r="D428" s="85"/>
      <c r="E428" s="86"/>
      <c r="F428" s="114"/>
      <c r="G428" s="85"/>
      <c r="H428" s="114">
        <f>SUM(H426:H427)</f>
        <v>87466.83</v>
      </c>
    </row>
    <row r="429" spans="1:8" ht="30" x14ac:dyDescent="0.15">
      <c r="A429" s="277"/>
      <c r="B429" s="122"/>
      <c r="C429" s="123" t="s">
        <v>923</v>
      </c>
      <c r="D429" s="122" t="s">
        <v>606</v>
      </c>
      <c r="E429" s="278"/>
      <c r="F429" s="126"/>
      <c r="G429" s="122"/>
      <c r="H429" s="126">
        <f>H416+H423+H425</f>
        <v>2255439.4125000001</v>
      </c>
    </row>
    <row r="430" spans="1:8" x14ac:dyDescent="0.15">
      <c r="A430" s="276"/>
      <c r="B430" s="85"/>
      <c r="C430" s="86" t="s">
        <v>608</v>
      </c>
      <c r="D430" s="85" t="str">
        <f>""</f>
        <v/>
      </c>
      <c r="E430" s="279"/>
      <c r="F430" s="114"/>
      <c r="G430" s="85"/>
      <c r="H430" s="114"/>
    </row>
    <row r="431" spans="1:8" x14ac:dyDescent="0.15">
      <c r="A431" s="276"/>
      <c r="B431" s="85"/>
      <c r="C431" s="86" t="str">
        <f>"Chi phí chung (T x "&amp;HSXL!C$14&amp;")"</f>
        <v>Chi phí chung (T x 5,5%)</v>
      </c>
      <c r="D431" s="85" t="s">
        <v>603</v>
      </c>
      <c r="E431" s="279" t="str">
        <f>HSXL!C$14</f>
        <v>5,5%</v>
      </c>
      <c r="F431" s="114"/>
      <c r="G431" s="85"/>
      <c r="H431" s="114">
        <f>H429*HSXL!D$14</f>
        <v>124049.16768750001</v>
      </c>
    </row>
    <row r="432" spans="1:8" ht="45" x14ac:dyDescent="0.15">
      <c r="A432" s="276"/>
      <c r="B432" s="85"/>
      <c r="C432" s="86" t="str">
        <f>"Chi phí nhà tạm để ở và điều hành thi công (T x "&amp;HSXL!C$18&amp;")"</f>
        <v>Chi phí nhà tạm để ở và điều hành thi công (T x 1,1%)</v>
      </c>
      <c r="D432" s="85" t="s">
        <v>611</v>
      </c>
      <c r="E432" s="279" t="str">
        <f>HSXL!C$18</f>
        <v>1,1%</v>
      </c>
      <c r="F432" s="114"/>
      <c r="G432" s="85"/>
      <c r="H432" s="114">
        <f>H429*HSXL!D$18</f>
        <v>24809.833537499999</v>
      </c>
    </row>
    <row r="433" spans="1:8" ht="60" x14ac:dyDescent="0.15">
      <c r="A433" s="276"/>
      <c r="B433" s="85"/>
      <c r="C433" s="86" t="str">
        <f>"Chi phí một số công việc không xác định được khối lượng từ thiết kế (T x "&amp;HSXL!C$13&amp;")"</f>
        <v>Chi phí một số công việc không xác định được khối lượng từ thiết kế (T x 2%)</v>
      </c>
      <c r="D433" s="85" t="s">
        <v>42</v>
      </c>
      <c r="E433" s="279" t="str">
        <f>HSXL!C$13</f>
        <v>2%</v>
      </c>
      <c r="F433" s="114"/>
      <c r="G433" s="85"/>
      <c r="H433" s="114">
        <f>H429*HSXL!D$13</f>
        <v>45108.788250000005</v>
      </c>
    </row>
    <row r="434" spans="1:8" ht="30" x14ac:dyDescent="0.15">
      <c r="A434" s="277"/>
      <c r="B434" s="122"/>
      <c r="C434" s="123" t="s">
        <v>924</v>
      </c>
      <c r="D434" s="122" t="s">
        <v>614</v>
      </c>
      <c r="E434" s="278"/>
      <c r="F434" s="126"/>
      <c r="G434" s="122"/>
      <c r="H434" s="126">
        <f>SUM(H431:H433)</f>
        <v>193967.78947500003</v>
      </c>
    </row>
    <row r="435" spans="1:8" ht="45" x14ac:dyDescent="0.15">
      <c r="A435" s="276"/>
      <c r="B435" s="85"/>
      <c r="C435" s="86" t="str">
        <f>"THU NHẬP CHỊU THUẾ TÍNH TRƯỚC (T+GT) x "&amp;HSXL!C$16</f>
        <v>THU NHẬP CHỊU THUẾ TÍNH TRƯỚC (T+GT) x 5,5%</v>
      </c>
      <c r="D435" s="85" t="s">
        <v>617</v>
      </c>
      <c r="E435" s="279" t="str">
        <f>HSXL!C$16</f>
        <v>5,5%</v>
      </c>
      <c r="F435" s="114"/>
      <c r="G435" s="85"/>
      <c r="H435" s="114">
        <f>(H429+H434)*HSXL!D$16</f>
        <v>134717.39610862502</v>
      </c>
    </row>
    <row r="436" spans="1:8" ht="30" x14ac:dyDescent="0.15">
      <c r="A436" s="276"/>
      <c r="B436" s="85"/>
      <c r="C436" s="86" t="s">
        <v>925</v>
      </c>
      <c r="D436" s="85" t="s">
        <v>619</v>
      </c>
      <c r="E436" s="279"/>
      <c r="F436" s="114"/>
      <c r="G436" s="85"/>
      <c r="H436" s="114">
        <f>H429+H434+H435</f>
        <v>2584124.5980836251</v>
      </c>
    </row>
    <row r="437" spans="1:8" ht="30" x14ac:dyDescent="0.15">
      <c r="A437" s="276"/>
      <c r="B437" s="85"/>
      <c r="C437" s="86" t="str">
        <f>"THUẾ GIÁ TRỊ GIA TĂNG (G x "&amp;HSXL!C$17&amp;")"</f>
        <v>THUẾ GIÁ TRỊ GIA TĂNG (G x 8%)</v>
      </c>
      <c r="D437" s="85" t="s">
        <v>623</v>
      </c>
      <c r="E437" s="192">
        <f>HSXL!D$17</f>
        <v>0.08</v>
      </c>
      <c r="F437" s="114"/>
      <c r="G437" s="85"/>
      <c r="H437" s="114">
        <f>E437*H436</f>
        <v>206729.96784669001</v>
      </c>
    </row>
    <row r="438" spans="1:8" ht="30" x14ac:dyDescent="0.15">
      <c r="A438" s="280"/>
      <c r="B438" s="281"/>
      <c r="C438" s="282" t="s">
        <v>926</v>
      </c>
      <c r="D438" s="281" t="s">
        <v>626</v>
      </c>
      <c r="E438" s="283"/>
      <c r="F438" s="284"/>
      <c r="G438" s="281"/>
      <c r="H438" s="285">
        <f>H436+H437</f>
        <v>2790854.5659303153</v>
      </c>
    </row>
    <row r="439" spans="1:8" x14ac:dyDescent="0.15">
      <c r="A439" s="141">
        <f>'Công trình'!A78</f>
        <v>24</v>
      </c>
      <c r="B439" s="122" t="str">
        <f>'Công trình'!E78</f>
        <v>TT</v>
      </c>
      <c r="C439" s="123" t="str">
        <f>'Công trình'!F78</f>
        <v>Băng cản nước</v>
      </c>
      <c r="D439" s="122" t="str">
        <f>'Công trình'!G78</f>
        <v>m2</v>
      </c>
      <c r="E439" s="123">
        <v>1</v>
      </c>
      <c r="F439" s="126"/>
      <c r="G439" s="122"/>
      <c r="H439" s="126"/>
    </row>
    <row r="440" spans="1:8" x14ac:dyDescent="0.15">
      <c r="A440" s="274"/>
      <c r="B440" s="146"/>
      <c r="C440" s="145" t="s">
        <v>477</v>
      </c>
      <c r="D440" s="146"/>
      <c r="E440" s="145"/>
      <c r="F440" s="275"/>
      <c r="G440" s="146"/>
      <c r="H440" s="275">
        <f>H441</f>
        <v>300000</v>
      </c>
    </row>
    <row r="441" spans="1:8" x14ac:dyDescent="0.15">
      <c r="A441" s="276"/>
      <c r="B441" s="85" t="str">
        <f>""</f>
        <v/>
      </c>
      <c r="C441" s="86" t="s">
        <v>28</v>
      </c>
      <c r="D441" s="85" t="str">
        <f>""</f>
        <v/>
      </c>
      <c r="E441" s="135">
        <v>1</v>
      </c>
      <c r="F441" s="114">
        <f>'Tổng hợp VT'!O8</f>
        <v>300000</v>
      </c>
      <c r="G441" s="85"/>
      <c r="H441" s="114">
        <f>E441*F441</f>
        <v>300000</v>
      </c>
    </row>
    <row r="442" spans="1:8" ht="30" x14ac:dyDescent="0.15">
      <c r="A442" s="277"/>
      <c r="B442" s="122"/>
      <c r="C442" s="123" t="s">
        <v>923</v>
      </c>
      <c r="D442" s="122" t="s">
        <v>606</v>
      </c>
      <c r="E442" s="278"/>
      <c r="F442" s="126"/>
      <c r="G442" s="122"/>
      <c r="H442" s="126">
        <f>H440</f>
        <v>300000</v>
      </c>
    </row>
    <row r="443" spans="1:8" x14ac:dyDescent="0.15">
      <c r="A443" s="276"/>
      <c r="B443" s="85"/>
      <c r="C443" s="86" t="s">
        <v>608</v>
      </c>
      <c r="D443" s="85" t="str">
        <f>""</f>
        <v/>
      </c>
      <c r="E443" s="279"/>
      <c r="F443" s="114"/>
      <c r="G443" s="85"/>
      <c r="H443" s="114"/>
    </row>
    <row r="444" spans="1:8" x14ac:dyDescent="0.15">
      <c r="A444" s="276"/>
      <c r="B444" s="85"/>
      <c r="C444" s="86" t="str">
        <f>"Chi phí chung (T x "&amp;HSXL!C$14&amp;")"</f>
        <v>Chi phí chung (T x 5,5%)</v>
      </c>
      <c r="D444" s="85" t="s">
        <v>603</v>
      </c>
      <c r="E444" s="279" t="str">
        <f>HSXL!C$14</f>
        <v>5,5%</v>
      </c>
      <c r="F444" s="114"/>
      <c r="G444" s="85"/>
      <c r="H444" s="114">
        <f>H442*HSXL!D$14</f>
        <v>16500</v>
      </c>
    </row>
    <row r="445" spans="1:8" ht="45" x14ac:dyDescent="0.15">
      <c r="A445" s="276"/>
      <c r="B445" s="85"/>
      <c r="C445" s="86" t="str">
        <f>"Chi phí nhà tạm để ở và điều hành thi công (T x "&amp;HSXL!C$18&amp;")"</f>
        <v>Chi phí nhà tạm để ở và điều hành thi công (T x 1,1%)</v>
      </c>
      <c r="D445" s="85" t="s">
        <v>611</v>
      </c>
      <c r="E445" s="279" t="str">
        <f>HSXL!C$18</f>
        <v>1,1%</v>
      </c>
      <c r="F445" s="114"/>
      <c r="G445" s="85"/>
      <c r="H445" s="114">
        <f>H442*HSXL!D$18</f>
        <v>3300</v>
      </c>
    </row>
    <row r="446" spans="1:8" ht="60" x14ac:dyDescent="0.15">
      <c r="A446" s="276"/>
      <c r="B446" s="85"/>
      <c r="C446" s="86" t="str">
        <f>"Chi phí một số công việc không xác định được khối lượng từ thiết kế (T x "&amp;HSXL!C$13&amp;")"</f>
        <v>Chi phí một số công việc không xác định được khối lượng từ thiết kế (T x 2%)</v>
      </c>
      <c r="D446" s="85" t="s">
        <v>42</v>
      </c>
      <c r="E446" s="279" t="str">
        <f>HSXL!C$13</f>
        <v>2%</v>
      </c>
      <c r="F446" s="114"/>
      <c r="G446" s="85"/>
      <c r="H446" s="114">
        <f>H442*HSXL!D$13</f>
        <v>6000</v>
      </c>
    </row>
    <row r="447" spans="1:8" ht="30" x14ac:dyDescent="0.15">
      <c r="A447" s="277"/>
      <c r="B447" s="122"/>
      <c r="C447" s="123" t="s">
        <v>924</v>
      </c>
      <c r="D447" s="122" t="s">
        <v>614</v>
      </c>
      <c r="E447" s="278"/>
      <c r="F447" s="126"/>
      <c r="G447" s="122"/>
      <c r="H447" s="126">
        <f>SUM(H444:H446)</f>
        <v>25800</v>
      </c>
    </row>
    <row r="448" spans="1:8" ht="45" x14ac:dyDescent="0.15">
      <c r="A448" s="276"/>
      <c r="B448" s="85"/>
      <c r="C448" s="86" t="str">
        <f>"THU NHẬP CHỊU THUẾ TÍNH TRƯỚC (T+GT) x "&amp;HSXL!C$16</f>
        <v>THU NHẬP CHỊU THUẾ TÍNH TRƯỚC (T+GT) x 5,5%</v>
      </c>
      <c r="D448" s="85" t="s">
        <v>617</v>
      </c>
      <c r="E448" s="279" t="str">
        <f>HSXL!C$16</f>
        <v>5,5%</v>
      </c>
      <c r="F448" s="114"/>
      <c r="G448" s="85"/>
      <c r="H448" s="114">
        <f>(H442+H447)*HSXL!D$16</f>
        <v>17919</v>
      </c>
    </row>
    <row r="449" spans="1:8" ht="30" x14ac:dyDescent="0.15">
      <c r="A449" s="276"/>
      <c r="B449" s="85"/>
      <c r="C449" s="86" t="s">
        <v>925</v>
      </c>
      <c r="D449" s="85" t="s">
        <v>619</v>
      </c>
      <c r="E449" s="279"/>
      <c r="F449" s="114"/>
      <c r="G449" s="85"/>
      <c r="H449" s="114">
        <f>H442+H447+H448</f>
        <v>343719</v>
      </c>
    </row>
    <row r="450" spans="1:8" ht="30" x14ac:dyDescent="0.15">
      <c r="A450" s="276"/>
      <c r="B450" s="85"/>
      <c r="C450" s="86" t="str">
        <f>"THUẾ GIÁ TRỊ GIA TĂNG (G x "&amp;HSXL!C$17&amp;")"</f>
        <v>THUẾ GIÁ TRỊ GIA TĂNG (G x 8%)</v>
      </c>
      <c r="D450" s="85" t="s">
        <v>623</v>
      </c>
      <c r="E450" s="192">
        <f>HSXL!D$17</f>
        <v>0.08</v>
      </c>
      <c r="F450" s="114"/>
      <c r="G450" s="85"/>
      <c r="H450" s="114">
        <f>E450*H449</f>
        <v>27497.52</v>
      </c>
    </row>
    <row r="451" spans="1:8" ht="30" x14ac:dyDescent="0.15">
      <c r="A451" s="280"/>
      <c r="B451" s="281"/>
      <c r="C451" s="282" t="s">
        <v>926</v>
      </c>
      <c r="D451" s="281" t="s">
        <v>626</v>
      </c>
      <c r="E451" s="283"/>
      <c r="F451" s="284"/>
      <c r="G451" s="281"/>
      <c r="H451" s="285">
        <f>H449+H450</f>
        <v>371216.52</v>
      </c>
    </row>
    <row r="452" spans="1:8" ht="75" x14ac:dyDescent="0.15">
      <c r="A452" s="141">
        <f>'Công trình'!A81</f>
        <v>25</v>
      </c>
      <c r="B452" s="122" t="str">
        <f>'Công trình'!E81</f>
        <v>AF.86111</v>
      </c>
      <c r="C452" s="123" t="str">
        <f>'Công trình'!F81</f>
        <v>Ván khuôn thép, khung xương thép, cột chống bằng thép ống. Ván khuôn sàn mái, chiều cao &lt;= 28m</v>
      </c>
      <c r="D452" s="122" t="str">
        <f>'Công trình'!G81</f>
        <v>100m2</v>
      </c>
      <c r="E452" s="123">
        <v>1</v>
      </c>
      <c r="F452" s="126"/>
      <c r="G452" s="122"/>
      <c r="H452" s="126"/>
    </row>
    <row r="453" spans="1:8" x14ac:dyDescent="0.15">
      <c r="A453" s="274"/>
      <c r="B453" s="146"/>
      <c r="C453" s="145" t="s">
        <v>477</v>
      </c>
      <c r="D453" s="146"/>
      <c r="E453" s="145"/>
      <c r="F453" s="275"/>
      <c r="G453" s="146"/>
      <c r="H453" s="275">
        <f>H459</f>
        <v>2449811.7524999999</v>
      </c>
    </row>
    <row r="454" spans="1:8" ht="30" x14ac:dyDescent="0.15">
      <c r="A454" s="276"/>
      <c r="B454" s="85" t="str">
        <f>'Giá tháng'!B$21</f>
        <v>A24.0726</v>
      </c>
      <c r="C454" s="86" t="str">
        <f>'Giá tháng'!C$21</f>
        <v>Thép tấm</v>
      </c>
      <c r="D454" s="85" t="str">
        <f>'Giá tháng'!D$21</f>
        <v>kg</v>
      </c>
      <c r="E454" s="135">
        <f>HaoPhiVatTu!F$173</f>
        <v>51.81</v>
      </c>
      <c r="F454" s="114">
        <f>'Tổng hợp VT'!O$25</f>
        <v>18800</v>
      </c>
      <c r="G454" s="136">
        <f>'Giá tháng'!G$21</f>
        <v>1</v>
      </c>
      <c r="H454" s="114">
        <f>E454*F454*G454</f>
        <v>974028</v>
      </c>
    </row>
    <row r="455" spans="1:8" ht="30" x14ac:dyDescent="0.15">
      <c r="A455" s="276"/>
      <c r="B455" s="85" t="str">
        <f>'Giá tháng'!B$20</f>
        <v>A24.0712</v>
      </c>
      <c r="C455" s="86" t="str">
        <f>'Giá tháng'!C$20</f>
        <v>Thép hình</v>
      </c>
      <c r="D455" s="85" t="str">
        <f>'Giá tháng'!D$20</f>
        <v>kg</v>
      </c>
      <c r="E455" s="135">
        <f>HaoPhiVatTu!F$174</f>
        <v>40.700000000000003</v>
      </c>
      <c r="F455" s="114">
        <f>'Tổng hợp VT'!O$24</f>
        <v>18800</v>
      </c>
      <c r="G455" s="136">
        <f>'Giá tháng'!G$20</f>
        <v>1</v>
      </c>
      <c r="H455" s="114">
        <f>E455*F455*G455</f>
        <v>765160</v>
      </c>
    </row>
    <row r="456" spans="1:8" ht="30" x14ac:dyDescent="0.15">
      <c r="A456" s="276"/>
      <c r="B456" s="85" t="str">
        <f>'Giá tháng'!B$11</f>
        <v>A24.0262</v>
      </c>
      <c r="C456" s="86" t="str">
        <f>'Giá tháng'!C$11</f>
        <v>Cột chống thép ống</v>
      </c>
      <c r="D456" s="85" t="str">
        <f>'Giá tháng'!D$11</f>
        <v>kg</v>
      </c>
      <c r="E456" s="135">
        <f>HaoPhiVatTu!F$175</f>
        <v>36.15</v>
      </c>
      <c r="F456" s="114">
        <f>'Tổng hợp VT'!O$15</f>
        <v>12627</v>
      </c>
      <c r="G456" s="136">
        <f>'Giá tháng'!G$11</f>
        <v>1</v>
      </c>
      <c r="H456" s="114">
        <f>E456*F456*G456</f>
        <v>456466.05</v>
      </c>
    </row>
    <row r="457" spans="1:8" ht="30" x14ac:dyDescent="0.15">
      <c r="A457" s="276"/>
      <c r="B457" s="85" t="str">
        <f>'Giá tháng'!B$19</f>
        <v>A24.0543</v>
      </c>
      <c r="C457" s="86" t="str">
        <f>'Giá tháng'!C$19</f>
        <v>Que hàn</v>
      </c>
      <c r="D457" s="85" t="str">
        <f>'Giá tháng'!D$19</f>
        <v>kg</v>
      </c>
      <c r="E457" s="135">
        <f>HaoPhiVatTu!F$176</f>
        <v>5.5</v>
      </c>
      <c r="F457" s="114">
        <f>'Tổng hợp VT'!O$23</f>
        <v>25000</v>
      </c>
      <c r="G457" s="136">
        <f>'Giá tháng'!G$19</f>
        <v>1</v>
      </c>
      <c r="H457" s="114">
        <f>E457*F457*G457</f>
        <v>137500</v>
      </c>
    </row>
    <row r="458" spans="1:8" x14ac:dyDescent="0.15">
      <c r="A458" s="276"/>
      <c r="B458" s="85" t="s">
        <v>478</v>
      </c>
      <c r="C458" s="86" t="s">
        <v>479</v>
      </c>
      <c r="D458" s="85" t="s">
        <v>480</v>
      </c>
      <c r="E458" s="135">
        <f>HaoPhiVatTu!F$177</f>
        <v>5</v>
      </c>
      <c r="F458" s="114">
        <f>SUM(H454:H457)</f>
        <v>2333154.0499999998</v>
      </c>
      <c r="G458" s="85"/>
      <c r="H458" s="114">
        <f>E458*F458/100</f>
        <v>116657.7025</v>
      </c>
    </row>
    <row r="459" spans="1:8" x14ac:dyDescent="0.15">
      <c r="A459" s="276"/>
      <c r="B459" s="85"/>
      <c r="C459" s="86" t="s">
        <v>586</v>
      </c>
      <c r="D459" s="85"/>
      <c r="E459" s="86"/>
      <c r="F459" s="114"/>
      <c r="G459" s="85"/>
      <c r="H459" s="114">
        <f>SUM(H454:H458)</f>
        <v>2449811.7524999999</v>
      </c>
    </row>
    <row r="460" spans="1:8" x14ac:dyDescent="0.15">
      <c r="A460" s="274"/>
      <c r="B460" s="146"/>
      <c r="C460" s="145" t="s">
        <v>481</v>
      </c>
      <c r="D460" s="146"/>
      <c r="E460" s="145"/>
      <c r="F460" s="275"/>
      <c r="G460" s="146"/>
      <c r="H460" s="275">
        <f>H461</f>
        <v>6264000</v>
      </c>
    </row>
    <row r="461" spans="1:8" ht="30" x14ac:dyDescent="0.15">
      <c r="A461" s="276"/>
      <c r="B461" s="85" t="str">
        <f>'Giá tháng'!B$30</f>
        <v>N2.40</v>
      </c>
      <c r="C461" s="86" t="str">
        <f>'Giá tháng'!C$30</f>
        <v>Nhân công 4,0/7 - Nhóm 2</v>
      </c>
      <c r="D461" s="85" t="str">
        <f>'Giá tháng'!D$30</f>
        <v>công</v>
      </c>
      <c r="E461" s="135">
        <f>HaoPhiVatTu!F$179</f>
        <v>20</v>
      </c>
      <c r="F461" s="114">
        <f>'Tổng hợp VT'!O$37</f>
        <v>313200</v>
      </c>
      <c r="G461" s="136">
        <f>'Giá tháng'!G$30</f>
        <v>1</v>
      </c>
      <c r="H461" s="114">
        <f>E461*F461*G461</f>
        <v>6264000</v>
      </c>
    </row>
    <row r="462" spans="1:8" x14ac:dyDescent="0.15">
      <c r="A462" s="274"/>
      <c r="B462" s="146"/>
      <c r="C462" s="145" t="s">
        <v>482</v>
      </c>
      <c r="D462" s="146"/>
      <c r="E462" s="145"/>
      <c r="F462" s="275"/>
      <c r="G462" s="146"/>
      <c r="H462" s="275">
        <f>H467</f>
        <v>1171482.0156</v>
      </c>
    </row>
    <row r="463" spans="1:8" ht="30" x14ac:dyDescent="0.15">
      <c r="A463" s="276"/>
      <c r="B463" s="85" t="str">
        <f>'Giá tháng'!B$45</f>
        <v>M112.4003</v>
      </c>
      <c r="C463" s="86" t="str">
        <f>'Giá tháng'!C$45</f>
        <v>Máy hàn xoay chiều - công suất : 23,0 kW</v>
      </c>
      <c r="D463" s="85" t="str">
        <f>'Giá tháng'!D$45</f>
        <v>ca</v>
      </c>
      <c r="E463" s="135">
        <f>HaoPhiVatTu!F$181</f>
        <v>1.5</v>
      </c>
      <c r="F463" s="114">
        <f>'Tổng hợp VT'!O$55</f>
        <v>447485</v>
      </c>
      <c r="G463" s="136">
        <f>'Giá tháng'!G$45</f>
        <v>1</v>
      </c>
      <c r="H463" s="114">
        <f>E463*F463*G463</f>
        <v>671227.5</v>
      </c>
    </row>
    <row r="464" spans="1:8" ht="30" x14ac:dyDescent="0.15">
      <c r="A464" s="276"/>
      <c r="B464" s="85" t="str">
        <f>'Giá tháng'!B$49</f>
        <v>M102.1001</v>
      </c>
      <c r="C464" s="86" t="str">
        <f>'Giá tháng'!C$49</f>
        <v>Máy vận thăng lồng - sức nâng : 3,0 T</v>
      </c>
      <c r="D464" s="85" t="str">
        <f>'Giá tháng'!D$49</f>
        <v>ca</v>
      </c>
      <c r="E464" s="135">
        <f>HaoPhiVatTu!F$182</f>
        <v>0.12</v>
      </c>
      <c r="F464" s="114">
        <f>'Tổng hợp VT'!O$59</f>
        <v>857495</v>
      </c>
      <c r="G464" s="136">
        <f>'Giá tháng'!G$49</f>
        <v>1</v>
      </c>
      <c r="H464" s="114">
        <f>E464*F464*G464</f>
        <v>102899.4</v>
      </c>
    </row>
    <row r="465" spans="1:8" ht="30" x14ac:dyDescent="0.15">
      <c r="A465" s="276"/>
      <c r="B465" s="85" t="str">
        <f>'Giá tháng'!B$35</f>
        <v>M102.0406</v>
      </c>
      <c r="C465" s="86" t="str">
        <f>'Giá tháng'!C$35</f>
        <v>Cần trục tháp - sức nâng : 25,0 T</v>
      </c>
      <c r="D465" s="85" t="str">
        <f>'Giá tháng'!D$35</f>
        <v>ca</v>
      </c>
      <c r="E465" s="135">
        <f>HaoPhiVatTu!F$183</f>
        <v>0.12</v>
      </c>
      <c r="F465" s="114">
        <f>'Tổng hợp VT'!O$45</f>
        <v>3119874</v>
      </c>
      <c r="G465" s="136">
        <f>'Giá tháng'!G$35</f>
        <v>1</v>
      </c>
      <c r="H465" s="114">
        <f>E465*F465*G465</f>
        <v>374384.88</v>
      </c>
    </row>
    <row r="466" spans="1:8" x14ac:dyDescent="0.15">
      <c r="A466" s="276"/>
      <c r="B466" s="85" t="s">
        <v>483</v>
      </c>
      <c r="C466" s="86" t="s">
        <v>484</v>
      </c>
      <c r="D466" s="85" t="s">
        <v>480</v>
      </c>
      <c r="E466" s="135">
        <f>HaoPhiVatTu!F$184</f>
        <v>2</v>
      </c>
      <c r="F466" s="114">
        <f>SUM(H463:H465)</f>
        <v>1148511.78</v>
      </c>
      <c r="G466" s="85"/>
      <c r="H466" s="114">
        <f>E466*F466/100</f>
        <v>22970.2356</v>
      </c>
    </row>
    <row r="467" spans="1:8" x14ac:dyDescent="0.15">
      <c r="A467" s="276"/>
      <c r="B467" s="85"/>
      <c r="C467" s="86" t="s">
        <v>586</v>
      </c>
      <c r="D467" s="85"/>
      <c r="E467" s="86"/>
      <c r="F467" s="114"/>
      <c r="G467" s="85"/>
      <c r="H467" s="114">
        <f>SUM(H463:H466)</f>
        <v>1171482.0156</v>
      </c>
    </row>
    <row r="468" spans="1:8" ht="30" x14ac:dyDescent="0.15">
      <c r="A468" s="277"/>
      <c r="B468" s="122"/>
      <c r="C468" s="123" t="s">
        <v>923</v>
      </c>
      <c r="D468" s="122" t="s">
        <v>606</v>
      </c>
      <c r="E468" s="278"/>
      <c r="F468" s="126"/>
      <c r="G468" s="122"/>
      <c r="H468" s="126">
        <f>H453+H460+H462</f>
        <v>9885293.7680999991</v>
      </c>
    </row>
    <row r="469" spans="1:8" x14ac:dyDescent="0.15">
      <c r="A469" s="276"/>
      <c r="B469" s="85"/>
      <c r="C469" s="86" t="s">
        <v>608</v>
      </c>
      <c r="D469" s="85" t="str">
        <f>""</f>
        <v/>
      </c>
      <c r="E469" s="279"/>
      <c r="F469" s="114"/>
      <c r="G469" s="85"/>
      <c r="H469" s="114"/>
    </row>
    <row r="470" spans="1:8" x14ac:dyDescent="0.15">
      <c r="A470" s="276"/>
      <c r="B470" s="85"/>
      <c r="C470" s="86" t="str">
        <f>"Chi phí chung (T x "&amp;HSXL!C$14&amp;")"</f>
        <v>Chi phí chung (T x 5,5%)</v>
      </c>
      <c r="D470" s="85" t="s">
        <v>603</v>
      </c>
      <c r="E470" s="279" t="str">
        <f>HSXL!C$14</f>
        <v>5,5%</v>
      </c>
      <c r="F470" s="114"/>
      <c r="G470" s="85"/>
      <c r="H470" s="114">
        <f>H468*HSXL!D$14</f>
        <v>543691.1572454999</v>
      </c>
    </row>
    <row r="471" spans="1:8" ht="45" x14ac:dyDescent="0.15">
      <c r="A471" s="276"/>
      <c r="B471" s="85"/>
      <c r="C471" s="86" t="str">
        <f>"Chi phí nhà tạm để ở và điều hành thi công (T x "&amp;HSXL!C$18&amp;")"</f>
        <v>Chi phí nhà tạm để ở và điều hành thi công (T x 1,1%)</v>
      </c>
      <c r="D471" s="85" t="s">
        <v>611</v>
      </c>
      <c r="E471" s="279" t="str">
        <f>HSXL!C$18</f>
        <v>1,1%</v>
      </c>
      <c r="F471" s="114"/>
      <c r="G471" s="85"/>
      <c r="H471" s="114">
        <f>H468*HSXL!D$18</f>
        <v>108738.23144909999</v>
      </c>
    </row>
    <row r="472" spans="1:8" ht="60" x14ac:dyDescent="0.15">
      <c r="A472" s="276"/>
      <c r="B472" s="85"/>
      <c r="C472" s="86" t="str">
        <f>"Chi phí một số công việc không xác định được khối lượng từ thiết kế (T x "&amp;HSXL!C$13&amp;")"</f>
        <v>Chi phí một số công việc không xác định được khối lượng từ thiết kế (T x 2%)</v>
      </c>
      <c r="D472" s="85" t="s">
        <v>42</v>
      </c>
      <c r="E472" s="279" t="str">
        <f>HSXL!C$13</f>
        <v>2%</v>
      </c>
      <c r="F472" s="114"/>
      <c r="G472" s="85"/>
      <c r="H472" s="114">
        <f>H468*HSXL!D$13</f>
        <v>197705.87536199999</v>
      </c>
    </row>
    <row r="473" spans="1:8" ht="30" x14ac:dyDescent="0.15">
      <c r="A473" s="277"/>
      <c r="B473" s="122"/>
      <c r="C473" s="123" t="s">
        <v>924</v>
      </c>
      <c r="D473" s="122" t="s">
        <v>614</v>
      </c>
      <c r="E473" s="278"/>
      <c r="F473" s="126"/>
      <c r="G473" s="122"/>
      <c r="H473" s="126">
        <f>SUM(H470:H472)</f>
        <v>850135.26405659982</v>
      </c>
    </row>
    <row r="474" spans="1:8" ht="45" x14ac:dyDescent="0.15">
      <c r="A474" s="276"/>
      <c r="B474" s="85"/>
      <c r="C474" s="86" t="str">
        <f>"THU NHẬP CHỊU THUẾ TÍNH TRƯỚC (T+GT) x "&amp;HSXL!C$16</f>
        <v>THU NHẬP CHỊU THUẾ TÍNH TRƯỚC (T+GT) x 5,5%</v>
      </c>
      <c r="D474" s="85" t="s">
        <v>617</v>
      </c>
      <c r="E474" s="279" t="str">
        <f>HSXL!C$16</f>
        <v>5,5%</v>
      </c>
      <c r="F474" s="114"/>
      <c r="G474" s="85"/>
      <c r="H474" s="114">
        <f>(H468+H473)*HSXL!D$16</f>
        <v>590448.59676861297</v>
      </c>
    </row>
    <row r="475" spans="1:8" ht="30" x14ac:dyDescent="0.15">
      <c r="A475" s="276"/>
      <c r="B475" s="85"/>
      <c r="C475" s="86" t="s">
        <v>925</v>
      </c>
      <c r="D475" s="85" t="s">
        <v>619</v>
      </c>
      <c r="E475" s="279"/>
      <c r="F475" s="114"/>
      <c r="G475" s="85"/>
      <c r="H475" s="114">
        <f>H468+H473+H474</f>
        <v>11325877.628925212</v>
      </c>
    </row>
    <row r="476" spans="1:8" ht="30" x14ac:dyDescent="0.15">
      <c r="A476" s="276"/>
      <c r="B476" s="85"/>
      <c r="C476" s="86" t="str">
        <f>"THUẾ GIÁ TRỊ GIA TĂNG (G x "&amp;HSXL!C$17&amp;")"</f>
        <v>THUẾ GIÁ TRỊ GIA TĂNG (G x 8%)</v>
      </c>
      <c r="D476" s="85" t="s">
        <v>623</v>
      </c>
      <c r="E476" s="192">
        <f>HSXL!D$17</f>
        <v>0.08</v>
      </c>
      <c r="F476" s="114"/>
      <c r="G476" s="85"/>
      <c r="H476" s="114">
        <f>E476*H475</f>
        <v>906070.21031401691</v>
      </c>
    </row>
    <row r="477" spans="1:8" ht="30" x14ac:dyDescent="0.15">
      <c r="A477" s="280"/>
      <c r="B477" s="281"/>
      <c r="C477" s="282" t="s">
        <v>926</v>
      </c>
      <c r="D477" s="281" t="s">
        <v>626</v>
      </c>
      <c r="E477" s="283"/>
      <c r="F477" s="284"/>
      <c r="G477" s="281"/>
      <c r="H477" s="285">
        <f>H475+H476</f>
        <v>12231947.839239229</v>
      </c>
    </row>
    <row r="478" spans="1:8" ht="75" x14ac:dyDescent="0.15">
      <c r="A478" s="141">
        <f>'Công trình'!A83</f>
        <v>26</v>
      </c>
      <c r="B478" s="122" t="str">
        <f>'Công trình'!E83</f>
        <v>AF.61711</v>
      </c>
      <c r="C478" s="123" t="str">
        <f>'Công trình'!F83</f>
        <v>Công tác gia công lắp dựng cốt thép. Cốt thép sàn mái, đường kính cốt thép &lt;=10mm, chiều cao &lt;= 28m</v>
      </c>
      <c r="D478" s="122" t="str">
        <f>'Công trình'!G83</f>
        <v>tấn</v>
      </c>
      <c r="E478" s="123">
        <v>1</v>
      </c>
      <c r="F478" s="126"/>
      <c r="G478" s="122"/>
      <c r="H478" s="126"/>
    </row>
    <row r="479" spans="1:8" x14ac:dyDescent="0.15">
      <c r="A479" s="274"/>
      <c r="B479" s="146"/>
      <c r="C479" s="145" t="s">
        <v>477</v>
      </c>
      <c r="D479" s="146"/>
      <c r="E479" s="145"/>
      <c r="F479" s="275"/>
      <c r="G479" s="146"/>
      <c r="H479" s="275">
        <f>H482</f>
        <v>15094900</v>
      </c>
    </row>
    <row r="480" spans="1:8" ht="30" x14ac:dyDescent="0.15">
      <c r="A480" s="276"/>
      <c r="B480" s="85" t="str">
        <f>'Giá tháng'!B$22</f>
        <v>A24.0738</v>
      </c>
      <c r="C480" s="86" t="str">
        <f>'Giá tháng'!C$22</f>
        <v>Thép tròn D&lt;=10mm</v>
      </c>
      <c r="D480" s="85" t="str">
        <f>'Giá tháng'!D$22</f>
        <v>kg</v>
      </c>
      <c r="E480" s="135">
        <f>HaoPhiVatTu!F$187</f>
        <v>1005</v>
      </c>
      <c r="F480" s="114">
        <f>'Tổng hợp VT'!O$26</f>
        <v>14700</v>
      </c>
      <c r="G480" s="136">
        <f>'Giá tháng'!G$22</f>
        <v>1</v>
      </c>
      <c r="H480" s="114">
        <f>E480*F480*G480</f>
        <v>14773500</v>
      </c>
    </row>
    <row r="481" spans="1:8" ht="30" x14ac:dyDescent="0.15">
      <c r="A481" s="276"/>
      <c r="B481" s="85" t="str">
        <f>'Giá tháng'!B$12</f>
        <v>A24.0293</v>
      </c>
      <c r="C481" s="86" t="str">
        <f>'Giá tháng'!C$12</f>
        <v>Dây thép</v>
      </c>
      <c r="D481" s="85" t="str">
        <f>'Giá tháng'!D$12</f>
        <v>kg</v>
      </c>
      <c r="E481" s="135">
        <f>HaoPhiVatTu!F$188</f>
        <v>16.07</v>
      </c>
      <c r="F481" s="114">
        <f>'Tổng hợp VT'!O$16</f>
        <v>20000</v>
      </c>
      <c r="G481" s="136">
        <f>'Giá tháng'!G$12</f>
        <v>1</v>
      </c>
      <c r="H481" s="114">
        <f>E481*F481*G481</f>
        <v>321400</v>
      </c>
    </row>
    <row r="482" spans="1:8" x14ac:dyDescent="0.15">
      <c r="A482" s="276"/>
      <c r="B482" s="85"/>
      <c r="C482" s="86" t="s">
        <v>586</v>
      </c>
      <c r="D482" s="85"/>
      <c r="E482" s="86"/>
      <c r="F482" s="114"/>
      <c r="G482" s="85"/>
      <c r="H482" s="114">
        <f>SUM(H480:H481)</f>
        <v>15094900</v>
      </c>
    </row>
    <row r="483" spans="1:8" x14ac:dyDescent="0.15">
      <c r="A483" s="274"/>
      <c r="B483" s="146"/>
      <c r="C483" s="145" t="s">
        <v>481</v>
      </c>
      <c r="D483" s="146"/>
      <c r="E483" s="145"/>
      <c r="F483" s="275"/>
      <c r="G483" s="146"/>
      <c r="H483" s="275">
        <f>H484</f>
        <v>4010150</v>
      </c>
    </row>
    <row r="484" spans="1:8" ht="30" x14ac:dyDescent="0.15">
      <c r="A484" s="276"/>
      <c r="B484" s="85" t="str">
        <f>'Giá tháng'!B$29</f>
        <v>N2.35</v>
      </c>
      <c r="C484" s="86" t="str">
        <f>'Giá tháng'!C$29</f>
        <v>Nhân công 3,5/7 - Nhóm 2</v>
      </c>
      <c r="D484" s="85" t="str">
        <f>'Giá tháng'!D$29</f>
        <v>công</v>
      </c>
      <c r="E484" s="135">
        <f>HaoPhiVatTu!F$190</f>
        <v>13.9</v>
      </c>
      <c r="F484" s="114">
        <f>'Tổng hợp VT'!O$36</f>
        <v>288500</v>
      </c>
      <c r="G484" s="136">
        <f>'Giá tháng'!G$29</f>
        <v>1</v>
      </c>
      <c r="H484" s="114">
        <f>E484*F484*G484</f>
        <v>4010150</v>
      </c>
    </row>
    <row r="485" spans="1:8" x14ac:dyDescent="0.15">
      <c r="A485" s="274"/>
      <c r="B485" s="146"/>
      <c r="C485" s="145" t="s">
        <v>482</v>
      </c>
      <c r="D485" s="146"/>
      <c r="E485" s="145"/>
      <c r="F485" s="275"/>
      <c r="G485" s="146"/>
      <c r="H485" s="275">
        <f>H490</f>
        <v>194401.46646</v>
      </c>
    </row>
    <row r="486" spans="1:8" ht="30" x14ac:dyDescent="0.15">
      <c r="A486" s="276"/>
      <c r="B486" s="85" t="str">
        <f>'Giá tháng'!B$38</f>
        <v>M112.2601</v>
      </c>
      <c r="C486" s="86" t="str">
        <f>'Giá tháng'!C$38</f>
        <v>Máy cắt uốn cốt thép - công suất : 5,0 kW</v>
      </c>
      <c r="D486" s="85" t="str">
        <f>'Giá tháng'!D$38</f>
        <v>ca</v>
      </c>
      <c r="E486" s="135">
        <f>HaoPhiVatTu!F$192</f>
        <v>0.4</v>
      </c>
      <c r="F486" s="114">
        <f>'Tổng hợp VT'!O$48</f>
        <v>307436</v>
      </c>
      <c r="G486" s="136">
        <f>'Giá tháng'!G$38</f>
        <v>1</v>
      </c>
      <c r="H486" s="114">
        <f>E486*F486*G486</f>
        <v>122974.40000000001</v>
      </c>
    </row>
    <row r="487" spans="1:8" ht="30" x14ac:dyDescent="0.15">
      <c r="A487" s="276"/>
      <c r="B487" s="85" t="str">
        <f>'Giá tháng'!B$49</f>
        <v>M102.1001</v>
      </c>
      <c r="C487" s="86" t="str">
        <f>'Giá tháng'!C$49</f>
        <v>Máy vận thăng lồng - sức nâng : 3,0 T</v>
      </c>
      <c r="D487" s="85" t="str">
        <f>'Giá tháng'!D$49</f>
        <v>ca</v>
      </c>
      <c r="E487" s="135">
        <f>HaoPhiVatTu!F$193</f>
        <v>1.7000000000000001E-2</v>
      </c>
      <c r="F487" s="114">
        <f>'Tổng hợp VT'!O$59</f>
        <v>857495</v>
      </c>
      <c r="G487" s="136">
        <f>'Giá tháng'!G$49</f>
        <v>1</v>
      </c>
      <c r="H487" s="114">
        <f>E487*F487*G487</f>
        <v>14577.415000000001</v>
      </c>
    </row>
    <row r="488" spans="1:8" ht="30" x14ac:dyDescent="0.15">
      <c r="A488" s="276"/>
      <c r="B488" s="85" t="str">
        <f>'Giá tháng'!B$35</f>
        <v>M102.0406</v>
      </c>
      <c r="C488" s="86" t="str">
        <f>'Giá tháng'!C$35</f>
        <v>Cần trục tháp - sức nâng : 25,0 T</v>
      </c>
      <c r="D488" s="85" t="str">
        <f>'Giá tháng'!D$35</f>
        <v>ca</v>
      </c>
      <c r="E488" s="135">
        <f>HaoPhiVatTu!F$194</f>
        <v>1.7000000000000001E-2</v>
      </c>
      <c r="F488" s="114">
        <f>'Tổng hợp VT'!O$45</f>
        <v>3119874</v>
      </c>
      <c r="G488" s="136">
        <f>'Giá tháng'!G$35</f>
        <v>1</v>
      </c>
      <c r="H488" s="114">
        <f>E488*F488*G488</f>
        <v>53037.858</v>
      </c>
    </row>
    <row r="489" spans="1:8" x14ac:dyDescent="0.15">
      <c r="A489" s="276"/>
      <c r="B489" s="85" t="s">
        <v>483</v>
      </c>
      <c r="C489" s="86" t="s">
        <v>484</v>
      </c>
      <c r="D489" s="85" t="s">
        <v>480</v>
      </c>
      <c r="E489" s="135">
        <f>HaoPhiVatTu!F$195</f>
        <v>2</v>
      </c>
      <c r="F489" s="114">
        <f>SUM(H486:H488)</f>
        <v>190589.67300000001</v>
      </c>
      <c r="G489" s="85"/>
      <c r="H489" s="114">
        <f>E489*F489/100</f>
        <v>3811.7934600000003</v>
      </c>
    </row>
    <row r="490" spans="1:8" x14ac:dyDescent="0.15">
      <c r="A490" s="276"/>
      <c r="B490" s="85"/>
      <c r="C490" s="86" t="s">
        <v>586</v>
      </c>
      <c r="D490" s="85"/>
      <c r="E490" s="86"/>
      <c r="F490" s="114"/>
      <c r="G490" s="85"/>
      <c r="H490" s="114">
        <f>SUM(H486:H489)</f>
        <v>194401.46646</v>
      </c>
    </row>
    <row r="491" spans="1:8" ht="30" x14ac:dyDescent="0.15">
      <c r="A491" s="277"/>
      <c r="B491" s="122"/>
      <c r="C491" s="123" t="s">
        <v>923</v>
      </c>
      <c r="D491" s="122" t="s">
        <v>606</v>
      </c>
      <c r="E491" s="278"/>
      <c r="F491" s="126"/>
      <c r="G491" s="122"/>
      <c r="H491" s="126">
        <f>H479+H483+H485</f>
        <v>19299451.466460001</v>
      </c>
    </row>
    <row r="492" spans="1:8" x14ac:dyDescent="0.15">
      <c r="A492" s="276"/>
      <c r="B492" s="85"/>
      <c r="C492" s="86" t="s">
        <v>608</v>
      </c>
      <c r="D492" s="85" t="str">
        <f>""</f>
        <v/>
      </c>
      <c r="E492" s="279"/>
      <c r="F492" s="114"/>
      <c r="G492" s="85"/>
      <c r="H492" s="114"/>
    </row>
    <row r="493" spans="1:8" x14ac:dyDescent="0.15">
      <c r="A493" s="276"/>
      <c r="B493" s="85"/>
      <c r="C493" s="86" t="str">
        <f>"Chi phí chung (T x "&amp;HSXL!C$14&amp;")"</f>
        <v>Chi phí chung (T x 5,5%)</v>
      </c>
      <c r="D493" s="85" t="s">
        <v>603</v>
      </c>
      <c r="E493" s="279" t="str">
        <f>HSXL!C$14</f>
        <v>5,5%</v>
      </c>
      <c r="F493" s="114"/>
      <c r="G493" s="85"/>
      <c r="H493" s="114">
        <f>H491*HSXL!D$14</f>
        <v>1061469.8306553001</v>
      </c>
    </row>
    <row r="494" spans="1:8" ht="45" x14ac:dyDescent="0.15">
      <c r="A494" s="276"/>
      <c r="B494" s="85"/>
      <c r="C494" s="86" t="str">
        <f>"Chi phí nhà tạm để ở và điều hành thi công (T x "&amp;HSXL!C$18&amp;")"</f>
        <v>Chi phí nhà tạm để ở và điều hành thi công (T x 1,1%)</v>
      </c>
      <c r="D494" s="85" t="s">
        <v>611</v>
      </c>
      <c r="E494" s="279" t="str">
        <f>HSXL!C$18</f>
        <v>1,1%</v>
      </c>
      <c r="F494" s="114"/>
      <c r="G494" s="85"/>
      <c r="H494" s="114">
        <f>H491*HSXL!D$18</f>
        <v>212293.96613106001</v>
      </c>
    </row>
    <row r="495" spans="1:8" ht="60" x14ac:dyDescent="0.15">
      <c r="A495" s="276"/>
      <c r="B495" s="85"/>
      <c r="C495" s="86" t="str">
        <f>"Chi phí một số công việc không xác định được khối lượng từ thiết kế (T x "&amp;HSXL!C$13&amp;")"</f>
        <v>Chi phí một số công việc không xác định được khối lượng từ thiết kế (T x 2%)</v>
      </c>
      <c r="D495" s="85" t="s">
        <v>42</v>
      </c>
      <c r="E495" s="279" t="str">
        <f>HSXL!C$13</f>
        <v>2%</v>
      </c>
      <c r="F495" s="114"/>
      <c r="G495" s="85"/>
      <c r="H495" s="114">
        <f>H491*HSXL!D$13</f>
        <v>385989.02932920004</v>
      </c>
    </row>
    <row r="496" spans="1:8" ht="30" x14ac:dyDescent="0.15">
      <c r="A496" s="277"/>
      <c r="B496" s="122"/>
      <c r="C496" s="123" t="s">
        <v>924</v>
      </c>
      <c r="D496" s="122" t="s">
        <v>614</v>
      </c>
      <c r="E496" s="278"/>
      <c r="F496" s="126"/>
      <c r="G496" s="122"/>
      <c r="H496" s="126">
        <f>SUM(H493:H495)</f>
        <v>1659752.82611556</v>
      </c>
    </row>
    <row r="497" spans="1:8" ht="45" x14ac:dyDescent="0.15">
      <c r="A497" s="276"/>
      <c r="B497" s="85"/>
      <c r="C497" s="86" t="str">
        <f>"THU NHẬP CHỊU THUẾ TÍNH TRƯỚC (T+GT) x "&amp;HSXL!C$16</f>
        <v>THU NHẬP CHỊU THUẾ TÍNH TRƯỚC (T+GT) x 5,5%</v>
      </c>
      <c r="D497" s="85" t="s">
        <v>617</v>
      </c>
      <c r="E497" s="279" t="str">
        <f>HSXL!C$16</f>
        <v>5,5%</v>
      </c>
      <c r="F497" s="114"/>
      <c r="G497" s="85"/>
      <c r="H497" s="114">
        <f>(H491+H496)*HSXL!D$16</f>
        <v>1152756.2360916559</v>
      </c>
    </row>
    <row r="498" spans="1:8" ht="30" x14ac:dyDescent="0.15">
      <c r="A498" s="276"/>
      <c r="B498" s="85"/>
      <c r="C498" s="86" t="s">
        <v>925</v>
      </c>
      <c r="D498" s="85" t="s">
        <v>619</v>
      </c>
      <c r="E498" s="279"/>
      <c r="F498" s="114"/>
      <c r="G498" s="85"/>
      <c r="H498" s="114">
        <f>H491+H496+H497</f>
        <v>22111960.528667215</v>
      </c>
    </row>
    <row r="499" spans="1:8" ht="30" x14ac:dyDescent="0.15">
      <c r="A499" s="276"/>
      <c r="B499" s="85"/>
      <c r="C499" s="86" t="str">
        <f>"THUẾ GIÁ TRỊ GIA TĂNG (G x "&amp;HSXL!C$17&amp;")"</f>
        <v>THUẾ GIÁ TRỊ GIA TĂNG (G x 8%)</v>
      </c>
      <c r="D499" s="85" t="s">
        <v>623</v>
      </c>
      <c r="E499" s="192">
        <f>HSXL!D$17</f>
        <v>0.08</v>
      </c>
      <c r="F499" s="114"/>
      <c r="G499" s="85"/>
      <c r="H499" s="114">
        <f>E499*H498</f>
        <v>1768956.8422933773</v>
      </c>
    </row>
    <row r="500" spans="1:8" ht="30" x14ac:dyDescent="0.15">
      <c r="A500" s="280"/>
      <c r="B500" s="281"/>
      <c r="C500" s="282" t="s">
        <v>926</v>
      </c>
      <c r="D500" s="281" t="s">
        <v>626</v>
      </c>
      <c r="E500" s="283"/>
      <c r="F500" s="284"/>
      <c r="G500" s="281"/>
      <c r="H500" s="285">
        <f>H498+H499</f>
        <v>23880917.370960593</v>
      </c>
    </row>
    <row r="501" spans="1:8" ht="75" x14ac:dyDescent="0.15">
      <c r="A501" s="141">
        <f>'Công trình'!A85</f>
        <v>27</v>
      </c>
      <c r="B501" s="122" t="str">
        <f>'Công trình'!E85</f>
        <v>AF.22314A</v>
      </c>
      <c r="C501" s="123" t="str">
        <f>'Công trình'!F85</f>
        <v>Đổ bê tông bằng máy, đổ bằng cần cẩu, bê tông xà dầm, giằng, sàn mái, chiều cao &lt;= 6m, đá 1x2, mác 250, PCB30</v>
      </c>
      <c r="D501" s="122" t="str">
        <f>'Công trình'!G85</f>
        <v>m3</v>
      </c>
      <c r="E501" s="123">
        <v>1</v>
      </c>
      <c r="F501" s="126"/>
      <c r="G501" s="122"/>
      <c r="H501" s="126"/>
    </row>
    <row r="502" spans="1:8" x14ac:dyDescent="0.15">
      <c r="A502" s="274"/>
      <c r="B502" s="146"/>
      <c r="C502" s="145" t="s">
        <v>477</v>
      </c>
      <c r="D502" s="146"/>
      <c r="E502" s="145"/>
      <c r="F502" s="275"/>
      <c r="G502" s="146"/>
      <c r="H502" s="275">
        <f>H508</f>
        <v>1406650.0784999998</v>
      </c>
    </row>
    <row r="503" spans="1:8" ht="30" x14ac:dyDescent="0.15">
      <c r="A503" s="276"/>
      <c r="B503" s="85" t="str">
        <f>'Giá tháng'!B$25</f>
        <v>A24.0797A</v>
      </c>
      <c r="C503" s="86" t="str">
        <f>'Giá tháng'!C$25</f>
        <v>Xi măng PCB30</v>
      </c>
      <c r="D503" s="85" t="str">
        <f>'Giá tháng'!D$25</f>
        <v>kg</v>
      </c>
      <c r="E503" s="135">
        <f>HaoPhiVatTu!F$198</f>
        <v>385.4</v>
      </c>
      <c r="F503" s="114">
        <f>'Tổng hợp VT'!O$29</f>
        <v>1597</v>
      </c>
      <c r="G503" s="136">
        <f>'Giá tháng'!G$25</f>
        <v>1</v>
      </c>
      <c r="H503" s="114">
        <f>E503*F503*G503</f>
        <v>615483.79999999993</v>
      </c>
    </row>
    <row r="504" spans="1:8" ht="30" x14ac:dyDescent="0.15">
      <c r="A504" s="276"/>
      <c r="B504" s="85" t="str">
        <f>'Giá tháng'!B$7</f>
        <v>A24.0180</v>
      </c>
      <c r="C504" s="86" t="str">
        <f>'Giá tháng'!C$7</f>
        <v>Cát vàng</v>
      </c>
      <c r="D504" s="85" t="str">
        <f>'Giá tháng'!D$7</f>
        <v>m3</v>
      </c>
      <c r="E504" s="135">
        <f>HaoPhiVatTu!F$199</f>
        <v>0.50839999999999996</v>
      </c>
      <c r="F504" s="114">
        <f>'Tổng hợp VT'!O$11</f>
        <v>750000</v>
      </c>
      <c r="G504" s="136">
        <f>'Giá tháng'!G$7</f>
        <v>1</v>
      </c>
      <c r="H504" s="114">
        <f>E504*F504*G504</f>
        <v>381300</v>
      </c>
    </row>
    <row r="505" spans="1:8" ht="30" x14ac:dyDescent="0.15">
      <c r="A505" s="276"/>
      <c r="B505" s="85" t="str">
        <f>'Giá tháng'!B$13</f>
        <v>A24.0008</v>
      </c>
      <c r="C505" s="86" t="str">
        <f>'Giá tháng'!C$13</f>
        <v>Đá 1x2</v>
      </c>
      <c r="D505" s="85" t="str">
        <f>'Giá tháng'!D$13</f>
        <v>m3</v>
      </c>
      <c r="E505" s="135">
        <f>HaoPhiVatTu!F$200</f>
        <v>0.83742499999999997</v>
      </c>
      <c r="F505" s="114">
        <f>'Tổng hợp VT'!O$17</f>
        <v>470000</v>
      </c>
      <c r="G505" s="136">
        <f>'Giá tháng'!G$13</f>
        <v>1</v>
      </c>
      <c r="H505" s="114">
        <f>E505*F505*G505</f>
        <v>393589.75</v>
      </c>
    </row>
    <row r="506" spans="1:8" ht="30" x14ac:dyDescent="0.15">
      <c r="A506" s="276"/>
      <c r="B506" s="85" t="str">
        <f>'Giá tháng'!B$15</f>
        <v>A24.0524</v>
      </c>
      <c r="C506" s="86" t="str">
        <f>'Giá tháng'!C$15</f>
        <v>Nước</v>
      </c>
      <c r="D506" s="85" t="str">
        <f>'Giá tháng'!D$15</f>
        <v>lít</v>
      </c>
      <c r="E506" s="135">
        <f>HaoPhiVatTu!F$201</f>
        <v>195.77500000000001</v>
      </c>
      <c r="F506" s="114">
        <f>'Tổng hợp VT'!O$19</f>
        <v>12</v>
      </c>
      <c r="G506" s="136">
        <f>'Giá tháng'!G$15</f>
        <v>1</v>
      </c>
      <c r="H506" s="114">
        <f>E506*F506*G506</f>
        <v>2349.3000000000002</v>
      </c>
    </row>
    <row r="507" spans="1:8" x14ac:dyDescent="0.15">
      <c r="A507" s="276"/>
      <c r="B507" s="85" t="s">
        <v>478</v>
      </c>
      <c r="C507" s="86" t="s">
        <v>479</v>
      </c>
      <c r="D507" s="85" t="s">
        <v>480</v>
      </c>
      <c r="E507" s="135">
        <f>HaoPhiVatTu!F$202</f>
        <v>1</v>
      </c>
      <c r="F507" s="114">
        <f>SUM(H503:H506)</f>
        <v>1392722.8499999999</v>
      </c>
      <c r="G507" s="85"/>
      <c r="H507" s="114">
        <f>E507*F507/100</f>
        <v>13927.228499999999</v>
      </c>
    </row>
    <row r="508" spans="1:8" x14ac:dyDescent="0.15">
      <c r="A508" s="276"/>
      <c r="B508" s="85"/>
      <c r="C508" s="86" t="s">
        <v>586</v>
      </c>
      <c r="D508" s="85"/>
      <c r="E508" s="86"/>
      <c r="F508" s="114"/>
      <c r="G508" s="85"/>
      <c r="H508" s="114">
        <f>SUM(H503:H507)</f>
        <v>1406650.0784999998</v>
      </c>
    </row>
    <row r="509" spans="1:8" x14ac:dyDescent="0.15">
      <c r="A509" s="274"/>
      <c r="B509" s="146"/>
      <c r="C509" s="145" t="s">
        <v>481</v>
      </c>
      <c r="D509" s="146"/>
      <c r="E509" s="145"/>
      <c r="F509" s="275"/>
      <c r="G509" s="146"/>
      <c r="H509" s="275">
        <f>H510</f>
        <v>478910</v>
      </c>
    </row>
    <row r="510" spans="1:8" ht="30" x14ac:dyDescent="0.15">
      <c r="A510" s="276"/>
      <c r="B510" s="85" t="str">
        <f>'Giá tháng'!B$29</f>
        <v>N2.35</v>
      </c>
      <c r="C510" s="86" t="str">
        <f>'Giá tháng'!C$29</f>
        <v>Nhân công 3,5/7 - Nhóm 2</v>
      </c>
      <c r="D510" s="85" t="str">
        <f>'Giá tháng'!D$29</f>
        <v>công</v>
      </c>
      <c r="E510" s="135">
        <f>HaoPhiVatTu!F$204</f>
        <v>1.66</v>
      </c>
      <c r="F510" s="114">
        <f>'Tổng hợp VT'!O$36</f>
        <v>288500</v>
      </c>
      <c r="G510" s="136">
        <f>'Giá tháng'!G$29</f>
        <v>1</v>
      </c>
      <c r="H510" s="114">
        <f>E510*F510*G510</f>
        <v>478910</v>
      </c>
    </row>
    <row r="511" spans="1:8" x14ac:dyDescent="0.15">
      <c r="A511" s="274"/>
      <c r="B511" s="146"/>
      <c r="C511" s="145" t="s">
        <v>482</v>
      </c>
      <c r="D511" s="146"/>
      <c r="E511" s="145"/>
      <c r="F511" s="275"/>
      <c r="G511" s="146"/>
      <c r="H511" s="275">
        <f>H515</f>
        <v>140845.45559999999</v>
      </c>
    </row>
    <row r="512" spans="1:8" ht="30" x14ac:dyDescent="0.15">
      <c r="A512" s="276"/>
      <c r="B512" s="85" t="str">
        <f>'Giá tháng'!B$33</f>
        <v>M102.0302</v>
      </c>
      <c r="C512" s="86" t="str">
        <f>'Giá tháng'!C$33</f>
        <v>Cần cẩu bánh xích 10T</v>
      </c>
      <c r="D512" s="85" t="str">
        <f>'Giá tháng'!D$33</f>
        <v>ca</v>
      </c>
      <c r="E512" s="135">
        <f>HaoPhiVatTu!F$206</f>
        <v>0.04</v>
      </c>
      <c r="F512" s="114">
        <f>'Tổng hợp VT'!O$43</f>
        <v>2090057</v>
      </c>
      <c r="G512" s="136">
        <f>'Giá tháng'!G$33</f>
        <v>1</v>
      </c>
      <c r="H512" s="114">
        <f>E512*F512*G512</f>
        <v>83602.28</v>
      </c>
    </row>
    <row r="513" spans="1:8" ht="30" x14ac:dyDescent="0.15">
      <c r="A513" s="276"/>
      <c r="B513" s="85" t="str">
        <f>'Giá tháng'!B$42</f>
        <v>M112.1301</v>
      </c>
      <c r="C513" s="86" t="str">
        <f>'Giá tháng'!C$42</f>
        <v>Máy đầm bê tông, dầm dùi - công suất : 1,5 kW</v>
      </c>
      <c r="D513" s="85" t="str">
        <f>'Giá tháng'!D$42</f>
        <v>ca</v>
      </c>
      <c r="E513" s="135">
        <f>HaoPhiVatTu!F$207</f>
        <v>0.18</v>
      </c>
      <c r="F513" s="114">
        <f>'Tổng hợp VT'!O$52</f>
        <v>302675</v>
      </c>
      <c r="G513" s="136">
        <f>'Giá tháng'!G$42</f>
        <v>1</v>
      </c>
      <c r="H513" s="114">
        <f>E513*F513*G513</f>
        <v>54481.5</v>
      </c>
    </row>
    <row r="514" spans="1:8" x14ac:dyDescent="0.15">
      <c r="A514" s="276"/>
      <c r="B514" s="85" t="s">
        <v>483</v>
      </c>
      <c r="C514" s="86" t="s">
        <v>484</v>
      </c>
      <c r="D514" s="85" t="s">
        <v>480</v>
      </c>
      <c r="E514" s="135">
        <f>HaoPhiVatTu!F$208</f>
        <v>2</v>
      </c>
      <c r="F514" s="114">
        <f>SUM(H512:H513)</f>
        <v>138083.78</v>
      </c>
      <c r="G514" s="85"/>
      <c r="H514" s="114">
        <f>E514*F514/100</f>
        <v>2761.6756</v>
      </c>
    </row>
    <row r="515" spans="1:8" x14ac:dyDescent="0.15">
      <c r="A515" s="276"/>
      <c r="B515" s="85"/>
      <c r="C515" s="86" t="s">
        <v>586</v>
      </c>
      <c r="D515" s="85"/>
      <c r="E515" s="86"/>
      <c r="F515" s="114"/>
      <c r="G515" s="85"/>
      <c r="H515" s="114">
        <f>SUM(H512:H514)</f>
        <v>140845.45559999999</v>
      </c>
    </row>
    <row r="516" spans="1:8" ht="30" x14ac:dyDescent="0.15">
      <c r="A516" s="277"/>
      <c r="B516" s="122"/>
      <c r="C516" s="123" t="s">
        <v>923</v>
      </c>
      <c r="D516" s="122" t="s">
        <v>606</v>
      </c>
      <c r="E516" s="278"/>
      <c r="F516" s="126"/>
      <c r="G516" s="122"/>
      <c r="H516" s="126">
        <f>H502+H509+H511</f>
        <v>2026405.5340999998</v>
      </c>
    </row>
    <row r="517" spans="1:8" x14ac:dyDescent="0.15">
      <c r="A517" s="276"/>
      <c r="B517" s="85"/>
      <c r="C517" s="86" t="s">
        <v>608</v>
      </c>
      <c r="D517" s="85" t="str">
        <f>""</f>
        <v/>
      </c>
      <c r="E517" s="279"/>
      <c r="F517" s="114"/>
      <c r="G517" s="85"/>
      <c r="H517" s="114"/>
    </row>
    <row r="518" spans="1:8" x14ac:dyDescent="0.15">
      <c r="A518" s="276"/>
      <c r="B518" s="85"/>
      <c r="C518" s="86" t="str">
        <f>"Chi phí chung (T x "&amp;HSXL!C$14&amp;")"</f>
        <v>Chi phí chung (T x 5,5%)</v>
      </c>
      <c r="D518" s="85" t="s">
        <v>603</v>
      </c>
      <c r="E518" s="279" t="str">
        <f>HSXL!C$14</f>
        <v>5,5%</v>
      </c>
      <c r="F518" s="114"/>
      <c r="G518" s="85"/>
      <c r="H518" s="114">
        <f>H516*HSXL!D$14</f>
        <v>111452.3043755</v>
      </c>
    </row>
    <row r="519" spans="1:8" ht="45" x14ac:dyDescent="0.15">
      <c r="A519" s="276"/>
      <c r="B519" s="85"/>
      <c r="C519" s="86" t="str">
        <f>"Chi phí nhà tạm để ở và điều hành thi công (T x "&amp;HSXL!C$18&amp;")"</f>
        <v>Chi phí nhà tạm để ở và điều hành thi công (T x 1,1%)</v>
      </c>
      <c r="D519" s="85" t="s">
        <v>611</v>
      </c>
      <c r="E519" s="279" t="str">
        <f>HSXL!C$18</f>
        <v>1,1%</v>
      </c>
      <c r="F519" s="114"/>
      <c r="G519" s="85"/>
      <c r="H519" s="114">
        <f>H516*HSXL!D$18</f>
        <v>22290.460875099998</v>
      </c>
    </row>
    <row r="520" spans="1:8" ht="60" x14ac:dyDescent="0.15">
      <c r="A520" s="276"/>
      <c r="B520" s="85"/>
      <c r="C520" s="86" t="str">
        <f>"Chi phí một số công việc không xác định được khối lượng từ thiết kế (T x "&amp;HSXL!C$13&amp;")"</f>
        <v>Chi phí một số công việc không xác định được khối lượng từ thiết kế (T x 2%)</v>
      </c>
      <c r="D520" s="85" t="s">
        <v>42</v>
      </c>
      <c r="E520" s="279" t="str">
        <f>HSXL!C$13</f>
        <v>2%</v>
      </c>
      <c r="F520" s="114"/>
      <c r="G520" s="85"/>
      <c r="H520" s="114">
        <f>H516*HSXL!D$13</f>
        <v>40528.110681999999</v>
      </c>
    </row>
    <row r="521" spans="1:8" ht="30" x14ac:dyDescent="0.15">
      <c r="A521" s="277"/>
      <c r="B521" s="122"/>
      <c r="C521" s="123" t="s">
        <v>924</v>
      </c>
      <c r="D521" s="122" t="s">
        <v>614</v>
      </c>
      <c r="E521" s="278"/>
      <c r="F521" s="126"/>
      <c r="G521" s="122"/>
      <c r="H521" s="126">
        <f>SUM(H518:H520)</f>
        <v>174270.8759326</v>
      </c>
    </row>
    <row r="522" spans="1:8" ht="45" x14ac:dyDescent="0.15">
      <c r="A522" s="276"/>
      <c r="B522" s="85"/>
      <c r="C522" s="86" t="str">
        <f>"THU NHẬP CHỊU THUẾ TÍNH TRƯỚC (T+GT) x "&amp;HSXL!C$16</f>
        <v>THU NHẬP CHỊU THUẾ TÍNH TRƯỚC (T+GT) x 5,5%</v>
      </c>
      <c r="D522" s="85" t="s">
        <v>617</v>
      </c>
      <c r="E522" s="279" t="str">
        <f>HSXL!C$16</f>
        <v>5,5%</v>
      </c>
      <c r="F522" s="114"/>
      <c r="G522" s="85"/>
      <c r="H522" s="114">
        <f>(H516+H521)*HSXL!D$16</f>
        <v>121037.20255179299</v>
      </c>
    </row>
    <row r="523" spans="1:8" ht="30" x14ac:dyDescent="0.15">
      <c r="A523" s="276"/>
      <c r="B523" s="85"/>
      <c r="C523" s="86" t="s">
        <v>925</v>
      </c>
      <c r="D523" s="85" t="s">
        <v>619</v>
      </c>
      <c r="E523" s="279"/>
      <c r="F523" s="114"/>
      <c r="G523" s="85"/>
      <c r="H523" s="114">
        <f>H516+H521+H522</f>
        <v>2321713.6125843925</v>
      </c>
    </row>
    <row r="524" spans="1:8" ht="30" x14ac:dyDescent="0.15">
      <c r="A524" s="276"/>
      <c r="B524" s="85"/>
      <c r="C524" s="86" t="str">
        <f>"THUẾ GIÁ TRỊ GIA TĂNG (G x "&amp;HSXL!C$17&amp;")"</f>
        <v>THUẾ GIÁ TRỊ GIA TĂNG (G x 8%)</v>
      </c>
      <c r="D524" s="85" t="s">
        <v>623</v>
      </c>
      <c r="E524" s="192">
        <f>HSXL!D$17</f>
        <v>0.08</v>
      </c>
      <c r="F524" s="114"/>
      <c r="G524" s="85"/>
      <c r="H524" s="114">
        <f>E524*H523</f>
        <v>185737.0890067514</v>
      </c>
    </row>
    <row r="525" spans="1:8" ht="30" x14ac:dyDescent="0.15">
      <c r="A525" s="280"/>
      <c r="B525" s="281"/>
      <c r="C525" s="282" t="s">
        <v>926</v>
      </c>
      <c r="D525" s="281" t="s">
        <v>626</v>
      </c>
      <c r="E525" s="283"/>
      <c r="F525" s="284"/>
      <c r="G525" s="281"/>
      <c r="H525" s="285">
        <f>H523+H524</f>
        <v>2507450.7015911439</v>
      </c>
    </row>
    <row r="526" spans="1:8" ht="60" x14ac:dyDescent="0.15">
      <c r="A526" s="141">
        <f>'Công trình'!A87</f>
        <v>28</v>
      </c>
      <c r="B526" s="122" t="str">
        <f>'Công trình'!E87</f>
        <v>AB.66142</v>
      </c>
      <c r="C526" s="123" t="str">
        <f>'Công trình'!F87</f>
        <v>Đắp cát công trình bằng máy đầm đất cầm tay 70kg, độ chặt yêu cầu K=0,90</v>
      </c>
      <c r="D526" s="122" t="str">
        <f>'Công trình'!G87</f>
        <v>100m3</v>
      </c>
      <c r="E526" s="123">
        <v>1</v>
      </c>
      <c r="F526" s="126"/>
      <c r="G526" s="122"/>
      <c r="H526" s="126"/>
    </row>
    <row r="527" spans="1:8" x14ac:dyDescent="0.15">
      <c r="A527" s="274"/>
      <c r="B527" s="146"/>
      <c r="C527" s="145" t="s">
        <v>477</v>
      </c>
      <c r="D527" s="146"/>
      <c r="E527" s="145"/>
      <c r="F527" s="275"/>
      <c r="G527" s="146"/>
      <c r="H527" s="275">
        <f>H528</f>
        <v>34160000</v>
      </c>
    </row>
    <row r="528" spans="1:8" ht="30" x14ac:dyDescent="0.15">
      <c r="A528" s="276"/>
      <c r="B528" s="85" t="str">
        <f>'Giá tháng'!B$6</f>
        <v>A24.1042</v>
      </c>
      <c r="C528" s="86" t="str">
        <f>'Giá tháng'!C$6</f>
        <v>Cát</v>
      </c>
      <c r="D528" s="85" t="str">
        <f>'Giá tháng'!D$6</f>
        <v>m3</v>
      </c>
      <c r="E528" s="135">
        <f>HaoPhiVatTu!F$211</f>
        <v>122</v>
      </c>
      <c r="F528" s="114">
        <f>'Tổng hợp VT'!O$10</f>
        <v>280000</v>
      </c>
      <c r="G528" s="136">
        <f>'Giá tháng'!G$6</f>
        <v>1</v>
      </c>
      <c r="H528" s="114">
        <f>E528*F528*G528</f>
        <v>34160000</v>
      </c>
    </row>
    <row r="529" spans="1:8" x14ac:dyDescent="0.15">
      <c r="A529" s="274"/>
      <c r="B529" s="146"/>
      <c r="C529" s="145" t="s">
        <v>481</v>
      </c>
      <c r="D529" s="146"/>
      <c r="E529" s="145"/>
      <c r="F529" s="275"/>
      <c r="G529" s="146"/>
      <c r="H529" s="275">
        <f>H530</f>
        <v>1018665.9999999999</v>
      </c>
    </row>
    <row r="530" spans="1:8" ht="30" x14ac:dyDescent="0.15">
      <c r="A530" s="276"/>
      <c r="B530" s="85" t="str">
        <f>'Giá tháng'!B$27</f>
        <v>N1.30</v>
      </c>
      <c r="C530" s="86" t="str">
        <f>'Giá tháng'!C$27</f>
        <v>Nhân công 3,0/7 - Nhóm 1</v>
      </c>
      <c r="D530" s="85" t="str">
        <f>'Giá tháng'!D$27</f>
        <v>công</v>
      </c>
      <c r="E530" s="135">
        <f>HaoPhiVatTu!F$213</f>
        <v>4.18</v>
      </c>
      <c r="F530" s="114">
        <f>'Tổng hợp VT'!O$34</f>
        <v>243700</v>
      </c>
      <c r="G530" s="136">
        <f>'Giá tháng'!G$27</f>
        <v>1</v>
      </c>
      <c r="H530" s="114">
        <f>E530*F530*G530</f>
        <v>1018665.9999999999</v>
      </c>
    </row>
    <row r="531" spans="1:8" x14ac:dyDescent="0.15">
      <c r="A531" s="274"/>
      <c r="B531" s="146"/>
      <c r="C531" s="145" t="s">
        <v>482</v>
      </c>
      <c r="D531" s="146"/>
      <c r="E531" s="145"/>
      <c r="F531" s="275"/>
      <c r="G531" s="146"/>
      <c r="H531" s="275">
        <f>H534</f>
        <v>808642.81238999998</v>
      </c>
    </row>
    <row r="532" spans="1:8" ht="30" x14ac:dyDescent="0.15">
      <c r="A532" s="276"/>
      <c r="B532" s="85" t="str">
        <f>'Giá tháng'!B$43</f>
        <v>M101.0803</v>
      </c>
      <c r="C532" s="86" t="str">
        <f>'Giá tháng'!C$43</f>
        <v>Máy đầm đất cầm tay - trọng lượng : 70 kg</v>
      </c>
      <c r="D532" s="85" t="str">
        <f>'Giá tháng'!D$43</f>
        <v>ca</v>
      </c>
      <c r="E532" s="135">
        <f>HaoPhiVatTu!F$215</f>
        <v>2.0419999999999998</v>
      </c>
      <c r="F532" s="114">
        <f>'Tổng hợp VT'!O$53</f>
        <v>390153</v>
      </c>
      <c r="G532" s="136">
        <f>'Giá tháng'!G$43</f>
        <v>1</v>
      </c>
      <c r="H532" s="114">
        <f>E532*F532*G532</f>
        <v>796692.42599999998</v>
      </c>
    </row>
    <row r="533" spans="1:8" x14ac:dyDescent="0.15">
      <c r="A533" s="276"/>
      <c r="B533" s="85" t="s">
        <v>483</v>
      </c>
      <c r="C533" s="86" t="s">
        <v>484</v>
      </c>
      <c r="D533" s="85" t="s">
        <v>480</v>
      </c>
      <c r="E533" s="135">
        <f>HaoPhiVatTu!F$216</f>
        <v>1.5</v>
      </c>
      <c r="F533" s="114">
        <f>SUM(H532:H532)</f>
        <v>796692.42599999998</v>
      </c>
      <c r="G533" s="85"/>
      <c r="H533" s="114">
        <f>E533*F533/100</f>
        <v>11950.38639</v>
      </c>
    </row>
    <row r="534" spans="1:8" x14ac:dyDescent="0.15">
      <c r="A534" s="276"/>
      <c r="B534" s="85"/>
      <c r="C534" s="86" t="s">
        <v>586</v>
      </c>
      <c r="D534" s="85"/>
      <c r="E534" s="86"/>
      <c r="F534" s="114"/>
      <c r="G534" s="85"/>
      <c r="H534" s="114">
        <f>SUM(H532:H533)</f>
        <v>808642.81238999998</v>
      </c>
    </row>
    <row r="535" spans="1:8" ht="30" x14ac:dyDescent="0.15">
      <c r="A535" s="277"/>
      <c r="B535" s="122"/>
      <c r="C535" s="123" t="s">
        <v>923</v>
      </c>
      <c r="D535" s="122" t="s">
        <v>606</v>
      </c>
      <c r="E535" s="278"/>
      <c r="F535" s="126"/>
      <c r="G535" s="122"/>
      <c r="H535" s="126">
        <f>H527+H529+H531</f>
        <v>35987308.81239</v>
      </c>
    </row>
    <row r="536" spans="1:8" x14ac:dyDescent="0.15">
      <c r="A536" s="276"/>
      <c r="B536" s="85"/>
      <c r="C536" s="86" t="s">
        <v>608</v>
      </c>
      <c r="D536" s="85" t="str">
        <f>""</f>
        <v/>
      </c>
      <c r="E536" s="279"/>
      <c r="F536" s="114"/>
      <c r="G536" s="85"/>
      <c r="H536" s="114"/>
    </row>
    <row r="537" spans="1:8" x14ac:dyDescent="0.15">
      <c r="A537" s="276"/>
      <c r="B537" s="85"/>
      <c r="C537" s="86" t="str">
        <f>"Chi phí chung (T x "&amp;HSXL!C$14&amp;")"</f>
        <v>Chi phí chung (T x 5,5%)</v>
      </c>
      <c r="D537" s="85" t="s">
        <v>603</v>
      </c>
      <c r="E537" s="279" t="str">
        <f>HSXL!C$14</f>
        <v>5,5%</v>
      </c>
      <c r="F537" s="114"/>
      <c r="G537" s="85"/>
      <c r="H537" s="114">
        <f>H535*HSXL!D$14</f>
        <v>1979301.9846814501</v>
      </c>
    </row>
    <row r="538" spans="1:8" ht="45" x14ac:dyDescent="0.15">
      <c r="A538" s="276"/>
      <c r="B538" s="85"/>
      <c r="C538" s="86" t="str">
        <f>"Chi phí nhà tạm để ở và điều hành thi công (T x "&amp;HSXL!C$18&amp;")"</f>
        <v>Chi phí nhà tạm để ở và điều hành thi công (T x 1,1%)</v>
      </c>
      <c r="D538" s="85" t="s">
        <v>611</v>
      </c>
      <c r="E538" s="279" t="str">
        <f>HSXL!C$18</f>
        <v>1,1%</v>
      </c>
      <c r="F538" s="114"/>
      <c r="G538" s="85"/>
      <c r="H538" s="114">
        <f>H535*HSXL!D$18</f>
        <v>395860.39693628997</v>
      </c>
    </row>
    <row r="539" spans="1:8" ht="60" x14ac:dyDescent="0.15">
      <c r="A539" s="276"/>
      <c r="B539" s="85"/>
      <c r="C539" s="86" t="str">
        <f>"Chi phí một số công việc không xác định được khối lượng từ thiết kế (T x "&amp;HSXL!C$13&amp;")"</f>
        <v>Chi phí một số công việc không xác định được khối lượng từ thiết kế (T x 2%)</v>
      </c>
      <c r="D539" s="85" t="s">
        <v>42</v>
      </c>
      <c r="E539" s="279" t="str">
        <f>HSXL!C$13</f>
        <v>2%</v>
      </c>
      <c r="F539" s="114"/>
      <c r="G539" s="85"/>
      <c r="H539" s="114">
        <f>H535*HSXL!D$13</f>
        <v>719746.1762478</v>
      </c>
    </row>
    <row r="540" spans="1:8" ht="30" x14ac:dyDescent="0.15">
      <c r="A540" s="277"/>
      <c r="B540" s="122"/>
      <c r="C540" s="123" t="s">
        <v>924</v>
      </c>
      <c r="D540" s="122" t="s">
        <v>614</v>
      </c>
      <c r="E540" s="278"/>
      <c r="F540" s="126"/>
      <c r="G540" s="122"/>
      <c r="H540" s="126">
        <f>SUM(H537:H539)</f>
        <v>3094908.5578655396</v>
      </c>
    </row>
    <row r="541" spans="1:8" ht="45" x14ac:dyDescent="0.15">
      <c r="A541" s="276"/>
      <c r="B541" s="85"/>
      <c r="C541" s="86" t="str">
        <f>"THU NHẬP CHỊU THUẾ TÍNH TRƯỚC (T+GT) x "&amp;HSXL!C$16</f>
        <v>THU NHẬP CHỊU THUẾ TÍNH TRƯỚC (T+GT) x 5,5%</v>
      </c>
      <c r="D541" s="85" t="s">
        <v>617</v>
      </c>
      <c r="E541" s="279" t="str">
        <f>HSXL!C$16</f>
        <v>5,5%</v>
      </c>
      <c r="F541" s="114"/>
      <c r="G541" s="85"/>
      <c r="H541" s="114">
        <f>(H535+H540)*HSXL!D$16</f>
        <v>2149521.9553640545</v>
      </c>
    </row>
    <row r="542" spans="1:8" ht="30" x14ac:dyDescent="0.15">
      <c r="A542" s="276"/>
      <c r="B542" s="85"/>
      <c r="C542" s="86" t="s">
        <v>925</v>
      </c>
      <c r="D542" s="85" t="s">
        <v>619</v>
      </c>
      <c r="E542" s="279"/>
      <c r="F542" s="114"/>
      <c r="G542" s="85"/>
      <c r="H542" s="114">
        <f>H535+H540+H541</f>
        <v>41231739.325619593</v>
      </c>
    </row>
    <row r="543" spans="1:8" ht="30" x14ac:dyDescent="0.15">
      <c r="A543" s="276"/>
      <c r="B543" s="85"/>
      <c r="C543" s="86" t="str">
        <f>"THUẾ GIÁ TRỊ GIA TĂNG (G x "&amp;HSXL!C$17&amp;")"</f>
        <v>THUẾ GIÁ TRỊ GIA TĂNG (G x 8%)</v>
      </c>
      <c r="D543" s="85" t="s">
        <v>623</v>
      </c>
      <c r="E543" s="192">
        <f>HSXL!D$17</f>
        <v>0.08</v>
      </c>
      <c r="F543" s="114"/>
      <c r="G543" s="85"/>
      <c r="H543" s="114">
        <f>E543*H542</f>
        <v>3298539.1460495675</v>
      </c>
    </row>
    <row r="544" spans="1:8" ht="30" x14ac:dyDescent="0.15">
      <c r="A544" s="280"/>
      <c r="B544" s="281"/>
      <c r="C544" s="282" t="s">
        <v>926</v>
      </c>
      <c r="D544" s="281" t="s">
        <v>626</v>
      </c>
      <c r="E544" s="283"/>
      <c r="F544" s="284"/>
      <c r="G544" s="281"/>
      <c r="H544" s="285">
        <f>H542+H543</f>
        <v>44530278.47166916</v>
      </c>
    </row>
    <row r="545" spans="1:8" ht="45" x14ac:dyDescent="0.15">
      <c r="A545" s="141">
        <f>'Công trình'!A90</f>
        <v>29</v>
      </c>
      <c r="B545" s="122" t="str">
        <f>'Công trình'!E90</f>
        <v>AC.11122</v>
      </c>
      <c r="C545" s="123" t="str">
        <f>'Công trình'!F90</f>
        <v>Đóng cọc tre bằng thủ công, chiều dài cọc &gt; 2,5m vào đất cấp II</v>
      </c>
      <c r="D545" s="122" t="str">
        <f>'Công trình'!G90</f>
        <v>100m</v>
      </c>
      <c r="E545" s="123">
        <v>1</v>
      </c>
      <c r="F545" s="126"/>
      <c r="G545" s="122"/>
      <c r="H545" s="126"/>
    </row>
    <row r="546" spans="1:8" x14ac:dyDescent="0.15">
      <c r="A546" s="274"/>
      <c r="B546" s="146"/>
      <c r="C546" s="145" t="s">
        <v>477</v>
      </c>
      <c r="D546" s="146"/>
      <c r="E546" s="145"/>
      <c r="F546" s="275"/>
      <c r="G546" s="146"/>
      <c r="H546" s="275">
        <f>H551</f>
        <v>590499</v>
      </c>
    </row>
    <row r="547" spans="1:8" ht="30" x14ac:dyDescent="0.15">
      <c r="A547" s="276"/>
      <c r="B547" s="85" t="str">
        <f>'Giá tháng'!B$9</f>
        <v>A24.0227</v>
      </c>
      <c r="C547" s="86" t="str">
        <f>'Giá tháng'!C$9</f>
        <v>Cọc tre &gt;2,5m</v>
      </c>
      <c r="D547" s="85" t="str">
        <f>'Giá tháng'!D$9</f>
        <v>m</v>
      </c>
      <c r="E547" s="135">
        <f>HaoPhiVatTu!F$219</f>
        <v>105</v>
      </c>
      <c r="F547" s="114">
        <f>'Tổng hợp VT'!O$13</f>
        <v>4800</v>
      </c>
      <c r="G547" s="136">
        <f>'Giá tháng'!G$9</f>
        <v>1</v>
      </c>
      <c r="H547" s="114">
        <f>E547*F547*G547</f>
        <v>504000</v>
      </c>
    </row>
    <row r="548" spans="1:8" ht="30" x14ac:dyDescent="0.15">
      <c r="A548" s="276"/>
      <c r="B548" s="85" t="str">
        <f>'Giá tháng'!B$8</f>
        <v>A24.0183</v>
      </c>
      <c r="C548" s="86" t="str">
        <f>'Giá tháng'!C$8</f>
        <v>Cây chống</v>
      </c>
      <c r="D548" s="85" t="str">
        <f>'Giá tháng'!D$8</f>
        <v>cây</v>
      </c>
      <c r="E548" s="135">
        <f>HaoPhiVatTu!F$220</f>
        <v>1.65</v>
      </c>
      <c r="F548" s="114">
        <f>'Tổng hợp VT'!O$12</f>
        <v>22000</v>
      </c>
      <c r="G548" s="136">
        <f>'Giá tháng'!G$8</f>
        <v>1</v>
      </c>
      <c r="H548" s="114">
        <f>E548*F548*G548</f>
        <v>36300</v>
      </c>
    </row>
    <row r="549" spans="1:8" ht="30" x14ac:dyDescent="0.15">
      <c r="A549" s="276"/>
      <c r="B549" s="85" t="str">
        <f>'Giá tháng'!B$14</f>
        <v>A24.0418</v>
      </c>
      <c r="C549" s="86" t="str">
        <f>'Giá tháng'!C$14</f>
        <v>Gỗ ván</v>
      </c>
      <c r="D549" s="85" t="str">
        <f>'Giá tháng'!D$14</f>
        <v>m3</v>
      </c>
      <c r="E549" s="135">
        <f>HaoPhiVatTu!F$221</f>
        <v>0.01</v>
      </c>
      <c r="F549" s="114">
        <f>'Tổng hợp VT'!O$18</f>
        <v>3300000</v>
      </c>
      <c r="G549" s="136">
        <f>'Giá tháng'!G$14</f>
        <v>1</v>
      </c>
      <c r="H549" s="114">
        <f>E549*F549*G549</f>
        <v>33000</v>
      </c>
    </row>
    <row r="550" spans="1:8" x14ac:dyDescent="0.15">
      <c r="A550" s="276"/>
      <c r="B550" s="85" t="s">
        <v>478</v>
      </c>
      <c r="C550" s="86" t="s">
        <v>479</v>
      </c>
      <c r="D550" s="85" t="s">
        <v>480</v>
      </c>
      <c r="E550" s="135">
        <f>HaoPhiVatTu!F$222</f>
        <v>3</v>
      </c>
      <c r="F550" s="114">
        <f>SUM(H547:H549)</f>
        <v>573300</v>
      </c>
      <c r="G550" s="85"/>
      <c r="H550" s="114">
        <f>E550*F550/100</f>
        <v>17199</v>
      </c>
    </row>
    <row r="551" spans="1:8" x14ac:dyDescent="0.15">
      <c r="A551" s="276"/>
      <c r="B551" s="85"/>
      <c r="C551" s="86" t="s">
        <v>586</v>
      </c>
      <c r="D551" s="85"/>
      <c r="E551" s="86"/>
      <c r="F551" s="114"/>
      <c r="G551" s="85"/>
      <c r="H551" s="114">
        <f>SUM(H547:H550)</f>
        <v>590499</v>
      </c>
    </row>
    <row r="552" spans="1:8" x14ac:dyDescent="0.15">
      <c r="A552" s="274"/>
      <c r="B552" s="146"/>
      <c r="C552" s="145" t="s">
        <v>481</v>
      </c>
      <c r="D552" s="146"/>
      <c r="E552" s="145"/>
      <c r="F552" s="275"/>
      <c r="G552" s="146"/>
      <c r="H552" s="275">
        <f>H553</f>
        <v>593550</v>
      </c>
    </row>
    <row r="553" spans="1:8" ht="30" x14ac:dyDescent="0.15">
      <c r="A553" s="276"/>
      <c r="B553" s="85" t="str">
        <f>'Giá tháng'!B$28</f>
        <v>N2.30</v>
      </c>
      <c r="C553" s="86" t="str">
        <f>'Giá tháng'!C$28</f>
        <v>Nhân công 3,0/7 - Nhóm 2</v>
      </c>
      <c r="D553" s="85" t="str">
        <f>'Giá tháng'!D$28</f>
        <v>công</v>
      </c>
      <c r="E553" s="135">
        <f>HaoPhiVatTu!F$224</f>
        <v>2.25</v>
      </c>
      <c r="F553" s="114">
        <f>'Tổng hợp VT'!O$35</f>
        <v>263800</v>
      </c>
      <c r="G553" s="136">
        <f>'Giá tháng'!G$28</f>
        <v>1</v>
      </c>
      <c r="H553" s="114">
        <f>E553*F553*G553</f>
        <v>593550</v>
      </c>
    </row>
    <row r="554" spans="1:8" ht="30" x14ac:dyDescent="0.15">
      <c r="A554" s="277"/>
      <c r="B554" s="122"/>
      <c r="C554" s="123" t="s">
        <v>923</v>
      </c>
      <c r="D554" s="122" t="s">
        <v>606</v>
      </c>
      <c r="E554" s="278"/>
      <c r="F554" s="126"/>
      <c r="G554" s="122"/>
      <c r="H554" s="126">
        <f>H546+H552</f>
        <v>1184049</v>
      </c>
    </row>
    <row r="555" spans="1:8" x14ac:dyDescent="0.15">
      <c r="A555" s="276"/>
      <c r="B555" s="85"/>
      <c r="C555" s="86" t="s">
        <v>608</v>
      </c>
      <c r="D555" s="85" t="str">
        <f>""</f>
        <v/>
      </c>
      <c r="E555" s="279"/>
      <c r="F555" s="114"/>
      <c r="G555" s="85"/>
      <c r="H555" s="114"/>
    </row>
    <row r="556" spans="1:8" x14ac:dyDescent="0.15">
      <c r="A556" s="276"/>
      <c r="B556" s="85"/>
      <c r="C556" s="86" t="str">
        <f>"Chi phí chung (T x "&amp;HSXL!C$14&amp;")"</f>
        <v>Chi phí chung (T x 5,5%)</v>
      </c>
      <c r="D556" s="85" t="s">
        <v>603</v>
      </c>
      <c r="E556" s="279" t="str">
        <f>HSXL!C$14</f>
        <v>5,5%</v>
      </c>
      <c r="F556" s="114"/>
      <c r="G556" s="85"/>
      <c r="H556" s="114">
        <f>H554*HSXL!D$14</f>
        <v>65122.695</v>
      </c>
    </row>
    <row r="557" spans="1:8" ht="45" x14ac:dyDescent="0.15">
      <c r="A557" s="276"/>
      <c r="B557" s="85"/>
      <c r="C557" s="86" t="str">
        <f>"Chi phí nhà tạm để ở và điều hành thi công (T x "&amp;HSXL!C$18&amp;")"</f>
        <v>Chi phí nhà tạm để ở và điều hành thi công (T x 1,1%)</v>
      </c>
      <c r="D557" s="85" t="s">
        <v>611</v>
      </c>
      <c r="E557" s="279" t="str">
        <f>HSXL!C$18</f>
        <v>1,1%</v>
      </c>
      <c r="F557" s="114"/>
      <c r="G557" s="85"/>
      <c r="H557" s="114">
        <f>H554*HSXL!D$18</f>
        <v>13024.538999999999</v>
      </c>
    </row>
    <row r="558" spans="1:8" ht="60" x14ac:dyDescent="0.15">
      <c r="A558" s="276"/>
      <c r="B558" s="85"/>
      <c r="C558" s="86" t="str">
        <f>"Chi phí một số công việc không xác định được khối lượng từ thiết kế (T x "&amp;HSXL!C$13&amp;")"</f>
        <v>Chi phí một số công việc không xác định được khối lượng từ thiết kế (T x 2%)</v>
      </c>
      <c r="D558" s="85" t="s">
        <v>42</v>
      </c>
      <c r="E558" s="279" t="str">
        <f>HSXL!C$13</f>
        <v>2%</v>
      </c>
      <c r="F558" s="114"/>
      <c r="G558" s="85"/>
      <c r="H558" s="114">
        <f>H554*HSXL!D$13</f>
        <v>23680.98</v>
      </c>
    </row>
    <row r="559" spans="1:8" ht="30" x14ac:dyDescent="0.15">
      <c r="A559" s="277"/>
      <c r="B559" s="122"/>
      <c r="C559" s="123" t="s">
        <v>924</v>
      </c>
      <c r="D559" s="122" t="s">
        <v>614</v>
      </c>
      <c r="E559" s="278"/>
      <c r="F559" s="126"/>
      <c r="G559" s="122"/>
      <c r="H559" s="126">
        <f>SUM(H556:H558)</f>
        <v>101828.21399999999</v>
      </c>
    </row>
    <row r="560" spans="1:8" ht="45" x14ac:dyDescent="0.15">
      <c r="A560" s="276"/>
      <c r="B560" s="85"/>
      <c r="C560" s="86" t="str">
        <f>"THU NHẬP CHỊU THUẾ TÍNH TRƯỚC (T+GT) x "&amp;HSXL!C$16</f>
        <v>THU NHẬP CHỊU THUẾ TÍNH TRƯỚC (T+GT) x 5,5%</v>
      </c>
      <c r="D560" s="85" t="s">
        <v>617</v>
      </c>
      <c r="E560" s="279" t="str">
        <f>HSXL!C$16</f>
        <v>5,5%</v>
      </c>
      <c r="F560" s="114"/>
      <c r="G560" s="85"/>
      <c r="H560" s="114">
        <f>(H554+H559)*HSXL!D$16</f>
        <v>70723.246769999998</v>
      </c>
    </row>
    <row r="561" spans="1:8" ht="30" x14ac:dyDescent="0.15">
      <c r="A561" s="276"/>
      <c r="B561" s="85"/>
      <c r="C561" s="86" t="s">
        <v>925</v>
      </c>
      <c r="D561" s="85" t="s">
        <v>619</v>
      </c>
      <c r="E561" s="279"/>
      <c r="F561" s="114"/>
      <c r="G561" s="85"/>
      <c r="H561" s="114">
        <f>H554+H559+H560</f>
        <v>1356600.46077</v>
      </c>
    </row>
    <row r="562" spans="1:8" ht="30" x14ac:dyDescent="0.15">
      <c r="A562" s="276"/>
      <c r="B562" s="85"/>
      <c r="C562" s="86" t="str">
        <f>"THUẾ GIÁ TRỊ GIA TĂNG (G x "&amp;HSXL!C$17&amp;")"</f>
        <v>THUẾ GIÁ TRỊ GIA TĂNG (G x 8%)</v>
      </c>
      <c r="D562" s="85" t="s">
        <v>623</v>
      </c>
      <c r="E562" s="192">
        <f>HSXL!D$17</f>
        <v>0.08</v>
      </c>
      <c r="F562" s="114"/>
      <c r="G562" s="85"/>
      <c r="H562" s="114">
        <f>E562*H561</f>
        <v>108528.03686160001</v>
      </c>
    </row>
    <row r="563" spans="1:8" ht="30" x14ac:dyDescent="0.15">
      <c r="A563" s="280"/>
      <c r="B563" s="281"/>
      <c r="C563" s="282" t="s">
        <v>926</v>
      </c>
      <c r="D563" s="281" t="s">
        <v>626</v>
      </c>
      <c r="E563" s="283"/>
      <c r="F563" s="284"/>
      <c r="G563" s="281"/>
      <c r="H563" s="285">
        <f>H561+H562</f>
        <v>1465128.4976316001</v>
      </c>
    </row>
    <row r="564" spans="1:8" ht="45" x14ac:dyDescent="0.15">
      <c r="A564" s="141">
        <f>'Công trình'!A92</f>
        <v>30</v>
      </c>
      <c r="B564" s="122" t="str">
        <f>'Công trình'!E92</f>
        <v>AB.13411</v>
      </c>
      <c r="C564" s="123" t="str">
        <f>'Công trình'!F92</f>
        <v>Đắp cát công trình bằng thủ công, đắp nền móng công trình</v>
      </c>
      <c r="D564" s="122" t="str">
        <f>'Công trình'!G92</f>
        <v>m3</v>
      </c>
      <c r="E564" s="123">
        <v>1</v>
      </c>
      <c r="F564" s="126"/>
      <c r="G564" s="122"/>
      <c r="H564" s="126"/>
    </row>
    <row r="565" spans="1:8" x14ac:dyDescent="0.15">
      <c r="A565" s="274"/>
      <c r="B565" s="146"/>
      <c r="C565" s="145" t="s">
        <v>477</v>
      </c>
      <c r="D565" s="146"/>
      <c r="E565" s="145"/>
      <c r="F565" s="275"/>
      <c r="G565" s="146"/>
      <c r="H565" s="275">
        <f>H568</f>
        <v>348432</v>
      </c>
    </row>
    <row r="566" spans="1:8" ht="30" x14ac:dyDescent="0.15">
      <c r="A566" s="276"/>
      <c r="B566" s="85" t="str">
        <f>'Giá tháng'!B$6</f>
        <v>A24.1042</v>
      </c>
      <c r="C566" s="86" t="str">
        <f>'Giá tháng'!C$6</f>
        <v>Cát</v>
      </c>
      <c r="D566" s="85" t="str">
        <f>'Giá tháng'!D$6</f>
        <v>m3</v>
      </c>
      <c r="E566" s="135">
        <f>HaoPhiVatTu!F$227</f>
        <v>1.22</v>
      </c>
      <c r="F566" s="114">
        <f>'Tổng hợp VT'!O$10</f>
        <v>280000</v>
      </c>
      <c r="G566" s="136">
        <f>'Giá tháng'!G$6</f>
        <v>1</v>
      </c>
      <c r="H566" s="114">
        <f>E566*F566*G566</f>
        <v>341600</v>
      </c>
    </row>
    <row r="567" spans="1:8" x14ac:dyDescent="0.15">
      <c r="A567" s="276"/>
      <c r="B567" s="85" t="s">
        <v>478</v>
      </c>
      <c r="C567" s="86" t="s">
        <v>479</v>
      </c>
      <c r="D567" s="85" t="s">
        <v>480</v>
      </c>
      <c r="E567" s="135">
        <f>HaoPhiVatTu!F$228</f>
        <v>2</v>
      </c>
      <c r="F567" s="114">
        <f>SUM(H566:H566)</f>
        <v>341600</v>
      </c>
      <c r="G567" s="85"/>
      <c r="H567" s="114">
        <f>E567*F567/100</f>
        <v>6832</v>
      </c>
    </row>
    <row r="568" spans="1:8" x14ac:dyDescent="0.15">
      <c r="A568" s="276"/>
      <c r="B568" s="85"/>
      <c r="C568" s="86" t="s">
        <v>586</v>
      </c>
      <c r="D568" s="85"/>
      <c r="E568" s="86"/>
      <c r="F568" s="114"/>
      <c r="G568" s="85"/>
      <c r="H568" s="114">
        <f>SUM(H566:H567)</f>
        <v>348432</v>
      </c>
    </row>
    <row r="569" spans="1:8" x14ac:dyDescent="0.15">
      <c r="A569" s="274"/>
      <c r="B569" s="146"/>
      <c r="C569" s="145" t="s">
        <v>481</v>
      </c>
      <c r="D569" s="146"/>
      <c r="E569" s="145"/>
      <c r="F569" s="275"/>
      <c r="G569" s="146"/>
      <c r="H569" s="275">
        <f>H570</f>
        <v>109665</v>
      </c>
    </row>
    <row r="570" spans="1:8" ht="30" x14ac:dyDescent="0.15">
      <c r="A570" s="276"/>
      <c r="B570" s="85" t="str">
        <f>'Giá tháng'!B$27</f>
        <v>N1.30</v>
      </c>
      <c r="C570" s="86" t="str">
        <f>'Giá tháng'!C$27</f>
        <v>Nhân công 3,0/7 - Nhóm 1</v>
      </c>
      <c r="D570" s="85" t="str">
        <f>'Giá tháng'!D$27</f>
        <v>công</v>
      </c>
      <c r="E570" s="135">
        <f>HaoPhiVatTu!F$230</f>
        <v>0.45</v>
      </c>
      <c r="F570" s="114">
        <f>'Tổng hợp VT'!O$34</f>
        <v>243700</v>
      </c>
      <c r="G570" s="136">
        <f>'Giá tháng'!G$27</f>
        <v>1</v>
      </c>
      <c r="H570" s="114">
        <f>E570*F570*G570</f>
        <v>109665</v>
      </c>
    </row>
    <row r="571" spans="1:8" ht="30" x14ac:dyDescent="0.15">
      <c r="A571" s="277"/>
      <c r="B571" s="122"/>
      <c r="C571" s="123" t="s">
        <v>923</v>
      </c>
      <c r="D571" s="122" t="s">
        <v>606</v>
      </c>
      <c r="E571" s="278"/>
      <c r="F571" s="126"/>
      <c r="G571" s="122"/>
      <c r="H571" s="126">
        <f>H565+H569</f>
        <v>458097</v>
      </c>
    </row>
    <row r="572" spans="1:8" x14ac:dyDescent="0.15">
      <c r="A572" s="276"/>
      <c r="B572" s="85"/>
      <c r="C572" s="86" t="s">
        <v>608</v>
      </c>
      <c r="D572" s="85" t="str">
        <f>""</f>
        <v/>
      </c>
      <c r="E572" s="279"/>
      <c r="F572" s="114"/>
      <c r="G572" s="85"/>
      <c r="H572" s="114"/>
    </row>
    <row r="573" spans="1:8" x14ac:dyDescent="0.15">
      <c r="A573" s="276"/>
      <c r="B573" s="85"/>
      <c r="C573" s="86" t="str">
        <f>"Chi phí chung (T x "&amp;HSXL!C$14&amp;")"</f>
        <v>Chi phí chung (T x 5,5%)</v>
      </c>
      <c r="D573" s="85" t="s">
        <v>603</v>
      </c>
      <c r="E573" s="279" t="str">
        <f>HSXL!C$14</f>
        <v>5,5%</v>
      </c>
      <c r="F573" s="114"/>
      <c r="G573" s="85"/>
      <c r="H573" s="114">
        <f>H571*HSXL!D$14</f>
        <v>25195.334999999999</v>
      </c>
    </row>
    <row r="574" spans="1:8" ht="45" x14ac:dyDescent="0.15">
      <c r="A574" s="276"/>
      <c r="B574" s="85"/>
      <c r="C574" s="86" t="str">
        <f>"Chi phí nhà tạm để ở và điều hành thi công (T x "&amp;HSXL!C$18&amp;")"</f>
        <v>Chi phí nhà tạm để ở và điều hành thi công (T x 1,1%)</v>
      </c>
      <c r="D574" s="85" t="s">
        <v>611</v>
      </c>
      <c r="E574" s="279" t="str">
        <f>HSXL!C$18</f>
        <v>1,1%</v>
      </c>
      <c r="F574" s="114"/>
      <c r="G574" s="85"/>
      <c r="H574" s="114">
        <f>H571*HSXL!D$18</f>
        <v>5039.067</v>
      </c>
    </row>
    <row r="575" spans="1:8" ht="60" x14ac:dyDescent="0.15">
      <c r="A575" s="276"/>
      <c r="B575" s="85"/>
      <c r="C575" s="86" t="str">
        <f>"Chi phí một số công việc không xác định được khối lượng từ thiết kế (T x "&amp;HSXL!C$13&amp;")"</f>
        <v>Chi phí một số công việc không xác định được khối lượng từ thiết kế (T x 2%)</v>
      </c>
      <c r="D575" s="85" t="s">
        <v>42</v>
      </c>
      <c r="E575" s="279" t="str">
        <f>HSXL!C$13</f>
        <v>2%</v>
      </c>
      <c r="F575" s="114"/>
      <c r="G575" s="85"/>
      <c r="H575" s="114">
        <f>H571*HSXL!D$13</f>
        <v>9161.94</v>
      </c>
    </row>
    <row r="576" spans="1:8" ht="30" x14ac:dyDescent="0.15">
      <c r="A576" s="277"/>
      <c r="B576" s="122"/>
      <c r="C576" s="123" t="s">
        <v>924</v>
      </c>
      <c r="D576" s="122" t="s">
        <v>614</v>
      </c>
      <c r="E576" s="278"/>
      <c r="F576" s="126"/>
      <c r="G576" s="122"/>
      <c r="H576" s="126">
        <f>SUM(H573:H575)</f>
        <v>39396.341999999997</v>
      </c>
    </row>
    <row r="577" spans="1:8" ht="45" x14ac:dyDescent="0.15">
      <c r="A577" s="276"/>
      <c r="B577" s="85"/>
      <c r="C577" s="86" t="str">
        <f>"THU NHẬP CHỊU THUẾ TÍNH TRƯỚC (T+GT) x "&amp;HSXL!C$16</f>
        <v>THU NHẬP CHỊU THUẾ TÍNH TRƯỚC (T+GT) x 5,5%</v>
      </c>
      <c r="D577" s="85" t="s">
        <v>617</v>
      </c>
      <c r="E577" s="279" t="str">
        <f>HSXL!C$16</f>
        <v>5,5%</v>
      </c>
      <c r="F577" s="114"/>
      <c r="G577" s="85"/>
      <c r="H577" s="114">
        <f>(H571+H576)*HSXL!D$16</f>
        <v>27362.133809999999</v>
      </c>
    </row>
    <row r="578" spans="1:8" ht="30" x14ac:dyDescent="0.15">
      <c r="A578" s="276"/>
      <c r="B578" s="85"/>
      <c r="C578" s="86" t="s">
        <v>925</v>
      </c>
      <c r="D578" s="85" t="s">
        <v>619</v>
      </c>
      <c r="E578" s="279"/>
      <c r="F578" s="114"/>
      <c r="G578" s="85"/>
      <c r="H578" s="114">
        <f>H571+H576+H577</f>
        <v>524855.47580999997</v>
      </c>
    </row>
    <row r="579" spans="1:8" ht="30" x14ac:dyDescent="0.15">
      <c r="A579" s="276"/>
      <c r="B579" s="85"/>
      <c r="C579" s="86" t="str">
        <f>"THUẾ GIÁ TRỊ GIA TĂNG (G x "&amp;HSXL!C$17&amp;")"</f>
        <v>THUẾ GIÁ TRỊ GIA TĂNG (G x 8%)</v>
      </c>
      <c r="D579" s="85" t="s">
        <v>623</v>
      </c>
      <c r="E579" s="192">
        <f>HSXL!D$17</f>
        <v>0.08</v>
      </c>
      <c r="F579" s="114"/>
      <c r="G579" s="85"/>
      <c r="H579" s="114">
        <f>E579*H578</f>
        <v>41988.438064800001</v>
      </c>
    </row>
    <row r="580" spans="1:8" ht="30" x14ac:dyDescent="0.15">
      <c r="A580" s="280"/>
      <c r="B580" s="281"/>
      <c r="C580" s="282" t="s">
        <v>926</v>
      </c>
      <c r="D580" s="281" t="s">
        <v>626</v>
      </c>
      <c r="E580" s="283"/>
      <c r="F580" s="284"/>
      <c r="G580" s="281"/>
      <c r="H580" s="285">
        <f>H578+H579</f>
        <v>566843.91387479997</v>
      </c>
    </row>
    <row r="581" spans="1:8" ht="30" x14ac:dyDescent="0.15">
      <c r="A581" s="141">
        <f>'Công trình'!A94</f>
        <v>31</v>
      </c>
      <c r="B581" s="122" t="str">
        <f>'Công trình'!E94</f>
        <v>AF.82511</v>
      </c>
      <c r="C581" s="123" t="str">
        <f>'Công trình'!F94</f>
        <v>Ván khuôn thép. Ván khuôn móng dài</v>
      </c>
      <c r="D581" s="122" t="str">
        <f>'Công trình'!G94</f>
        <v>100m2</v>
      </c>
      <c r="E581" s="123">
        <v>1</v>
      </c>
      <c r="F581" s="126"/>
      <c r="G581" s="122"/>
      <c r="H581" s="126"/>
    </row>
    <row r="582" spans="1:8" x14ac:dyDescent="0.15">
      <c r="A582" s="274"/>
      <c r="B582" s="146"/>
      <c r="C582" s="145" t="s">
        <v>477</v>
      </c>
      <c r="D582" s="146"/>
      <c r="E582" s="145"/>
      <c r="F582" s="275"/>
      <c r="G582" s="146"/>
      <c r="H582" s="275">
        <f>H587</f>
        <v>1740379.2</v>
      </c>
    </row>
    <row r="583" spans="1:8" ht="30" x14ac:dyDescent="0.15">
      <c r="A583" s="276"/>
      <c r="B583" s="85" t="str">
        <f>'Giá tháng'!B$21</f>
        <v>A24.0726</v>
      </c>
      <c r="C583" s="86" t="str">
        <f>'Giá tháng'!C$21</f>
        <v>Thép tấm</v>
      </c>
      <c r="D583" s="85" t="str">
        <f>'Giá tháng'!D$21</f>
        <v>kg</v>
      </c>
      <c r="E583" s="135">
        <f>HaoPhiVatTu!F$233</f>
        <v>51.81</v>
      </c>
      <c r="F583" s="114">
        <f>'Tổng hợp VT'!O$25</f>
        <v>18800</v>
      </c>
      <c r="G583" s="136">
        <f>'Giá tháng'!G$21</f>
        <v>1</v>
      </c>
      <c r="H583" s="114">
        <f>E583*F583*G583</f>
        <v>974028</v>
      </c>
    </row>
    <row r="584" spans="1:8" ht="30" x14ac:dyDescent="0.15">
      <c r="A584" s="276"/>
      <c r="B584" s="85" t="str">
        <f>'Giá tháng'!B$20</f>
        <v>A24.0712</v>
      </c>
      <c r="C584" s="86" t="str">
        <f>'Giá tháng'!C$20</f>
        <v>Thép hình</v>
      </c>
      <c r="D584" s="85" t="str">
        <f>'Giá tháng'!D$20</f>
        <v>kg</v>
      </c>
      <c r="E584" s="135">
        <f>HaoPhiVatTu!F$234</f>
        <v>32.020000000000003</v>
      </c>
      <c r="F584" s="114">
        <f>'Tổng hợp VT'!O$24</f>
        <v>18800</v>
      </c>
      <c r="G584" s="136">
        <f>'Giá tháng'!G$20</f>
        <v>1</v>
      </c>
      <c r="H584" s="114">
        <f>E584*F584*G584</f>
        <v>601976.00000000012</v>
      </c>
    </row>
    <row r="585" spans="1:8" ht="30" x14ac:dyDescent="0.15">
      <c r="A585" s="276"/>
      <c r="B585" s="85" t="str">
        <f>'Giá tháng'!B$19</f>
        <v>A24.0543</v>
      </c>
      <c r="C585" s="86" t="str">
        <f>'Giá tháng'!C$19</f>
        <v>Que hàn</v>
      </c>
      <c r="D585" s="85" t="str">
        <f>'Giá tháng'!D$19</f>
        <v>kg</v>
      </c>
      <c r="E585" s="135">
        <f>HaoPhiVatTu!F$235</f>
        <v>3.26</v>
      </c>
      <c r="F585" s="114">
        <f>'Tổng hợp VT'!O$23</f>
        <v>25000</v>
      </c>
      <c r="G585" s="136">
        <f>'Giá tháng'!G$19</f>
        <v>1</v>
      </c>
      <c r="H585" s="114">
        <f>E585*F585*G585</f>
        <v>81500</v>
      </c>
    </row>
    <row r="586" spans="1:8" x14ac:dyDescent="0.15">
      <c r="A586" s="276"/>
      <c r="B586" s="85" t="s">
        <v>478</v>
      </c>
      <c r="C586" s="86" t="s">
        <v>479</v>
      </c>
      <c r="D586" s="85" t="s">
        <v>480</v>
      </c>
      <c r="E586" s="135">
        <f>HaoPhiVatTu!F$236</f>
        <v>5</v>
      </c>
      <c r="F586" s="114">
        <f>SUM(H583:H585)</f>
        <v>1657504</v>
      </c>
      <c r="G586" s="85"/>
      <c r="H586" s="114">
        <f>E586*F586/100</f>
        <v>82875.199999999997</v>
      </c>
    </row>
    <row r="587" spans="1:8" x14ac:dyDescent="0.15">
      <c r="A587" s="276"/>
      <c r="B587" s="85"/>
      <c r="C587" s="86" t="s">
        <v>586</v>
      </c>
      <c r="D587" s="85"/>
      <c r="E587" s="86"/>
      <c r="F587" s="114"/>
      <c r="G587" s="85"/>
      <c r="H587" s="114">
        <f>SUM(H583:H586)</f>
        <v>1740379.2</v>
      </c>
    </row>
    <row r="588" spans="1:8" x14ac:dyDescent="0.15">
      <c r="A588" s="274"/>
      <c r="B588" s="146"/>
      <c r="C588" s="145" t="s">
        <v>481</v>
      </c>
      <c r="D588" s="146"/>
      <c r="E588" s="145"/>
      <c r="F588" s="275"/>
      <c r="G588" s="146"/>
      <c r="H588" s="275">
        <f>H589</f>
        <v>3836700</v>
      </c>
    </row>
    <row r="589" spans="1:8" ht="30" x14ac:dyDescent="0.15">
      <c r="A589" s="276"/>
      <c r="B589" s="85" t="str">
        <f>'Giá tháng'!B$30</f>
        <v>N2.40</v>
      </c>
      <c r="C589" s="86" t="str">
        <f>'Giá tháng'!C$30</f>
        <v>Nhân công 4,0/7 - Nhóm 2</v>
      </c>
      <c r="D589" s="85" t="str">
        <f>'Giá tháng'!D$30</f>
        <v>công</v>
      </c>
      <c r="E589" s="135">
        <f>HaoPhiVatTu!F$238</f>
        <v>12.25</v>
      </c>
      <c r="F589" s="114">
        <f>'Tổng hợp VT'!O$37</f>
        <v>313200</v>
      </c>
      <c r="G589" s="136">
        <f>'Giá tháng'!G$30</f>
        <v>1</v>
      </c>
      <c r="H589" s="114">
        <f>E589*F589*G589</f>
        <v>3836700</v>
      </c>
    </row>
    <row r="590" spans="1:8" x14ac:dyDescent="0.15">
      <c r="A590" s="274"/>
      <c r="B590" s="146"/>
      <c r="C590" s="145" t="s">
        <v>482</v>
      </c>
      <c r="D590" s="146"/>
      <c r="E590" s="145"/>
      <c r="F590" s="275"/>
      <c r="G590" s="146"/>
      <c r="H590" s="275">
        <f>H593</f>
        <v>374276.45399999997</v>
      </c>
    </row>
    <row r="591" spans="1:8" ht="30" x14ac:dyDescent="0.15">
      <c r="A591" s="276"/>
      <c r="B591" s="85" t="str">
        <f>'Giá tháng'!B$45</f>
        <v>M112.4003</v>
      </c>
      <c r="C591" s="86" t="str">
        <f>'Giá tháng'!C$45</f>
        <v>Máy hàn xoay chiều - công suất : 23,0 kW</v>
      </c>
      <c r="D591" s="85" t="str">
        <f>'Giá tháng'!D$45</f>
        <v>ca</v>
      </c>
      <c r="E591" s="135">
        <f>HaoPhiVatTu!F$240</f>
        <v>0.82</v>
      </c>
      <c r="F591" s="114">
        <f>'Tổng hợp VT'!O$55</f>
        <v>447485</v>
      </c>
      <c r="G591" s="136">
        <f>'Giá tháng'!G$45</f>
        <v>1</v>
      </c>
      <c r="H591" s="114">
        <f>E591*F591*G591</f>
        <v>366937.69999999995</v>
      </c>
    </row>
    <row r="592" spans="1:8" x14ac:dyDescent="0.15">
      <c r="A592" s="276"/>
      <c r="B592" s="85" t="s">
        <v>483</v>
      </c>
      <c r="C592" s="86" t="s">
        <v>484</v>
      </c>
      <c r="D592" s="85" t="s">
        <v>480</v>
      </c>
      <c r="E592" s="135">
        <f>HaoPhiVatTu!F$241</f>
        <v>2</v>
      </c>
      <c r="F592" s="114">
        <f>SUM(H591:H591)</f>
        <v>366937.69999999995</v>
      </c>
      <c r="G592" s="85"/>
      <c r="H592" s="114">
        <f>E592*F592/100</f>
        <v>7338.753999999999</v>
      </c>
    </row>
    <row r="593" spans="1:8" x14ac:dyDescent="0.15">
      <c r="A593" s="276"/>
      <c r="B593" s="85"/>
      <c r="C593" s="86" t="s">
        <v>586</v>
      </c>
      <c r="D593" s="85"/>
      <c r="E593" s="86"/>
      <c r="F593" s="114"/>
      <c r="G593" s="85"/>
      <c r="H593" s="114">
        <f>SUM(H591:H592)</f>
        <v>374276.45399999997</v>
      </c>
    </row>
    <row r="594" spans="1:8" ht="30" x14ac:dyDescent="0.15">
      <c r="A594" s="277"/>
      <c r="B594" s="122"/>
      <c r="C594" s="123" t="s">
        <v>923</v>
      </c>
      <c r="D594" s="122" t="s">
        <v>606</v>
      </c>
      <c r="E594" s="278"/>
      <c r="F594" s="126"/>
      <c r="G594" s="122"/>
      <c r="H594" s="126">
        <f>H582+H588+H590</f>
        <v>5951355.6540000001</v>
      </c>
    </row>
    <row r="595" spans="1:8" x14ac:dyDescent="0.15">
      <c r="A595" s="276"/>
      <c r="B595" s="85"/>
      <c r="C595" s="86" t="s">
        <v>608</v>
      </c>
      <c r="D595" s="85" t="str">
        <f>""</f>
        <v/>
      </c>
      <c r="E595" s="279"/>
      <c r="F595" s="114"/>
      <c r="G595" s="85"/>
      <c r="H595" s="114"/>
    </row>
    <row r="596" spans="1:8" x14ac:dyDescent="0.15">
      <c r="A596" s="276"/>
      <c r="B596" s="85"/>
      <c r="C596" s="86" t="str">
        <f>"Chi phí chung (T x "&amp;HSXL!C$14&amp;")"</f>
        <v>Chi phí chung (T x 5,5%)</v>
      </c>
      <c r="D596" s="85" t="s">
        <v>603</v>
      </c>
      <c r="E596" s="279" t="str">
        <f>HSXL!C$14</f>
        <v>5,5%</v>
      </c>
      <c r="F596" s="114"/>
      <c r="G596" s="85"/>
      <c r="H596" s="114">
        <f>H594*HSXL!D$14</f>
        <v>327324.56096999999</v>
      </c>
    </row>
    <row r="597" spans="1:8" ht="45" x14ac:dyDescent="0.15">
      <c r="A597" s="276"/>
      <c r="B597" s="85"/>
      <c r="C597" s="86" t="str">
        <f>"Chi phí nhà tạm để ở và điều hành thi công (T x "&amp;HSXL!C$18&amp;")"</f>
        <v>Chi phí nhà tạm để ở và điều hành thi công (T x 1,1%)</v>
      </c>
      <c r="D597" s="85" t="s">
        <v>611</v>
      </c>
      <c r="E597" s="279" t="str">
        <f>HSXL!C$18</f>
        <v>1,1%</v>
      </c>
      <c r="F597" s="114"/>
      <c r="G597" s="85"/>
      <c r="H597" s="114">
        <f>H594*HSXL!D$18</f>
        <v>65464.912193999997</v>
      </c>
    </row>
    <row r="598" spans="1:8" ht="60" x14ac:dyDescent="0.15">
      <c r="A598" s="276"/>
      <c r="B598" s="85"/>
      <c r="C598" s="86" t="str">
        <f>"Chi phí một số công việc không xác định được khối lượng từ thiết kế (T x "&amp;HSXL!C$13&amp;")"</f>
        <v>Chi phí một số công việc không xác định được khối lượng từ thiết kế (T x 2%)</v>
      </c>
      <c r="D598" s="85" t="s">
        <v>42</v>
      </c>
      <c r="E598" s="279" t="str">
        <f>HSXL!C$13</f>
        <v>2%</v>
      </c>
      <c r="F598" s="114"/>
      <c r="G598" s="85"/>
      <c r="H598" s="114">
        <f>H594*HSXL!D$13</f>
        <v>119027.11308000001</v>
      </c>
    </row>
    <row r="599" spans="1:8" ht="30" x14ac:dyDescent="0.15">
      <c r="A599" s="277"/>
      <c r="B599" s="122"/>
      <c r="C599" s="123" t="s">
        <v>924</v>
      </c>
      <c r="D599" s="122" t="s">
        <v>614</v>
      </c>
      <c r="E599" s="278"/>
      <c r="F599" s="126"/>
      <c r="G599" s="122"/>
      <c r="H599" s="126">
        <f>SUM(H596:H598)</f>
        <v>511816.58624400001</v>
      </c>
    </row>
    <row r="600" spans="1:8" ht="45" x14ac:dyDescent="0.15">
      <c r="A600" s="276"/>
      <c r="B600" s="85"/>
      <c r="C600" s="86" t="str">
        <f>"THU NHẬP CHỊU THUẾ TÍNH TRƯỚC (T+GT) x "&amp;HSXL!C$16</f>
        <v>THU NHẬP CHỊU THUẾ TÍNH TRƯỚC (T+GT) x 5,5%</v>
      </c>
      <c r="D600" s="85" t="s">
        <v>617</v>
      </c>
      <c r="E600" s="279" t="str">
        <f>HSXL!C$16</f>
        <v>5,5%</v>
      </c>
      <c r="F600" s="114"/>
      <c r="G600" s="85"/>
      <c r="H600" s="114">
        <f>(H594+H599)*HSXL!D$16</f>
        <v>355474.47321342002</v>
      </c>
    </row>
    <row r="601" spans="1:8" ht="30" x14ac:dyDescent="0.15">
      <c r="A601" s="276"/>
      <c r="B601" s="85"/>
      <c r="C601" s="86" t="s">
        <v>925</v>
      </c>
      <c r="D601" s="85" t="s">
        <v>619</v>
      </c>
      <c r="E601" s="279"/>
      <c r="F601" s="114"/>
      <c r="G601" s="85"/>
      <c r="H601" s="114">
        <f>H594+H599+H600</f>
        <v>6818646.7134574205</v>
      </c>
    </row>
    <row r="602" spans="1:8" ht="30" x14ac:dyDescent="0.15">
      <c r="A602" s="276"/>
      <c r="B602" s="85"/>
      <c r="C602" s="86" t="str">
        <f>"THUẾ GIÁ TRỊ GIA TĂNG (G x "&amp;HSXL!C$17&amp;")"</f>
        <v>THUẾ GIÁ TRỊ GIA TĂNG (G x 8%)</v>
      </c>
      <c r="D602" s="85" t="s">
        <v>623</v>
      </c>
      <c r="E602" s="192">
        <f>HSXL!D$17</f>
        <v>0.08</v>
      </c>
      <c r="F602" s="114"/>
      <c r="G602" s="85"/>
      <c r="H602" s="114">
        <f>E602*H601</f>
        <v>545491.73707659368</v>
      </c>
    </row>
    <row r="603" spans="1:8" ht="30" x14ac:dyDescent="0.15">
      <c r="A603" s="280"/>
      <c r="B603" s="281"/>
      <c r="C603" s="282" t="s">
        <v>926</v>
      </c>
      <c r="D603" s="281" t="s">
        <v>626</v>
      </c>
      <c r="E603" s="283"/>
      <c r="F603" s="284"/>
      <c r="G603" s="281"/>
      <c r="H603" s="285">
        <f>H601+H602</f>
        <v>7364138.450534014</v>
      </c>
    </row>
    <row r="604" spans="1:8" ht="75" x14ac:dyDescent="0.15">
      <c r="A604" s="141">
        <f>'Công trình'!A96</f>
        <v>32</v>
      </c>
      <c r="B604" s="122" t="str">
        <f>'Công trình'!E96</f>
        <v>AF.11211A</v>
      </c>
      <c r="C604" s="123" t="str">
        <f>'Công trình'!F96</f>
        <v>Đổ bê tông thủ công bằng máy trộn, bê tông móng, chiều rộng &lt;= 250 cm, đá 1x2, mác 100, PCB30</v>
      </c>
      <c r="D604" s="122" t="str">
        <f>'Công trình'!G96</f>
        <v>m3</v>
      </c>
      <c r="E604" s="123">
        <v>1</v>
      </c>
      <c r="F604" s="126"/>
      <c r="G604" s="122"/>
      <c r="H604" s="126"/>
    </row>
    <row r="605" spans="1:8" x14ac:dyDescent="0.15">
      <c r="A605" s="274"/>
      <c r="B605" s="146"/>
      <c r="C605" s="145" t="s">
        <v>477</v>
      </c>
      <c r="D605" s="146"/>
      <c r="E605" s="145"/>
      <c r="F605" s="275"/>
      <c r="G605" s="146"/>
      <c r="H605" s="275">
        <f>H611</f>
        <v>1211123.44625</v>
      </c>
    </row>
    <row r="606" spans="1:8" ht="30" x14ac:dyDescent="0.15">
      <c r="A606" s="276"/>
      <c r="B606" s="85" t="str">
        <f>'Giá tháng'!B$25</f>
        <v>A24.0797A</v>
      </c>
      <c r="C606" s="86" t="str">
        <f>'Giá tháng'!C$25</f>
        <v>Xi măng PCB30</v>
      </c>
      <c r="D606" s="85" t="str">
        <f>'Giá tháng'!D$25</f>
        <v>kg</v>
      </c>
      <c r="E606" s="135">
        <f>HaoPhiVatTu!F$244</f>
        <v>222.42500000000001</v>
      </c>
      <c r="F606" s="114">
        <f>'Tổng hợp VT'!O$29</f>
        <v>1597</v>
      </c>
      <c r="G606" s="136">
        <f>'Giá tháng'!G$25</f>
        <v>1</v>
      </c>
      <c r="H606" s="114">
        <f>E606*F606*G606</f>
        <v>355212.72500000003</v>
      </c>
    </row>
    <row r="607" spans="1:8" ht="30" x14ac:dyDescent="0.15">
      <c r="A607" s="276"/>
      <c r="B607" s="85" t="str">
        <f>'Giá tháng'!B$7</f>
        <v>A24.0180</v>
      </c>
      <c r="C607" s="86" t="str">
        <f>'Giá tháng'!C$7</f>
        <v>Cát vàng</v>
      </c>
      <c r="D607" s="85" t="str">
        <f>'Giá tháng'!D$7</f>
        <v>m3</v>
      </c>
      <c r="E607" s="135">
        <f>HaoPhiVatTu!F$245</f>
        <v>0.55247500000000005</v>
      </c>
      <c r="F607" s="114">
        <f>'Tổng hợp VT'!O$11</f>
        <v>750000</v>
      </c>
      <c r="G607" s="136">
        <f>'Giá tháng'!G$7</f>
        <v>1</v>
      </c>
      <c r="H607" s="114">
        <f>E607*F607*G607</f>
        <v>414356.25000000006</v>
      </c>
    </row>
    <row r="608" spans="1:8" ht="30" x14ac:dyDescent="0.15">
      <c r="A608" s="276"/>
      <c r="B608" s="85" t="str">
        <f>'Giá tháng'!B$13</f>
        <v>A24.0008</v>
      </c>
      <c r="C608" s="86" t="str">
        <f>'Giá tháng'!C$13</f>
        <v>Đá 1x2</v>
      </c>
      <c r="D608" s="85" t="str">
        <f>'Giá tháng'!D$13</f>
        <v>m3</v>
      </c>
      <c r="E608" s="135">
        <f>HaoPhiVatTu!F$246</f>
        <v>0.90917499999999996</v>
      </c>
      <c r="F608" s="114">
        <f>'Tổng hợp VT'!O$17</f>
        <v>470000</v>
      </c>
      <c r="G608" s="136">
        <f>'Giá tháng'!G$13</f>
        <v>1</v>
      </c>
      <c r="H608" s="114">
        <f>E608*F608*G608</f>
        <v>427312.25</v>
      </c>
    </row>
    <row r="609" spans="1:8" ht="30" x14ac:dyDescent="0.15">
      <c r="A609" s="276"/>
      <c r="B609" s="85" t="str">
        <f>'Giá tháng'!B$15</f>
        <v>A24.0524</v>
      </c>
      <c r="C609" s="86" t="str">
        <f>'Giá tháng'!C$15</f>
        <v>Nước</v>
      </c>
      <c r="D609" s="85" t="str">
        <f>'Giá tháng'!D$15</f>
        <v>lít</v>
      </c>
      <c r="E609" s="135">
        <f>HaoPhiVatTu!F$247</f>
        <v>187.57499999999999</v>
      </c>
      <c r="F609" s="114">
        <f>'Tổng hợp VT'!O$19</f>
        <v>12</v>
      </c>
      <c r="G609" s="136">
        <f>'Giá tháng'!G$15</f>
        <v>1</v>
      </c>
      <c r="H609" s="114">
        <f>E609*F609*G609</f>
        <v>2250.8999999999996</v>
      </c>
    </row>
    <row r="610" spans="1:8" x14ac:dyDescent="0.15">
      <c r="A610" s="276"/>
      <c r="B610" s="85" t="s">
        <v>478</v>
      </c>
      <c r="C610" s="86" t="s">
        <v>479</v>
      </c>
      <c r="D610" s="85" t="s">
        <v>480</v>
      </c>
      <c r="E610" s="135">
        <f>HaoPhiVatTu!F$248</f>
        <v>1</v>
      </c>
      <c r="F610" s="114">
        <f>SUM(H606:H609)</f>
        <v>1199132.125</v>
      </c>
      <c r="G610" s="85"/>
      <c r="H610" s="114">
        <f>E610*F610/100</f>
        <v>11991.321250000001</v>
      </c>
    </row>
    <row r="611" spans="1:8" x14ac:dyDescent="0.15">
      <c r="A611" s="276"/>
      <c r="B611" s="85"/>
      <c r="C611" s="86" t="s">
        <v>586</v>
      </c>
      <c r="D611" s="85"/>
      <c r="E611" s="86"/>
      <c r="F611" s="114"/>
      <c r="G611" s="85"/>
      <c r="H611" s="114">
        <f>SUM(H606:H610)</f>
        <v>1211123.44625</v>
      </c>
    </row>
    <row r="612" spans="1:8" x14ac:dyDescent="0.15">
      <c r="A612" s="274"/>
      <c r="B612" s="146"/>
      <c r="C612" s="145" t="s">
        <v>481</v>
      </c>
      <c r="D612" s="146"/>
      <c r="E612" s="145"/>
      <c r="F612" s="275"/>
      <c r="G612" s="146"/>
      <c r="H612" s="275">
        <f>H613</f>
        <v>324474</v>
      </c>
    </row>
    <row r="613" spans="1:8" ht="30" x14ac:dyDescent="0.15">
      <c r="A613" s="276"/>
      <c r="B613" s="85" t="str">
        <f>'Giá tháng'!B$28</f>
        <v>N2.30</v>
      </c>
      <c r="C613" s="86" t="str">
        <f>'Giá tháng'!C$28</f>
        <v>Nhân công 3,0/7 - Nhóm 2</v>
      </c>
      <c r="D613" s="85" t="str">
        <f>'Giá tháng'!D$28</f>
        <v>công</v>
      </c>
      <c r="E613" s="135">
        <f>HaoPhiVatTu!F$250</f>
        <v>1.23</v>
      </c>
      <c r="F613" s="114">
        <f>'Tổng hợp VT'!O$35</f>
        <v>263800</v>
      </c>
      <c r="G613" s="136">
        <f>'Giá tháng'!G$28</f>
        <v>1</v>
      </c>
      <c r="H613" s="114">
        <f>E613*F613*G613</f>
        <v>324474</v>
      </c>
    </row>
    <row r="614" spans="1:8" x14ac:dyDescent="0.15">
      <c r="A614" s="274"/>
      <c r="B614" s="146"/>
      <c r="C614" s="145" t="s">
        <v>482</v>
      </c>
      <c r="D614" s="146"/>
      <c r="E614" s="145"/>
      <c r="F614" s="275"/>
      <c r="G614" s="146"/>
      <c r="H614" s="275">
        <f>H617</f>
        <v>59923.404999999999</v>
      </c>
    </row>
    <row r="615" spans="1:8" ht="30" x14ac:dyDescent="0.15">
      <c r="A615" s="276"/>
      <c r="B615" s="85" t="str">
        <f>'Giá tháng'!B$47</f>
        <v>M104.0102</v>
      </c>
      <c r="C615" s="86" t="str">
        <f>'Giá tháng'!C$47</f>
        <v>Máy trộn bê tông - dung tích : 250,0 lít</v>
      </c>
      <c r="D615" s="85" t="str">
        <f>'Giá tháng'!D$47</f>
        <v>ca</v>
      </c>
      <c r="E615" s="135">
        <f>HaoPhiVatTu!F$252</f>
        <v>9.5000000000000001E-2</v>
      </c>
      <c r="F615" s="114">
        <f>'Tổng hợp VT'!O$57</f>
        <v>347214</v>
      </c>
      <c r="G615" s="136">
        <f>'Giá tháng'!G$47</f>
        <v>1</v>
      </c>
      <c r="H615" s="114">
        <f>E615*F615*G615</f>
        <v>32985.33</v>
      </c>
    </row>
    <row r="616" spans="1:8" ht="30" x14ac:dyDescent="0.15">
      <c r="A616" s="276"/>
      <c r="B616" s="85" t="str">
        <f>'Giá tháng'!B$42</f>
        <v>M112.1301</v>
      </c>
      <c r="C616" s="86" t="str">
        <f>'Giá tháng'!C$42</f>
        <v>Máy đầm bê tông, dầm dùi - công suất : 1,5 kW</v>
      </c>
      <c r="D616" s="85" t="str">
        <f>'Giá tháng'!D$42</f>
        <v>ca</v>
      </c>
      <c r="E616" s="135">
        <f>HaoPhiVatTu!F$253</f>
        <v>8.8999999999999996E-2</v>
      </c>
      <c r="F616" s="114">
        <f>'Tổng hợp VT'!O$52</f>
        <v>302675</v>
      </c>
      <c r="G616" s="136">
        <f>'Giá tháng'!G$42</f>
        <v>1</v>
      </c>
      <c r="H616" s="114">
        <f>E616*F616*G616</f>
        <v>26938.074999999997</v>
      </c>
    </row>
    <row r="617" spans="1:8" x14ac:dyDescent="0.15">
      <c r="A617" s="276"/>
      <c r="B617" s="85"/>
      <c r="C617" s="86" t="s">
        <v>586</v>
      </c>
      <c r="D617" s="85"/>
      <c r="E617" s="86"/>
      <c r="F617" s="114"/>
      <c r="G617" s="85"/>
      <c r="H617" s="114">
        <f>SUM(H615:H616)</f>
        <v>59923.404999999999</v>
      </c>
    </row>
    <row r="618" spans="1:8" ht="30" x14ac:dyDescent="0.15">
      <c r="A618" s="277"/>
      <c r="B618" s="122"/>
      <c r="C618" s="123" t="s">
        <v>923</v>
      </c>
      <c r="D618" s="122" t="s">
        <v>606</v>
      </c>
      <c r="E618" s="278"/>
      <c r="F618" s="126"/>
      <c r="G618" s="122"/>
      <c r="H618" s="126">
        <f>H605+H612+H614</f>
        <v>1595520.8512500001</v>
      </c>
    </row>
    <row r="619" spans="1:8" x14ac:dyDescent="0.15">
      <c r="A619" s="276"/>
      <c r="B619" s="85"/>
      <c r="C619" s="86" t="s">
        <v>608</v>
      </c>
      <c r="D619" s="85" t="str">
        <f>""</f>
        <v/>
      </c>
      <c r="E619" s="279"/>
      <c r="F619" s="114"/>
      <c r="G619" s="85"/>
      <c r="H619" s="114"/>
    </row>
    <row r="620" spans="1:8" x14ac:dyDescent="0.15">
      <c r="A620" s="276"/>
      <c r="B620" s="85"/>
      <c r="C620" s="86" t="str">
        <f>"Chi phí chung (T x "&amp;HSXL!C$14&amp;")"</f>
        <v>Chi phí chung (T x 5,5%)</v>
      </c>
      <c r="D620" s="85" t="s">
        <v>603</v>
      </c>
      <c r="E620" s="279" t="str">
        <f>HSXL!C$14</f>
        <v>5,5%</v>
      </c>
      <c r="F620" s="114"/>
      <c r="G620" s="85"/>
      <c r="H620" s="114">
        <f>H618*HSXL!D$14</f>
        <v>87753.64681875</v>
      </c>
    </row>
    <row r="621" spans="1:8" ht="45" x14ac:dyDescent="0.15">
      <c r="A621" s="276"/>
      <c r="B621" s="85"/>
      <c r="C621" s="86" t="str">
        <f>"Chi phí nhà tạm để ở và điều hành thi công (T x "&amp;HSXL!C$18&amp;")"</f>
        <v>Chi phí nhà tạm để ở và điều hành thi công (T x 1,1%)</v>
      </c>
      <c r="D621" s="85" t="s">
        <v>611</v>
      </c>
      <c r="E621" s="279" t="str">
        <f>HSXL!C$18</f>
        <v>1,1%</v>
      </c>
      <c r="F621" s="114"/>
      <c r="G621" s="85"/>
      <c r="H621" s="114">
        <f>H618*HSXL!D$18</f>
        <v>17550.729363750001</v>
      </c>
    </row>
    <row r="622" spans="1:8" ht="60" x14ac:dyDescent="0.15">
      <c r="A622" s="276"/>
      <c r="B622" s="85"/>
      <c r="C622" s="86" t="str">
        <f>"Chi phí một số công việc không xác định được khối lượng từ thiết kế (T x "&amp;HSXL!C$13&amp;")"</f>
        <v>Chi phí một số công việc không xác định được khối lượng từ thiết kế (T x 2%)</v>
      </c>
      <c r="D622" s="85" t="s">
        <v>42</v>
      </c>
      <c r="E622" s="279" t="str">
        <f>HSXL!C$13</f>
        <v>2%</v>
      </c>
      <c r="F622" s="114"/>
      <c r="G622" s="85"/>
      <c r="H622" s="114">
        <f>H618*HSXL!D$13</f>
        <v>31910.417025000002</v>
      </c>
    </row>
    <row r="623" spans="1:8" ht="30" x14ac:dyDescent="0.15">
      <c r="A623" s="277"/>
      <c r="B623" s="122"/>
      <c r="C623" s="123" t="s">
        <v>924</v>
      </c>
      <c r="D623" s="122" t="s">
        <v>614</v>
      </c>
      <c r="E623" s="278"/>
      <c r="F623" s="126"/>
      <c r="G623" s="122"/>
      <c r="H623" s="126">
        <f>SUM(H620:H622)</f>
        <v>137214.79320750001</v>
      </c>
    </row>
    <row r="624" spans="1:8" ht="45" x14ac:dyDescent="0.15">
      <c r="A624" s="276"/>
      <c r="B624" s="85"/>
      <c r="C624" s="86" t="str">
        <f>"THU NHẬP CHỊU THUẾ TÍNH TRƯỚC (T+GT) x "&amp;HSXL!C$16</f>
        <v>THU NHẬP CHỊU THUẾ TÍNH TRƯỚC (T+GT) x 5,5%</v>
      </c>
      <c r="D624" s="85" t="s">
        <v>617</v>
      </c>
      <c r="E624" s="279" t="str">
        <f>HSXL!C$16</f>
        <v>5,5%</v>
      </c>
      <c r="F624" s="114"/>
      <c r="G624" s="85"/>
      <c r="H624" s="114">
        <f>(H618+H623)*HSXL!D$16</f>
        <v>95300.460445162505</v>
      </c>
    </row>
    <row r="625" spans="1:8" ht="30" x14ac:dyDescent="0.15">
      <c r="A625" s="276"/>
      <c r="B625" s="85"/>
      <c r="C625" s="86" t="s">
        <v>925</v>
      </c>
      <c r="D625" s="85" t="s">
        <v>619</v>
      </c>
      <c r="E625" s="279"/>
      <c r="F625" s="114"/>
      <c r="G625" s="85"/>
      <c r="H625" s="114">
        <f>H618+H623+H624</f>
        <v>1828036.1049026626</v>
      </c>
    </row>
    <row r="626" spans="1:8" ht="30" x14ac:dyDescent="0.15">
      <c r="A626" s="276"/>
      <c r="B626" s="85"/>
      <c r="C626" s="86" t="str">
        <f>"THUẾ GIÁ TRỊ GIA TĂNG (G x "&amp;HSXL!C$17&amp;")"</f>
        <v>THUẾ GIÁ TRỊ GIA TĂNG (G x 8%)</v>
      </c>
      <c r="D626" s="85" t="s">
        <v>623</v>
      </c>
      <c r="E626" s="192">
        <f>HSXL!D$17</f>
        <v>0.08</v>
      </c>
      <c r="F626" s="114"/>
      <c r="G626" s="85"/>
      <c r="H626" s="114">
        <f>E626*H625</f>
        <v>146242.888392213</v>
      </c>
    </row>
    <row r="627" spans="1:8" ht="30" x14ac:dyDescent="0.15">
      <c r="A627" s="280"/>
      <c r="B627" s="281"/>
      <c r="C627" s="282" t="s">
        <v>926</v>
      </c>
      <c r="D627" s="281" t="s">
        <v>626</v>
      </c>
      <c r="E627" s="283"/>
      <c r="F627" s="284"/>
      <c r="G627" s="281"/>
      <c r="H627" s="285">
        <f>H625+H626</f>
        <v>1974278.9932948756</v>
      </c>
    </row>
    <row r="628" spans="1:8" ht="30" x14ac:dyDescent="0.15">
      <c r="A628" s="141">
        <f>'Công trình'!A98</f>
        <v>33</v>
      </c>
      <c r="B628" s="122" t="str">
        <f>'Công trình'!E98</f>
        <v>AF.82511</v>
      </c>
      <c r="C628" s="123" t="str">
        <f>'Công trình'!F98</f>
        <v>Ván khuôn thép. Ván khuôn móng dài</v>
      </c>
      <c r="D628" s="122" t="str">
        <f>'Công trình'!G98</f>
        <v>100m2</v>
      </c>
      <c r="E628" s="123">
        <v>1</v>
      </c>
      <c r="F628" s="126"/>
      <c r="G628" s="122"/>
      <c r="H628" s="126"/>
    </row>
    <row r="629" spans="1:8" x14ac:dyDescent="0.15">
      <c r="A629" s="274"/>
      <c r="B629" s="146"/>
      <c r="C629" s="145" t="s">
        <v>477</v>
      </c>
      <c r="D629" s="146"/>
      <c r="E629" s="145"/>
      <c r="F629" s="275"/>
      <c r="G629" s="146"/>
      <c r="H629" s="275">
        <f>H634</f>
        <v>1740379.2</v>
      </c>
    </row>
    <row r="630" spans="1:8" ht="30" x14ac:dyDescent="0.15">
      <c r="A630" s="276"/>
      <c r="B630" s="85" t="str">
        <f>'Giá tháng'!B$21</f>
        <v>A24.0726</v>
      </c>
      <c r="C630" s="86" t="str">
        <f>'Giá tháng'!C$21</f>
        <v>Thép tấm</v>
      </c>
      <c r="D630" s="85" t="str">
        <f>'Giá tháng'!D$21</f>
        <v>kg</v>
      </c>
      <c r="E630" s="135">
        <f>HaoPhiVatTu!F$256</f>
        <v>51.81</v>
      </c>
      <c r="F630" s="114">
        <f>'Tổng hợp VT'!O$25</f>
        <v>18800</v>
      </c>
      <c r="G630" s="136">
        <f>'Giá tháng'!G$21</f>
        <v>1</v>
      </c>
      <c r="H630" s="114">
        <f>E630*F630*G630</f>
        <v>974028</v>
      </c>
    </row>
    <row r="631" spans="1:8" ht="30" x14ac:dyDescent="0.15">
      <c r="A631" s="276"/>
      <c r="B631" s="85" t="str">
        <f>'Giá tháng'!B$20</f>
        <v>A24.0712</v>
      </c>
      <c r="C631" s="86" t="str">
        <f>'Giá tháng'!C$20</f>
        <v>Thép hình</v>
      </c>
      <c r="D631" s="85" t="str">
        <f>'Giá tháng'!D$20</f>
        <v>kg</v>
      </c>
      <c r="E631" s="135">
        <f>HaoPhiVatTu!F$257</f>
        <v>32.020000000000003</v>
      </c>
      <c r="F631" s="114">
        <f>'Tổng hợp VT'!O$24</f>
        <v>18800</v>
      </c>
      <c r="G631" s="136">
        <f>'Giá tháng'!G$20</f>
        <v>1</v>
      </c>
      <c r="H631" s="114">
        <f>E631*F631*G631</f>
        <v>601976.00000000012</v>
      </c>
    </row>
    <row r="632" spans="1:8" ht="30" x14ac:dyDescent="0.15">
      <c r="A632" s="276"/>
      <c r="B632" s="85" t="str">
        <f>'Giá tháng'!B$19</f>
        <v>A24.0543</v>
      </c>
      <c r="C632" s="86" t="str">
        <f>'Giá tháng'!C$19</f>
        <v>Que hàn</v>
      </c>
      <c r="D632" s="85" t="str">
        <f>'Giá tháng'!D$19</f>
        <v>kg</v>
      </c>
      <c r="E632" s="135">
        <f>HaoPhiVatTu!F$258</f>
        <v>3.26</v>
      </c>
      <c r="F632" s="114">
        <f>'Tổng hợp VT'!O$23</f>
        <v>25000</v>
      </c>
      <c r="G632" s="136">
        <f>'Giá tháng'!G$19</f>
        <v>1</v>
      </c>
      <c r="H632" s="114">
        <f>E632*F632*G632</f>
        <v>81500</v>
      </c>
    </row>
    <row r="633" spans="1:8" x14ac:dyDescent="0.15">
      <c r="A633" s="276"/>
      <c r="B633" s="85" t="s">
        <v>478</v>
      </c>
      <c r="C633" s="86" t="s">
        <v>479</v>
      </c>
      <c r="D633" s="85" t="s">
        <v>480</v>
      </c>
      <c r="E633" s="135">
        <f>HaoPhiVatTu!F$259</f>
        <v>5</v>
      </c>
      <c r="F633" s="114">
        <f>SUM(H630:H632)</f>
        <v>1657504</v>
      </c>
      <c r="G633" s="85"/>
      <c r="H633" s="114">
        <f>E633*F633/100</f>
        <v>82875.199999999997</v>
      </c>
    </row>
    <row r="634" spans="1:8" x14ac:dyDescent="0.15">
      <c r="A634" s="276"/>
      <c r="B634" s="85"/>
      <c r="C634" s="86" t="s">
        <v>586</v>
      </c>
      <c r="D634" s="85"/>
      <c r="E634" s="86"/>
      <c r="F634" s="114"/>
      <c r="G634" s="85"/>
      <c r="H634" s="114">
        <f>SUM(H630:H633)</f>
        <v>1740379.2</v>
      </c>
    </row>
    <row r="635" spans="1:8" x14ac:dyDescent="0.15">
      <c r="A635" s="274"/>
      <c r="B635" s="146"/>
      <c r="C635" s="145" t="s">
        <v>481</v>
      </c>
      <c r="D635" s="146"/>
      <c r="E635" s="145"/>
      <c r="F635" s="275"/>
      <c r="G635" s="146"/>
      <c r="H635" s="275">
        <f>H636</f>
        <v>3836700</v>
      </c>
    </row>
    <row r="636" spans="1:8" ht="30" x14ac:dyDescent="0.15">
      <c r="A636" s="276"/>
      <c r="B636" s="85" t="str">
        <f>'Giá tháng'!B$30</f>
        <v>N2.40</v>
      </c>
      <c r="C636" s="86" t="str">
        <f>'Giá tháng'!C$30</f>
        <v>Nhân công 4,0/7 - Nhóm 2</v>
      </c>
      <c r="D636" s="85" t="str">
        <f>'Giá tháng'!D$30</f>
        <v>công</v>
      </c>
      <c r="E636" s="135">
        <f>HaoPhiVatTu!F$261</f>
        <v>12.25</v>
      </c>
      <c r="F636" s="114">
        <f>'Tổng hợp VT'!O$37</f>
        <v>313200</v>
      </c>
      <c r="G636" s="136">
        <f>'Giá tháng'!G$30</f>
        <v>1</v>
      </c>
      <c r="H636" s="114">
        <f>E636*F636*G636</f>
        <v>3836700</v>
      </c>
    </row>
    <row r="637" spans="1:8" x14ac:dyDescent="0.15">
      <c r="A637" s="274"/>
      <c r="B637" s="146"/>
      <c r="C637" s="145" t="s">
        <v>482</v>
      </c>
      <c r="D637" s="146"/>
      <c r="E637" s="145"/>
      <c r="F637" s="275"/>
      <c r="G637" s="146"/>
      <c r="H637" s="275">
        <f>H640</f>
        <v>374276.45399999997</v>
      </c>
    </row>
    <row r="638" spans="1:8" ht="30" x14ac:dyDescent="0.15">
      <c r="A638" s="276"/>
      <c r="B638" s="85" t="str">
        <f>'Giá tháng'!B$45</f>
        <v>M112.4003</v>
      </c>
      <c r="C638" s="86" t="str">
        <f>'Giá tháng'!C$45</f>
        <v>Máy hàn xoay chiều - công suất : 23,0 kW</v>
      </c>
      <c r="D638" s="85" t="str">
        <f>'Giá tháng'!D$45</f>
        <v>ca</v>
      </c>
      <c r="E638" s="135">
        <f>HaoPhiVatTu!F$263</f>
        <v>0.82</v>
      </c>
      <c r="F638" s="114">
        <f>'Tổng hợp VT'!O$55</f>
        <v>447485</v>
      </c>
      <c r="G638" s="136">
        <f>'Giá tháng'!G$45</f>
        <v>1</v>
      </c>
      <c r="H638" s="114">
        <f>E638*F638*G638</f>
        <v>366937.69999999995</v>
      </c>
    </row>
    <row r="639" spans="1:8" x14ac:dyDescent="0.15">
      <c r="A639" s="276"/>
      <c r="B639" s="85" t="s">
        <v>483</v>
      </c>
      <c r="C639" s="86" t="s">
        <v>484</v>
      </c>
      <c r="D639" s="85" t="s">
        <v>480</v>
      </c>
      <c r="E639" s="135">
        <f>HaoPhiVatTu!F$264</f>
        <v>2</v>
      </c>
      <c r="F639" s="114">
        <f>SUM(H638:H638)</f>
        <v>366937.69999999995</v>
      </c>
      <c r="G639" s="85"/>
      <c r="H639" s="114">
        <f>E639*F639/100</f>
        <v>7338.753999999999</v>
      </c>
    </row>
    <row r="640" spans="1:8" x14ac:dyDescent="0.15">
      <c r="A640" s="276"/>
      <c r="B640" s="85"/>
      <c r="C640" s="86" t="s">
        <v>586</v>
      </c>
      <c r="D640" s="85"/>
      <c r="E640" s="86"/>
      <c r="F640" s="114"/>
      <c r="G640" s="85"/>
      <c r="H640" s="114">
        <f>SUM(H638:H639)</f>
        <v>374276.45399999997</v>
      </c>
    </row>
    <row r="641" spans="1:8" ht="30" x14ac:dyDescent="0.15">
      <c r="A641" s="277"/>
      <c r="B641" s="122"/>
      <c r="C641" s="123" t="s">
        <v>923</v>
      </c>
      <c r="D641" s="122" t="s">
        <v>606</v>
      </c>
      <c r="E641" s="278"/>
      <c r="F641" s="126"/>
      <c r="G641" s="122"/>
      <c r="H641" s="126">
        <f>H629+H635+H637</f>
        <v>5951355.6540000001</v>
      </c>
    </row>
    <row r="642" spans="1:8" x14ac:dyDescent="0.15">
      <c r="A642" s="276"/>
      <c r="B642" s="85"/>
      <c r="C642" s="86" t="s">
        <v>608</v>
      </c>
      <c r="D642" s="85" t="str">
        <f>""</f>
        <v/>
      </c>
      <c r="E642" s="279"/>
      <c r="F642" s="114"/>
      <c r="G642" s="85"/>
      <c r="H642" s="114"/>
    </row>
    <row r="643" spans="1:8" x14ac:dyDescent="0.15">
      <c r="A643" s="276"/>
      <c r="B643" s="85"/>
      <c r="C643" s="86" t="str">
        <f>"Chi phí chung (T x "&amp;HSXL!C$14&amp;")"</f>
        <v>Chi phí chung (T x 5,5%)</v>
      </c>
      <c r="D643" s="85" t="s">
        <v>603</v>
      </c>
      <c r="E643" s="279" t="str">
        <f>HSXL!C$14</f>
        <v>5,5%</v>
      </c>
      <c r="F643" s="114"/>
      <c r="G643" s="85"/>
      <c r="H643" s="114">
        <f>H641*HSXL!D$14</f>
        <v>327324.56096999999</v>
      </c>
    </row>
    <row r="644" spans="1:8" ht="45" x14ac:dyDescent="0.15">
      <c r="A644" s="276"/>
      <c r="B644" s="85"/>
      <c r="C644" s="86" t="str">
        <f>"Chi phí nhà tạm để ở và điều hành thi công (T x "&amp;HSXL!C$18&amp;")"</f>
        <v>Chi phí nhà tạm để ở và điều hành thi công (T x 1,1%)</v>
      </c>
      <c r="D644" s="85" t="s">
        <v>611</v>
      </c>
      <c r="E644" s="279" t="str">
        <f>HSXL!C$18</f>
        <v>1,1%</v>
      </c>
      <c r="F644" s="114"/>
      <c r="G644" s="85"/>
      <c r="H644" s="114">
        <f>H641*HSXL!D$18</f>
        <v>65464.912193999997</v>
      </c>
    </row>
    <row r="645" spans="1:8" ht="60" x14ac:dyDescent="0.15">
      <c r="A645" s="276"/>
      <c r="B645" s="85"/>
      <c r="C645" s="86" t="str">
        <f>"Chi phí một số công việc không xác định được khối lượng từ thiết kế (T x "&amp;HSXL!C$13&amp;")"</f>
        <v>Chi phí một số công việc không xác định được khối lượng từ thiết kế (T x 2%)</v>
      </c>
      <c r="D645" s="85" t="s">
        <v>42</v>
      </c>
      <c r="E645" s="279" t="str">
        <f>HSXL!C$13</f>
        <v>2%</v>
      </c>
      <c r="F645" s="114"/>
      <c r="G645" s="85"/>
      <c r="H645" s="114">
        <f>H641*HSXL!D$13</f>
        <v>119027.11308000001</v>
      </c>
    </row>
    <row r="646" spans="1:8" ht="30" x14ac:dyDescent="0.15">
      <c r="A646" s="277"/>
      <c r="B646" s="122"/>
      <c r="C646" s="123" t="s">
        <v>924</v>
      </c>
      <c r="D646" s="122" t="s">
        <v>614</v>
      </c>
      <c r="E646" s="278"/>
      <c r="F646" s="126"/>
      <c r="G646" s="122"/>
      <c r="H646" s="126">
        <f>SUM(H643:H645)</f>
        <v>511816.58624400001</v>
      </c>
    </row>
    <row r="647" spans="1:8" ht="45" x14ac:dyDescent="0.15">
      <c r="A647" s="276"/>
      <c r="B647" s="85"/>
      <c r="C647" s="86" t="str">
        <f>"THU NHẬP CHỊU THUẾ TÍNH TRƯỚC (T+GT) x "&amp;HSXL!C$16</f>
        <v>THU NHẬP CHỊU THUẾ TÍNH TRƯỚC (T+GT) x 5,5%</v>
      </c>
      <c r="D647" s="85" t="s">
        <v>617</v>
      </c>
      <c r="E647" s="279" t="str">
        <f>HSXL!C$16</f>
        <v>5,5%</v>
      </c>
      <c r="F647" s="114"/>
      <c r="G647" s="85"/>
      <c r="H647" s="114">
        <f>(H641+H646)*HSXL!D$16</f>
        <v>355474.47321342002</v>
      </c>
    </row>
    <row r="648" spans="1:8" ht="30" x14ac:dyDescent="0.15">
      <c r="A648" s="276"/>
      <c r="B648" s="85"/>
      <c r="C648" s="86" t="s">
        <v>925</v>
      </c>
      <c r="D648" s="85" t="s">
        <v>619</v>
      </c>
      <c r="E648" s="279"/>
      <c r="F648" s="114"/>
      <c r="G648" s="85"/>
      <c r="H648" s="114">
        <f>H641+H646+H647</f>
        <v>6818646.7134574205</v>
      </c>
    </row>
    <row r="649" spans="1:8" ht="30" x14ac:dyDescent="0.15">
      <c r="A649" s="276"/>
      <c r="B649" s="85"/>
      <c r="C649" s="86" t="str">
        <f>"THUẾ GIÁ TRỊ GIA TĂNG (G x "&amp;HSXL!C$17&amp;")"</f>
        <v>THUẾ GIÁ TRỊ GIA TĂNG (G x 8%)</v>
      </c>
      <c r="D649" s="85" t="s">
        <v>623</v>
      </c>
      <c r="E649" s="192">
        <f>HSXL!D$17</f>
        <v>0.08</v>
      </c>
      <c r="F649" s="114"/>
      <c r="G649" s="85"/>
      <c r="H649" s="114">
        <f>E649*H648</f>
        <v>545491.73707659368</v>
      </c>
    </row>
    <row r="650" spans="1:8" ht="30" x14ac:dyDescent="0.15">
      <c r="A650" s="280"/>
      <c r="B650" s="281"/>
      <c r="C650" s="282" t="s">
        <v>926</v>
      </c>
      <c r="D650" s="281" t="s">
        <v>626</v>
      </c>
      <c r="E650" s="283"/>
      <c r="F650" s="284"/>
      <c r="G650" s="281"/>
      <c r="H650" s="285">
        <f>H648+H649</f>
        <v>7364138.450534014</v>
      </c>
    </row>
    <row r="651" spans="1:8" ht="75" x14ac:dyDescent="0.15">
      <c r="A651" s="141">
        <f>'Công trình'!A100</f>
        <v>34</v>
      </c>
      <c r="B651" s="122" t="str">
        <f>'Công trình'!E100</f>
        <v>AF.11214A</v>
      </c>
      <c r="C651" s="123" t="str">
        <f>'Công trình'!F100</f>
        <v>Đổ bê tông thủ công bằng máy trộn, bê tông móng, chiều rộng &lt;= 250 cm, đá 1x2, mác 250, PCB30</v>
      </c>
      <c r="D651" s="122" t="str">
        <f>'Công trình'!G100</f>
        <v>m3</v>
      </c>
      <c r="E651" s="123">
        <v>1</v>
      </c>
      <c r="F651" s="126"/>
      <c r="G651" s="122"/>
      <c r="H651" s="126"/>
    </row>
    <row r="652" spans="1:8" x14ac:dyDescent="0.15">
      <c r="A652" s="274"/>
      <c r="B652" s="146"/>
      <c r="C652" s="145" t="s">
        <v>477</v>
      </c>
      <c r="D652" s="146"/>
      <c r="E652" s="145"/>
      <c r="F652" s="275"/>
      <c r="G652" s="146"/>
      <c r="H652" s="275">
        <f>H658</f>
        <v>1394384.4364999998</v>
      </c>
    </row>
    <row r="653" spans="1:8" ht="30" x14ac:dyDescent="0.15">
      <c r="A653" s="276"/>
      <c r="B653" s="85" t="str">
        <f>'Giá tháng'!B$25</f>
        <v>A24.0797A</v>
      </c>
      <c r="C653" s="86" t="str">
        <f>'Giá tháng'!C$25</f>
        <v>Xi măng PCB30</v>
      </c>
      <c r="D653" s="85" t="str">
        <f>'Giá tháng'!D$25</f>
        <v>kg</v>
      </c>
      <c r="E653" s="135">
        <f>HaoPhiVatTu!F$267</f>
        <v>369</v>
      </c>
      <c r="F653" s="114">
        <f>'Tổng hợp VT'!O$29</f>
        <v>1597</v>
      </c>
      <c r="G653" s="136">
        <f>'Giá tháng'!G$25</f>
        <v>1</v>
      </c>
      <c r="H653" s="114">
        <f>E653*F653*G653</f>
        <v>589293</v>
      </c>
    </row>
    <row r="654" spans="1:8" ht="30" x14ac:dyDescent="0.15">
      <c r="A654" s="276"/>
      <c r="B654" s="85" t="str">
        <f>'Giá tháng'!B$7</f>
        <v>A24.0180</v>
      </c>
      <c r="C654" s="86" t="str">
        <f>'Giá tháng'!C$7</f>
        <v>Cát vàng</v>
      </c>
      <c r="D654" s="85" t="str">
        <f>'Giá tháng'!D$7</f>
        <v>m3</v>
      </c>
      <c r="E654" s="135">
        <f>HaoPhiVatTu!F$268</f>
        <v>0.517625</v>
      </c>
      <c r="F654" s="114">
        <f>'Tổng hợp VT'!O$11</f>
        <v>750000</v>
      </c>
      <c r="G654" s="136">
        <f>'Giá tháng'!G$7</f>
        <v>1</v>
      </c>
      <c r="H654" s="114">
        <f>E654*F654*G654</f>
        <v>388218.75</v>
      </c>
    </row>
    <row r="655" spans="1:8" ht="30" x14ac:dyDescent="0.15">
      <c r="A655" s="276"/>
      <c r="B655" s="85" t="str">
        <f>'Giá tháng'!B$13</f>
        <v>A24.0008</v>
      </c>
      <c r="C655" s="86" t="str">
        <f>'Giá tháng'!C$13</f>
        <v>Đá 1x2</v>
      </c>
      <c r="D655" s="85" t="str">
        <f>'Giá tháng'!D$13</f>
        <v>m3</v>
      </c>
      <c r="E655" s="135">
        <f>HaoPhiVatTu!F$269</f>
        <v>0.8528</v>
      </c>
      <c r="F655" s="114">
        <f>'Tổng hợp VT'!O$17</f>
        <v>470000</v>
      </c>
      <c r="G655" s="136">
        <f>'Giá tháng'!G$13</f>
        <v>1</v>
      </c>
      <c r="H655" s="114">
        <f>E655*F655*G655</f>
        <v>400816</v>
      </c>
    </row>
    <row r="656" spans="1:8" ht="30" x14ac:dyDescent="0.15">
      <c r="A656" s="276"/>
      <c r="B656" s="85" t="str">
        <f>'Giá tháng'!B$15</f>
        <v>A24.0524</v>
      </c>
      <c r="C656" s="86" t="str">
        <f>'Giá tháng'!C$15</f>
        <v>Nước</v>
      </c>
      <c r="D656" s="85" t="str">
        <f>'Giá tháng'!D$15</f>
        <v>lít</v>
      </c>
      <c r="E656" s="135">
        <f>HaoPhiVatTu!F$270</f>
        <v>187.57499999999999</v>
      </c>
      <c r="F656" s="114">
        <f>'Tổng hợp VT'!O$19</f>
        <v>12</v>
      </c>
      <c r="G656" s="136">
        <f>'Giá tháng'!G$15</f>
        <v>1</v>
      </c>
      <c r="H656" s="114">
        <f>E656*F656*G656</f>
        <v>2250.8999999999996</v>
      </c>
    </row>
    <row r="657" spans="1:8" x14ac:dyDescent="0.15">
      <c r="A657" s="276"/>
      <c r="B657" s="85" t="s">
        <v>478</v>
      </c>
      <c r="C657" s="86" t="s">
        <v>479</v>
      </c>
      <c r="D657" s="85" t="s">
        <v>480</v>
      </c>
      <c r="E657" s="135">
        <f>HaoPhiVatTu!F$271</f>
        <v>1</v>
      </c>
      <c r="F657" s="114">
        <f>SUM(H653:H656)</f>
        <v>1380578.65</v>
      </c>
      <c r="G657" s="85"/>
      <c r="H657" s="114">
        <f>E657*F657/100</f>
        <v>13805.786499999998</v>
      </c>
    </row>
    <row r="658" spans="1:8" x14ac:dyDescent="0.15">
      <c r="A658" s="276"/>
      <c r="B658" s="85"/>
      <c r="C658" s="86" t="s">
        <v>586</v>
      </c>
      <c r="D658" s="85"/>
      <c r="E658" s="86"/>
      <c r="F658" s="114"/>
      <c r="G658" s="85"/>
      <c r="H658" s="114">
        <f>SUM(H653:H657)</f>
        <v>1394384.4364999998</v>
      </c>
    </row>
    <row r="659" spans="1:8" x14ac:dyDescent="0.15">
      <c r="A659" s="274"/>
      <c r="B659" s="146"/>
      <c r="C659" s="145" t="s">
        <v>481</v>
      </c>
      <c r="D659" s="146"/>
      <c r="E659" s="145"/>
      <c r="F659" s="275"/>
      <c r="G659" s="146"/>
      <c r="H659" s="275">
        <f>H660</f>
        <v>324474</v>
      </c>
    </row>
    <row r="660" spans="1:8" ht="30" x14ac:dyDescent="0.15">
      <c r="A660" s="276"/>
      <c r="B660" s="85" t="str">
        <f>'Giá tháng'!B$28</f>
        <v>N2.30</v>
      </c>
      <c r="C660" s="86" t="str">
        <f>'Giá tháng'!C$28</f>
        <v>Nhân công 3,0/7 - Nhóm 2</v>
      </c>
      <c r="D660" s="85" t="str">
        <f>'Giá tháng'!D$28</f>
        <v>công</v>
      </c>
      <c r="E660" s="135">
        <f>HaoPhiVatTu!F$273</f>
        <v>1.23</v>
      </c>
      <c r="F660" s="114">
        <f>'Tổng hợp VT'!O$35</f>
        <v>263800</v>
      </c>
      <c r="G660" s="136">
        <f>'Giá tháng'!G$28</f>
        <v>1</v>
      </c>
      <c r="H660" s="114">
        <f>E660*F660*G660</f>
        <v>324474</v>
      </c>
    </row>
    <row r="661" spans="1:8" x14ac:dyDescent="0.15">
      <c r="A661" s="274"/>
      <c r="B661" s="146"/>
      <c r="C661" s="145" t="s">
        <v>482</v>
      </c>
      <c r="D661" s="146"/>
      <c r="E661" s="145"/>
      <c r="F661" s="275"/>
      <c r="G661" s="146"/>
      <c r="H661" s="275">
        <f>H664</f>
        <v>59923.404999999999</v>
      </c>
    </row>
    <row r="662" spans="1:8" ht="30" x14ac:dyDescent="0.15">
      <c r="A662" s="276"/>
      <c r="B662" s="85" t="str">
        <f>'Giá tháng'!B$47</f>
        <v>M104.0102</v>
      </c>
      <c r="C662" s="86" t="str">
        <f>'Giá tháng'!C$47</f>
        <v>Máy trộn bê tông - dung tích : 250,0 lít</v>
      </c>
      <c r="D662" s="85" t="str">
        <f>'Giá tháng'!D$47</f>
        <v>ca</v>
      </c>
      <c r="E662" s="135">
        <f>HaoPhiVatTu!F$275</f>
        <v>9.5000000000000001E-2</v>
      </c>
      <c r="F662" s="114">
        <f>'Tổng hợp VT'!O$57</f>
        <v>347214</v>
      </c>
      <c r="G662" s="136">
        <f>'Giá tháng'!G$47</f>
        <v>1</v>
      </c>
      <c r="H662" s="114">
        <f>E662*F662*G662</f>
        <v>32985.33</v>
      </c>
    </row>
    <row r="663" spans="1:8" ht="30" x14ac:dyDescent="0.15">
      <c r="A663" s="276"/>
      <c r="B663" s="85" t="str">
        <f>'Giá tháng'!B$42</f>
        <v>M112.1301</v>
      </c>
      <c r="C663" s="86" t="str">
        <f>'Giá tháng'!C$42</f>
        <v>Máy đầm bê tông, dầm dùi - công suất : 1,5 kW</v>
      </c>
      <c r="D663" s="85" t="str">
        <f>'Giá tháng'!D$42</f>
        <v>ca</v>
      </c>
      <c r="E663" s="135">
        <f>HaoPhiVatTu!F$276</f>
        <v>8.8999999999999996E-2</v>
      </c>
      <c r="F663" s="114">
        <f>'Tổng hợp VT'!O$52</f>
        <v>302675</v>
      </c>
      <c r="G663" s="136">
        <f>'Giá tháng'!G$42</f>
        <v>1</v>
      </c>
      <c r="H663" s="114">
        <f>E663*F663*G663</f>
        <v>26938.074999999997</v>
      </c>
    </row>
    <row r="664" spans="1:8" x14ac:dyDescent="0.15">
      <c r="A664" s="276"/>
      <c r="B664" s="85"/>
      <c r="C664" s="86" t="s">
        <v>586</v>
      </c>
      <c r="D664" s="85"/>
      <c r="E664" s="86"/>
      <c r="F664" s="114"/>
      <c r="G664" s="85"/>
      <c r="H664" s="114">
        <f>SUM(H662:H663)</f>
        <v>59923.404999999999</v>
      </c>
    </row>
    <row r="665" spans="1:8" ht="30" x14ac:dyDescent="0.15">
      <c r="A665" s="277"/>
      <c r="B665" s="122"/>
      <c r="C665" s="123" t="s">
        <v>923</v>
      </c>
      <c r="D665" s="122" t="s">
        <v>606</v>
      </c>
      <c r="E665" s="278"/>
      <c r="F665" s="126"/>
      <c r="G665" s="122"/>
      <c r="H665" s="126">
        <f>H652+H659+H661</f>
        <v>1778781.8414999999</v>
      </c>
    </row>
    <row r="666" spans="1:8" x14ac:dyDescent="0.15">
      <c r="A666" s="276"/>
      <c r="B666" s="85"/>
      <c r="C666" s="86" t="s">
        <v>608</v>
      </c>
      <c r="D666" s="85" t="str">
        <f>""</f>
        <v/>
      </c>
      <c r="E666" s="279"/>
      <c r="F666" s="114"/>
      <c r="G666" s="85"/>
      <c r="H666" s="114"/>
    </row>
    <row r="667" spans="1:8" x14ac:dyDescent="0.15">
      <c r="A667" s="276"/>
      <c r="B667" s="85"/>
      <c r="C667" s="86" t="str">
        <f>"Chi phí chung (T x "&amp;HSXL!C$14&amp;")"</f>
        <v>Chi phí chung (T x 5,5%)</v>
      </c>
      <c r="D667" s="85" t="s">
        <v>603</v>
      </c>
      <c r="E667" s="279" t="str">
        <f>HSXL!C$14</f>
        <v>5,5%</v>
      </c>
      <c r="F667" s="114"/>
      <c r="G667" s="85"/>
      <c r="H667" s="114">
        <f>H665*HSXL!D$14</f>
        <v>97833.001282499987</v>
      </c>
    </row>
    <row r="668" spans="1:8" ht="45" x14ac:dyDescent="0.15">
      <c r="A668" s="276"/>
      <c r="B668" s="85"/>
      <c r="C668" s="86" t="str">
        <f>"Chi phí nhà tạm để ở và điều hành thi công (T x "&amp;HSXL!C$18&amp;")"</f>
        <v>Chi phí nhà tạm để ở và điều hành thi công (T x 1,1%)</v>
      </c>
      <c r="D668" s="85" t="s">
        <v>611</v>
      </c>
      <c r="E668" s="279" t="str">
        <f>HSXL!C$18</f>
        <v>1,1%</v>
      </c>
      <c r="F668" s="114"/>
      <c r="G668" s="85"/>
      <c r="H668" s="114">
        <f>H665*HSXL!D$18</f>
        <v>19566.600256499998</v>
      </c>
    </row>
    <row r="669" spans="1:8" ht="60" x14ac:dyDescent="0.15">
      <c r="A669" s="276"/>
      <c r="B669" s="85"/>
      <c r="C669" s="86" t="str">
        <f>"Chi phí một số công việc không xác định được khối lượng từ thiết kế (T x "&amp;HSXL!C$13&amp;")"</f>
        <v>Chi phí một số công việc không xác định được khối lượng từ thiết kế (T x 2%)</v>
      </c>
      <c r="D669" s="85" t="s">
        <v>42</v>
      </c>
      <c r="E669" s="279" t="str">
        <f>HSXL!C$13</f>
        <v>2%</v>
      </c>
      <c r="F669" s="114"/>
      <c r="G669" s="85"/>
      <c r="H669" s="114">
        <f>H665*HSXL!D$13</f>
        <v>35575.636829999996</v>
      </c>
    </row>
    <row r="670" spans="1:8" ht="30" x14ac:dyDescent="0.15">
      <c r="A670" s="277"/>
      <c r="B670" s="122"/>
      <c r="C670" s="123" t="s">
        <v>924</v>
      </c>
      <c r="D670" s="122" t="s">
        <v>614</v>
      </c>
      <c r="E670" s="278"/>
      <c r="F670" s="126"/>
      <c r="G670" s="122"/>
      <c r="H670" s="126">
        <f>SUM(H667:H669)</f>
        <v>152975.23836899997</v>
      </c>
    </row>
    <row r="671" spans="1:8" ht="45" x14ac:dyDescent="0.15">
      <c r="A671" s="276"/>
      <c r="B671" s="85"/>
      <c r="C671" s="86" t="str">
        <f>"THU NHẬP CHỊU THUẾ TÍNH TRƯỚC (T+GT) x "&amp;HSXL!C$16</f>
        <v>THU NHẬP CHỊU THUẾ TÍNH TRƯỚC (T+GT) x 5,5%</v>
      </c>
      <c r="D671" s="85" t="s">
        <v>617</v>
      </c>
      <c r="E671" s="279" t="str">
        <f>HSXL!C$16</f>
        <v>5,5%</v>
      </c>
      <c r="F671" s="114"/>
      <c r="G671" s="85"/>
      <c r="H671" s="114">
        <f>(H665+H670)*HSXL!D$16</f>
        <v>106246.63939279498</v>
      </c>
    </row>
    <row r="672" spans="1:8" ht="30" x14ac:dyDescent="0.15">
      <c r="A672" s="276"/>
      <c r="B672" s="85"/>
      <c r="C672" s="86" t="s">
        <v>925</v>
      </c>
      <c r="D672" s="85" t="s">
        <v>619</v>
      </c>
      <c r="E672" s="279"/>
      <c r="F672" s="114"/>
      <c r="G672" s="85"/>
      <c r="H672" s="114">
        <f>H665+H670+H671</f>
        <v>2038003.7192617948</v>
      </c>
    </row>
    <row r="673" spans="1:8" ht="30" x14ac:dyDescent="0.15">
      <c r="A673" s="276"/>
      <c r="B673" s="85"/>
      <c r="C673" s="86" t="str">
        <f>"THUẾ GIÁ TRỊ GIA TĂNG (G x "&amp;HSXL!C$17&amp;")"</f>
        <v>THUẾ GIÁ TRỊ GIA TĂNG (G x 8%)</v>
      </c>
      <c r="D673" s="85" t="s">
        <v>623</v>
      </c>
      <c r="E673" s="192">
        <f>HSXL!D$17</f>
        <v>0.08</v>
      </c>
      <c r="F673" s="114"/>
      <c r="G673" s="85"/>
      <c r="H673" s="114">
        <f>E673*H672</f>
        <v>163040.29754094357</v>
      </c>
    </row>
    <row r="674" spans="1:8" ht="30" x14ac:dyDescent="0.15">
      <c r="A674" s="280"/>
      <c r="B674" s="281"/>
      <c r="C674" s="282" t="s">
        <v>926</v>
      </c>
      <c r="D674" s="281" t="s">
        <v>626</v>
      </c>
      <c r="E674" s="283"/>
      <c r="F674" s="284"/>
      <c r="G674" s="281"/>
      <c r="H674" s="285">
        <f>H672+H673</f>
        <v>2201044.0168027384</v>
      </c>
    </row>
    <row r="675" spans="1:8" ht="75" x14ac:dyDescent="0.15">
      <c r="A675" s="141">
        <f>'Công trình'!A103</f>
        <v>35</v>
      </c>
      <c r="B675" s="122" t="str">
        <f>'Công trình'!E103</f>
        <v>AF.61311</v>
      </c>
      <c r="C675" s="123" t="str">
        <f>'Công trình'!F103</f>
        <v>Công tác gia công lắp dựng cốt thép. Cốt thép tường, đường kính cốt thép &lt;= 10mm, chiều cao &lt;= 6m</v>
      </c>
      <c r="D675" s="122" t="str">
        <f>'Công trình'!G103</f>
        <v>tấn</v>
      </c>
      <c r="E675" s="123">
        <v>1</v>
      </c>
      <c r="F675" s="126"/>
      <c r="G675" s="122"/>
      <c r="H675" s="126"/>
    </row>
    <row r="676" spans="1:8" x14ac:dyDescent="0.15">
      <c r="A676" s="274"/>
      <c r="B676" s="146"/>
      <c r="C676" s="145" t="s">
        <v>477</v>
      </c>
      <c r="D676" s="146"/>
      <c r="E676" s="145"/>
      <c r="F676" s="275"/>
      <c r="G676" s="146"/>
      <c r="H676" s="275">
        <f>H679</f>
        <v>15094900</v>
      </c>
    </row>
    <row r="677" spans="1:8" ht="30" x14ac:dyDescent="0.15">
      <c r="A677" s="276"/>
      <c r="B677" s="85" t="str">
        <f>'Giá tháng'!B$22</f>
        <v>A24.0738</v>
      </c>
      <c r="C677" s="86" t="str">
        <f>'Giá tháng'!C$22</f>
        <v>Thép tròn D&lt;=10mm</v>
      </c>
      <c r="D677" s="85" t="str">
        <f>'Giá tháng'!D$22</f>
        <v>kg</v>
      </c>
      <c r="E677" s="135">
        <f>HaoPhiVatTu!F$279</f>
        <v>1005</v>
      </c>
      <c r="F677" s="114">
        <f>'Tổng hợp VT'!O$26</f>
        <v>14700</v>
      </c>
      <c r="G677" s="136">
        <f>'Giá tháng'!G$22</f>
        <v>1</v>
      </c>
      <c r="H677" s="114">
        <f>E677*F677*G677</f>
        <v>14773500</v>
      </c>
    </row>
    <row r="678" spans="1:8" ht="30" x14ac:dyDescent="0.15">
      <c r="A678" s="276"/>
      <c r="B678" s="85" t="str">
        <f>'Giá tháng'!B$12</f>
        <v>A24.0293</v>
      </c>
      <c r="C678" s="86" t="str">
        <f>'Giá tháng'!C$12</f>
        <v>Dây thép</v>
      </c>
      <c r="D678" s="85" t="str">
        <f>'Giá tháng'!D$12</f>
        <v>kg</v>
      </c>
      <c r="E678" s="135">
        <f>HaoPhiVatTu!F$280</f>
        <v>16.07</v>
      </c>
      <c r="F678" s="114">
        <f>'Tổng hợp VT'!O$16</f>
        <v>20000</v>
      </c>
      <c r="G678" s="136">
        <f>'Giá tháng'!G$12</f>
        <v>1</v>
      </c>
      <c r="H678" s="114">
        <f>E678*F678*G678</f>
        <v>321400</v>
      </c>
    </row>
    <row r="679" spans="1:8" x14ac:dyDescent="0.15">
      <c r="A679" s="276"/>
      <c r="B679" s="85"/>
      <c r="C679" s="86" t="s">
        <v>586</v>
      </c>
      <c r="D679" s="85"/>
      <c r="E679" s="86"/>
      <c r="F679" s="114"/>
      <c r="G679" s="85"/>
      <c r="H679" s="114">
        <f>SUM(H677:H678)</f>
        <v>15094900</v>
      </c>
    </row>
    <row r="680" spans="1:8" x14ac:dyDescent="0.15">
      <c r="A680" s="274"/>
      <c r="B680" s="146"/>
      <c r="C680" s="145" t="s">
        <v>481</v>
      </c>
      <c r="D680" s="146"/>
      <c r="E680" s="145"/>
      <c r="F680" s="275"/>
      <c r="G680" s="146"/>
      <c r="H680" s="275">
        <f>H681</f>
        <v>3736075</v>
      </c>
    </row>
    <row r="681" spans="1:8" ht="30" x14ac:dyDescent="0.15">
      <c r="A681" s="276"/>
      <c r="B681" s="85" t="str">
        <f>'Giá tháng'!B$29</f>
        <v>N2.35</v>
      </c>
      <c r="C681" s="86" t="str">
        <f>'Giá tháng'!C$29</f>
        <v>Nhân công 3,5/7 - Nhóm 2</v>
      </c>
      <c r="D681" s="85" t="str">
        <f>'Giá tháng'!D$29</f>
        <v>công</v>
      </c>
      <c r="E681" s="135">
        <f>HaoPhiVatTu!F$282</f>
        <v>12.95</v>
      </c>
      <c r="F681" s="114">
        <f>'Tổng hợp VT'!O$36</f>
        <v>288500</v>
      </c>
      <c r="G681" s="136">
        <f>'Giá tháng'!G$29</f>
        <v>1</v>
      </c>
      <c r="H681" s="114">
        <f>E681*F681*G681</f>
        <v>3736075</v>
      </c>
    </row>
    <row r="682" spans="1:8" x14ac:dyDescent="0.15">
      <c r="A682" s="274"/>
      <c r="B682" s="146"/>
      <c r="C682" s="145" t="s">
        <v>482</v>
      </c>
      <c r="D682" s="146"/>
      <c r="E682" s="145"/>
      <c r="F682" s="275"/>
      <c r="G682" s="146"/>
      <c r="H682" s="275">
        <f>H683</f>
        <v>122974.40000000001</v>
      </c>
    </row>
    <row r="683" spans="1:8" ht="30" x14ac:dyDescent="0.15">
      <c r="A683" s="276"/>
      <c r="B683" s="85" t="str">
        <f>'Giá tháng'!B$38</f>
        <v>M112.2601</v>
      </c>
      <c r="C683" s="86" t="str">
        <f>'Giá tháng'!C$38</f>
        <v>Máy cắt uốn cốt thép - công suất : 5,0 kW</v>
      </c>
      <c r="D683" s="85" t="str">
        <f>'Giá tháng'!D$38</f>
        <v>ca</v>
      </c>
      <c r="E683" s="135">
        <f>HaoPhiVatTu!F$284</f>
        <v>0.4</v>
      </c>
      <c r="F683" s="114">
        <f>'Tổng hợp VT'!O$48</f>
        <v>307436</v>
      </c>
      <c r="G683" s="136">
        <f>'Giá tháng'!G$38</f>
        <v>1</v>
      </c>
      <c r="H683" s="114">
        <f>E683*F683*G683</f>
        <v>122974.40000000001</v>
      </c>
    </row>
    <row r="684" spans="1:8" ht="30" x14ac:dyDescent="0.15">
      <c r="A684" s="277"/>
      <c r="B684" s="122"/>
      <c r="C684" s="123" t="s">
        <v>923</v>
      </c>
      <c r="D684" s="122" t="s">
        <v>606</v>
      </c>
      <c r="E684" s="278"/>
      <c r="F684" s="126"/>
      <c r="G684" s="122"/>
      <c r="H684" s="126">
        <f>H676+H680+H682</f>
        <v>18953949.399999999</v>
      </c>
    </row>
    <row r="685" spans="1:8" x14ac:dyDescent="0.15">
      <c r="A685" s="276"/>
      <c r="B685" s="85"/>
      <c r="C685" s="86" t="s">
        <v>608</v>
      </c>
      <c r="D685" s="85" t="str">
        <f>""</f>
        <v/>
      </c>
      <c r="E685" s="279"/>
      <c r="F685" s="114"/>
      <c r="G685" s="85"/>
      <c r="H685" s="114"/>
    </row>
    <row r="686" spans="1:8" x14ac:dyDescent="0.15">
      <c r="A686" s="276"/>
      <c r="B686" s="85"/>
      <c r="C686" s="86" t="str">
        <f>"Chi phí chung (T x "&amp;HSXL!C$14&amp;")"</f>
        <v>Chi phí chung (T x 5,5%)</v>
      </c>
      <c r="D686" s="85" t="s">
        <v>603</v>
      </c>
      <c r="E686" s="279" t="str">
        <f>HSXL!C$14</f>
        <v>5,5%</v>
      </c>
      <c r="F686" s="114"/>
      <c r="G686" s="85"/>
      <c r="H686" s="114">
        <f>H684*HSXL!D$14</f>
        <v>1042467.2169999999</v>
      </c>
    </row>
    <row r="687" spans="1:8" ht="45" x14ac:dyDescent="0.15">
      <c r="A687" s="276"/>
      <c r="B687" s="85"/>
      <c r="C687" s="86" t="str">
        <f>"Chi phí nhà tạm để ở và điều hành thi công (T x "&amp;HSXL!C$18&amp;")"</f>
        <v>Chi phí nhà tạm để ở và điều hành thi công (T x 1,1%)</v>
      </c>
      <c r="D687" s="85" t="s">
        <v>611</v>
      </c>
      <c r="E687" s="279" t="str">
        <f>HSXL!C$18</f>
        <v>1,1%</v>
      </c>
      <c r="F687" s="114"/>
      <c r="G687" s="85"/>
      <c r="H687" s="114">
        <f>H684*HSXL!D$18</f>
        <v>208493.44339999996</v>
      </c>
    </row>
    <row r="688" spans="1:8" ht="60" x14ac:dyDescent="0.15">
      <c r="A688" s="276"/>
      <c r="B688" s="85"/>
      <c r="C688" s="86" t="str">
        <f>"Chi phí một số công việc không xác định được khối lượng từ thiết kế (T x "&amp;HSXL!C$13&amp;")"</f>
        <v>Chi phí một số công việc không xác định được khối lượng từ thiết kế (T x 2%)</v>
      </c>
      <c r="D688" s="85" t="s">
        <v>42</v>
      </c>
      <c r="E688" s="279" t="str">
        <f>HSXL!C$13</f>
        <v>2%</v>
      </c>
      <c r="F688" s="114"/>
      <c r="G688" s="85"/>
      <c r="H688" s="114">
        <f>H684*HSXL!D$13</f>
        <v>379078.98799999995</v>
      </c>
    </row>
    <row r="689" spans="1:8" ht="30" x14ac:dyDescent="0.15">
      <c r="A689" s="277"/>
      <c r="B689" s="122"/>
      <c r="C689" s="123" t="s">
        <v>924</v>
      </c>
      <c r="D689" s="122" t="s">
        <v>614</v>
      </c>
      <c r="E689" s="278"/>
      <c r="F689" s="126"/>
      <c r="G689" s="122"/>
      <c r="H689" s="126">
        <f>SUM(H686:H688)</f>
        <v>1630039.6483999998</v>
      </c>
    </row>
    <row r="690" spans="1:8" ht="45" x14ac:dyDescent="0.15">
      <c r="A690" s="276"/>
      <c r="B690" s="85"/>
      <c r="C690" s="86" t="str">
        <f>"THU NHẬP CHỊU THUẾ TÍNH TRƯỚC (T+GT) x "&amp;HSXL!C$16</f>
        <v>THU NHẬP CHỊU THUẾ TÍNH TRƯỚC (T+GT) x 5,5%</v>
      </c>
      <c r="D690" s="85" t="s">
        <v>617</v>
      </c>
      <c r="E690" s="279" t="str">
        <f>HSXL!C$16</f>
        <v>5,5%</v>
      </c>
      <c r="F690" s="114"/>
      <c r="G690" s="85"/>
      <c r="H690" s="114">
        <f>(H684+H689)*HSXL!D$16</f>
        <v>1132119.397662</v>
      </c>
    </row>
    <row r="691" spans="1:8" ht="30" x14ac:dyDescent="0.15">
      <c r="A691" s="276"/>
      <c r="B691" s="85"/>
      <c r="C691" s="86" t="s">
        <v>925</v>
      </c>
      <c r="D691" s="85" t="s">
        <v>619</v>
      </c>
      <c r="E691" s="279"/>
      <c r="F691" s="114"/>
      <c r="G691" s="85"/>
      <c r="H691" s="114">
        <f>H684+H689+H690</f>
        <v>21716108.446061999</v>
      </c>
    </row>
    <row r="692" spans="1:8" ht="30" x14ac:dyDescent="0.15">
      <c r="A692" s="276"/>
      <c r="B692" s="85"/>
      <c r="C692" s="86" t="str">
        <f>"THUẾ GIÁ TRỊ GIA TĂNG (G x "&amp;HSXL!C$17&amp;")"</f>
        <v>THUẾ GIÁ TRỊ GIA TĂNG (G x 8%)</v>
      </c>
      <c r="D692" s="85" t="s">
        <v>623</v>
      </c>
      <c r="E692" s="192">
        <f>HSXL!D$17</f>
        <v>0.08</v>
      </c>
      <c r="F692" s="114"/>
      <c r="G692" s="85"/>
      <c r="H692" s="114">
        <f>E692*H691</f>
        <v>1737288.6756849599</v>
      </c>
    </row>
    <row r="693" spans="1:8" ht="30" x14ac:dyDescent="0.15">
      <c r="A693" s="280"/>
      <c r="B693" s="281"/>
      <c r="C693" s="282" t="s">
        <v>926</v>
      </c>
      <c r="D693" s="281" t="s">
        <v>626</v>
      </c>
      <c r="E693" s="283"/>
      <c r="F693" s="284"/>
      <c r="G693" s="281"/>
      <c r="H693" s="285">
        <f>H691+H692</f>
        <v>23453397.121746957</v>
      </c>
    </row>
    <row r="694" spans="1:8" ht="75" x14ac:dyDescent="0.15">
      <c r="A694" s="141">
        <f>'Công trình'!A105</f>
        <v>36</v>
      </c>
      <c r="B694" s="122" t="str">
        <f>'Công trình'!E105</f>
        <v>AF.86211</v>
      </c>
      <c r="C694" s="123" t="str">
        <f>'Công trình'!F105</f>
        <v>Ván khuôn thép, khung xương thép, cột chống bằng thép ống. Ván khuôn tường, chiều cao &lt;= 28m</v>
      </c>
      <c r="D694" s="122" t="str">
        <f>'Công trình'!G105</f>
        <v>100m2</v>
      </c>
      <c r="E694" s="123">
        <v>1</v>
      </c>
      <c r="F694" s="126"/>
      <c r="G694" s="122"/>
      <c r="H694" s="126"/>
    </row>
    <row r="695" spans="1:8" x14ac:dyDescent="0.15">
      <c r="A695" s="274"/>
      <c r="B695" s="146"/>
      <c r="C695" s="145" t="s">
        <v>477</v>
      </c>
      <c r="D695" s="146"/>
      <c r="E695" s="145"/>
      <c r="F695" s="275"/>
      <c r="G695" s="146"/>
      <c r="H695" s="275">
        <f>H701</f>
        <v>2639371.8854999999</v>
      </c>
    </row>
    <row r="696" spans="1:8" ht="30" x14ac:dyDescent="0.15">
      <c r="A696" s="276"/>
      <c r="B696" s="85" t="str">
        <f>'Giá tháng'!B$21</f>
        <v>A24.0726</v>
      </c>
      <c r="C696" s="86" t="str">
        <f>'Giá tháng'!C$21</f>
        <v>Thép tấm</v>
      </c>
      <c r="D696" s="85" t="str">
        <f>'Giá tháng'!D$21</f>
        <v>kg</v>
      </c>
      <c r="E696" s="135">
        <f>HaoPhiVatTu!F$287</f>
        <v>51.81</v>
      </c>
      <c r="F696" s="114">
        <f>'Tổng hợp VT'!O$25</f>
        <v>18800</v>
      </c>
      <c r="G696" s="136">
        <f>'Giá tháng'!G$21</f>
        <v>1</v>
      </c>
      <c r="H696" s="114">
        <f>E696*F696*G696</f>
        <v>974028</v>
      </c>
    </row>
    <row r="697" spans="1:8" ht="30" x14ac:dyDescent="0.15">
      <c r="A697" s="276"/>
      <c r="B697" s="85" t="str">
        <f>'Giá tháng'!B$20</f>
        <v>A24.0712</v>
      </c>
      <c r="C697" s="86" t="str">
        <f>'Giá tháng'!C$20</f>
        <v>Thép hình</v>
      </c>
      <c r="D697" s="85" t="str">
        <f>'Giá tháng'!D$20</f>
        <v>kg</v>
      </c>
      <c r="E697" s="135">
        <f>HaoPhiVatTu!F$288</f>
        <v>48.84</v>
      </c>
      <c r="F697" s="114">
        <f>'Tổng hợp VT'!O$24</f>
        <v>18800</v>
      </c>
      <c r="G697" s="136">
        <f>'Giá tháng'!G$20</f>
        <v>1</v>
      </c>
      <c r="H697" s="114">
        <f>E697*F697*G697</f>
        <v>918192.00000000012</v>
      </c>
    </row>
    <row r="698" spans="1:8" ht="30" x14ac:dyDescent="0.15">
      <c r="A698" s="276"/>
      <c r="B698" s="85" t="str">
        <f>'Giá tháng'!B$11</f>
        <v>A24.0262</v>
      </c>
      <c r="C698" s="86" t="str">
        <f>'Giá tháng'!C$11</f>
        <v>Cột chống thép ống</v>
      </c>
      <c r="D698" s="85" t="str">
        <f>'Giá tháng'!D$11</f>
        <v>kg</v>
      </c>
      <c r="E698" s="135">
        <f>HaoPhiVatTu!F$289</f>
        <v>38.130000000000003</v>
      </c>
      <c r="F698" s="114">
        <f>'Tổng hợp VT'!O$15</f>
        <v>12627</v>
      </c>
      <c r="G698" s="136">
        <f>'Giá tháng'!G$11</f>
        <v>1</v>
      </c>
      <c r="H698" s="114">
        <f>E698*F698*G698</f>
        <v>481467.51</v>
      </c>
    </row>
    <row r="699" spans="1:8" ht="30" x14ac:dyDescent="0.15">
      <c r="A699" s="276"/>
      <c r="B699" s="85" t="str">
        <f>'Giá tháng'!B$19</f>
        <v>A24.0543</v>
      </c>
      <c r="C699" s="86" t="str">
        <f>'Giá tháng'!C$19</f>
        <v>Que hàn</v>
      </c>
      <c r="D699" s="85" t="str">
        <f>'Giá tháng'!D$19</f>
        <v>kg</v>
      </c>
      <c r="E699" s="135">
        <f>HaoPhiVatTu!F$290</f>
        <v>5.6</v>
      </c>
      <c r="F699" s="114">
        <f>'Tổng hợp VT'!O$23</f>
        <v>25000</v>
      </c>
      <c r="G699" s="136">
        <f>'Giá tháng'!G$19</f>
        <v>1</v>
      </c>
      <c r="H699" s="114">
        <f>E699*F699*G699</f>
        <v>140000</v>
      </c>
    </row>
    <row r="700" spans="1:8" x14ac:dyDescent="0.15">
      <c r="A700" s="276"/>
      <c r="B700" s="85" t="s">
        <v>478</v>
      </c>
      <c r="C700" s="86" t="s">
        <v>479</v>
      </c>
      <c r="D700" s="85" t="s">
        <v>480</v>
      </c>
      <c r="E700" s="135">
        <f>HaoPhiVatTu!F$291</f>
        <v>5</v>
      </c>
      <c r="F700" s="114">
        <f>SUM(H696:H699)</f>
        <v>2513687.5099999998</v>
      </c>
      <c r="G700" s="85"/>
      <c r="H700" s="114">
        <f>E700*F700/100</f>
        <v>125684.37549999999</v>
      </c>
    </row>
    <row r="701" spans="1:8" x14ac:dyDescent="0.15">
      <c r="A701" s="276"/>
      <c r="B701" s="85"/>
      <c r="C701" s="86" t="s">
        <v>586</v>
      </c>
      <c r="D701" s="85"/>
      <c r="E701" s="86"/>
      <c r="F701" s="114"/>
      <c r="G701" s="85"/>
      <c r="H701" s="114">
        <f>SUM(H696:H700)</f>
        <v>2639371.8854999999</v>
      </c>
    </row>
    <row r="702" spans="1:8" x14ac:dyDescent="0.15">
      <c r="A702" s="274"/>
      <c r="B702" s="146"/>
      <c r="C702" s="145" t="s">
        <v>481</v>
      </c>
      <c r="D702" s="146"/>
      <c r="E702" s="145"/>
      <c r="F702" s="275"/>
      <c r="G702" s="146"/>
      <c r="H702" s="275">
        <f>H703</f>
        <v>8926200</v>
      </c>
    </row>
    <row r="703" spans="1:8" ht="30" x14ac:dyDescent="0.15">
      <c r="A703" s="276"/>
      <c r="B703" s="85" t="str">
        <f>'Giá tháng'!B$30</f>
        <v>N2.40</v>
      </c>
      <c r="C703" s="86" t="str">
        <f>'Giá tháng'!C$30</f>
        <v>Nhân công 4,0/7 - Nhóm 2</v>
      </c>
      <c r="D703" s="85" t="str">
        <f>'Giá tháng'!D$30</f>
        <v>công</v>
      </c>
      <c r="E703" s="135">
        <f>HaoPhiVatTu!F$293</f>
        <v>28.5</v>
      </c>
      <c r="F703" s="114">
        <f>'Tổng hợp VT'!O$37</f>
        <v>313200</v>
      </c>
      <c r="G703" s="136">
        <f>'Giá tháng'!G$30</f>
        <v>1</v>
      </c>
      <c r="H703" s="114">
        <f>E703*F703*G703</f>
        <v>8926200</v>
      </c>
    </row>
    <row r="704" spans="1:8" x14ac:dyDescent="0.15">
      <c r="A704" s="274"/>
      <c r="B704" s="146"/>
      <c r="C704" s="145" t="s">
        <v>482</v>
      </c>
      <c r="D704" s="146"/>
      <c r="E704" s="145"/>
      <c r="F704" s="275"/>
      <c r="G704" s="146"/>
      <c r="H704" s="275">
        <f>H709</f>
        <v>1171482.0156</v>
      </c>
    </row>
    <row r="705" spans="1:8" ht="30" x14ac:dyDescent="0.15">
      <c r="A705" s="276"/>
      <c r="B705" s="85" t="str">
        <f>'Giá tháng'!B$45</f>
        <v>M112.4003</v>
      </c>
      <c r="C705" s="86" t="str">
        <f>'Giá tháng'!C$45</f>
        <v>Máy hàn xoay chiều - công suất : 23,0 kW</v>
      </c>
      <c r="D705" s="85" t="str">
        <f>'Giá tháng'!D$45</f>
        <v>ca</v>
      </c>
      <c r="E705" s="135">
        <f>HaoPhiVatTu!F$295</f>
        <v>1.5</v>
      </c>
      <c r="F705" s="114">
        <f>'Tổng hợp VT'!O$55</f>
        <v>447485</v>
      </c>
      <c r="G705" s="136">
        <f>'Giá tháng'!G$45</f>
        <v>1</v>
      </c>
      <c r="H705" s="114">
        <f>E705*F705*G705</f>
        <v>671227.5</v>
      </c>
    </row>
    <row r="706" spans="1:8" ht="30" x14ac:dyDescent="0.15">
      <c r="A706" s="276"/>
      <c r="B706" s="85" t="str">
        <f>'Giá tháng'!B$49</f>
        <v>M102.1001</v>
      </c>
      <c r="C706" s="86" t="str">
        <f>'Giá tháng'!C$49</f>
        <v>Máy vận thăng lồng - sức nâng : 3,0 T</v>
      </c>
      <c r="D706" s="85" t="str">
        <f>'Giá tháng'!D$49</f>
        <v>ca</v>
      </c>
      <c r="E706" s="135">
        <f>HaoPhiVatTu!F$296</f>
        <v>0.12</v>
      </c>
      <c r="F706" s="114">
        <f>'Tổng hợp VT'!O$59</f>
        <v>857495</v>
      </c>
      <c r="G706" s="136">
        <f>'Giá tháng'!G$49</f>
        <v>1</v>
      </c>
      <c r="H706" s="114">
        <f>E706*F706*G706</f>
        <v>102899.4</v>
      </c>
    </row>
    <row r="707" spans="1:8" ht="30" x14ac:dyDescent="0.15">
      <c r="A707" s="276"/>
      <c r="B707" s="85" t="str">
        <f>'Giá tháng'!B$35</f>
        <v>M102.0406</v>
      </c>
      <c r="C707" s="86" t="str">
        <f>'Giá tháng'!C$35</f>
        <v>Cần trục tháp - sức nâng : 25,0 T</v>
      </c>
      <c r="D707" s="85" t="str">
        <f>'Giá tháng'!D$35</f>
        <v>ca</v>
      </c>
      <c r="E707" s="135">
        <f>HaoPhiVatTu!F$297</f>
        <v>0.12</v>
      </c>
      <c r="F707" s="114">
        <f>'Tổng hợp VT'!O$45</f>
        <v>3119874</v>
      </c>
      <c r="G707" s="136">
        <f>'Giá tháng'!G$35</f>
        <v>1</v>
      </c>
      <c r="H707" s="114">
        <f>E707*F707*G707</f>
        <v>374384.88</v>
      </c>
    </row>
    <row r="708" spans="1:8" x14ac:dyDescent="0.15">
      <c r="A708" s="276"/>
      <c r="B708" s="85" t="s">
        <v>483</v>
      </c>
      <c r="C708" s="86" t="s">
        <v>484</v>
      </c>
      <c r="D708" s="85" t="s">
        <v>480</v>
      </c>
      <c r="E708" s="135">
        <f>HaoPhiVatTu!F$298</f>
        <v>2</v>
      </c>
      <c r="F708" s="114">
        <f>SUM(H705:H707)</f>
        <v>1148511.78</v>
      </c>
      <c r="G708" s="85"/>
      <c r="H708" s="114">
        <f>E708*F708/100</f>
        <v>22970.2356</v>
      </c>
    </row>
    <row r="709" spans="1:8" x14ac:dyDescent="0.15">
      <c r="A709" s="276"/>
      <c r="B709" s="85"/>
      <c r="C709" s="86" t="s">
        <v>586</v>
      </c>
      <c r="D709" s="85"/>
      <c r="E709" s="86"/>
      <c r="F709" s="114"/>
      <c r="G709" s="85"/>
      <c r="H709" s="114">
        <f>SUM(H705:H708)</f>
        <v>1171482.0156</v>
      </c>
    </row>
    <row r="710" spans="1:8" ht="30" x14ac:dyDescent="0.15">
      <c r="A710" s="277"/>
      <c r="B710" s="122"/>
      <c r="C710" s="123" t="s">
        <v>923</v>
      </c>
      <c r="D710" s="122" t="s">
        <v>606</v>
      </c>
      <c r="E710" s="278"/>
      <c r="F710" s="126"/>
      <c r="G710" s="122"/>
      <c r="H710" s="126">
        <f>H695+H702+H704</f>
        <v>12737053.901099999</v>
      </c>
    </row>
    <row r="711" spans="1:8" x14ac:dyDescent="0.15">
      <c r="A711" s="276"/>
      <c r="B711" s="85"/>
      <c r="C711" s="86" t="s">
        <v>608</v>
      </c>
      <c r="D711" s="85" t="str">
        <f>""</f>
        <v/>
      </c>
      <c r="E711" s="279"/>
      <c r="F711" s="114"/>
      <c r="G711" s="85"/>
      <c r="H711" s="114"/>
    </row>
    <row r="712" spans="1:8" x14ac:dyDescent="0.15">
      <c r="A712" s="276"/>
      <c r="B712" s="85"/>
      <c r="C712" s="86" t="str">
        <f>"Chi phí chung (T x "&amp;HSXL!C$14&amp;")"</f>
        <v>Chi phí chung (T x 5,5%)</v>
      </c>
      <c r="D712" s="85" t="s">
        <v>603</v>
      </c>
      <c r="E712" s="279" t="str">
        <f>HSXL!C$14</f>
        <v>5,5%</v>
      </c>
      <c r="F712" s="114"/>
      <c r="G712" s="85"/>
      <c r="H712" s="114">
        <f>H710*HSXL!D$14</f>
        <v>700537.96456049988</v>
      </c>
    </row>
    <row r="713" spans="1:8" ht="45" x14ac:dyDescent="0.15">
      <c r="A713" s="276"/>
      <c r="B713" s="85"/>
      <c r="C713" s="86" t="str">
        <f>"Chi phí nhà tạm để ở và điều hành thi công (T x "&amp;HSXL!C$18&amp;")"</f>
        <v>Chi phí nhà tạm để ở và điều hành thi công (T x 1,1%)</v>
      </c>
      <c r="D713" s="85" t="s">
        <v>611</v>
      </c>
      <c r="E713" s="279" t="str">
        <f>HSXL!C$18</f>
        <v>1,1%</v>
      </c>
      <c r="F713" s="114"/>
      <c r="G713" s="85"/>
      <c r="H713" s="114">
        <f>H710*HSXL!D$18</f>
        <v>140107.59291209996</v>
      </c>
    </row>
    <row r="714" spans="1:8" ht="60" x14ac:dyDescent="0.15">
      <c r="A714" s="276"/>
      <c r="B714" s="85"/>
      <c r="C714" s="86" t="str">
        <f>"Chi phí một số công việc không xác định được khối lượng từ thiết kế (T x "&amp;HSXL!C$13&amp;")"</f>
        <v>Chi phí một số công việc không xác định được khối lượng từ thiết kế (T x 2%)</v>
      </c>
      <c r="D714" s="85" t="s">
        <v>42</v>
      </c>
      <c r="E714" s="279" t="str">
        <f>HSXL!C$13</f>
        <v>2%</v>
      </c>
      <c r="F714" s="114"/>
      <c r="G714" s="85"/>
      <c r="H714" s="114">
        <f>H710*HSXL!D$13</f>
        <v>254741.07802199997</v>
      </c>
    </row>
    <row r="715" spans="1:8" ht="30" x14ac:dyDescent="0.15">
      <c r="A715" s="277"/>
      <c r="B715" s="122"/>
      <c r="C715" s="123" t="s">
        <v>924</v>
      </c>
      <c r="D715" s="122" t="s">
        <v>614</v>
      </c>
      <c r="E715" s="278"/>
      <c r="F715" s="126"/>
      <c r="G715" s="122"/>
      <c r="H715" s="126">
        <f>SUM(H712:H714)</f>
        <v>1095386.6354945998</v>
      </c>
    </row>
    <row r="716" spans="1:8" ht="45" x14ac:dyDescent="0.15">
      <c r="A716" s="276"/>
      <c r="B716" s="85"/>
      <c r="C716" s="86" t="str">
        <f>"THU NHẬP CHỊU THUẾ TÍNH TRƯỚC (T+GT) x "&amp;HSXL!C$16</f>
        <v>THU NHẬP CHỊU THUẾ TÍNH TRƯỚC (T+GT) x 5,5%</v>
      </c>
      <c r="D716" s="85" t="s">
        <v>617</v>
      </c>
      <c r="E716" s="279" t="str">
        <f>HSXL!C$16</f>
        <v>5,5%</v>
      </c>
      <c r="F716" s="114"/>
      <c r="G716" s="85"/>
      <c r="H716" s="114">
        <f>(H710+H715)*HSXL!D$16</f>
        <v>760784.22951270291</v>
      </c>
    </row>
    <row r="717" spans="1:8" ht="30" x14ac:dyDescent="0.15">
      <c r="A717" s="276"/>
      <c r="B717" s="85"/>
      <c r="C717" s="86" t="s">
        <v>925</v>
      </c>
      <c r="D717" s="85" t="s">
        <v>619</v>
      </c>
      <c r="E717" s="279"/>
      <c r="F717" s="114"/>
      <c r="G717" s="85"/>
      <c r="H717" s="114">
        <f>H710+H715+H716</f>
        <v>14593224.7661073</v>
      </c>
    </row>
    <row r="718" spans="1:8" ht="30" x14ac:dyDescent="0.15">
      <c r="A718" s="276"/>
      <c r="B718" s="85"/>
      <c r="C718" s="86" t="str">
        <f>"THUẾ GIÁ TRỊ GIA TĂNG (G x "&amp;HSXL!C$17&amp;")"</f>
        <v>THUẾ GIÁ TRỊ GIA TĂNG (G x 8%)</v>
      </c>
      <c r="D718" s="85" t="s">
        <v>623</v>
      </c>
      <c r="E718" s="192">
        <f>HSXL!D$17</f>
        <v>0.08</v>
      </c>
      <c r="F718" s="114"/>
      <c r="G718" s="85"/>
      <c r="H718" s="114">
        <f>E718*H717</f>
        <v>1167457.9812885839</v>
      </c>
    </row>
    <row r="719" spans="1:8" ht="30" x14ac:dyDescent="0.15">
      <c r="A719" s="280"/>
      <c r="B719" s="281"/>
      <c r="C719" s="282" t="s">
        <v>926</v>
      </c>
      <c r="D719" s="281" t="s">
        <v>626</v>
      </c>
      <c r="E719" s="283"/>
      <c r="F719" s="284"/>
      <c r="G719" s="281"/>
      <c r="H719" s="285">
        <f>H717+H718</f>
        <v>15760682.747395884</v>
      </c>
    </row>
    <row r="720" spans="1:8" ht="75" x14ac:dyDescent="0.15">
      <c r="A720" s="141">
        <f>'Công trình'!A107</f>
        <v>37</v>
      </c>
      <c r="B720" s="122" t="str">
        <f>'Công trình'!E107</f>
        <v>AF.12114A</v>
      </c>
      <c r="C720" s="123" t="str">
        <f>'Công trình'!F107</f>
        <v>Đổ bê tông thủ công bằng máy trộn, bê tông tường chiều dày &lt;= 45cm, chiều cao &lt;= 6m, đá 1x2, mác 250, PCB30</v>
      </c>
      <c r="D720" s="122" t="str">
        <f>'Công trình'!G107</f>
        <v>m3</v>
      </c>
      <c r="E720" s="123">
        <v>1</v>
      </c>
      <c r="F720" s="126"/>
      <c r="G720" s="122"/>
      <c r="H720" s="126"/>
    </row>
    <row r="721" spans="1:8" x14ac:dyDescent="0.15">
      <c r="A721" s="274"/>
      <c r="B721" s="146"/>
      <c r="C721" s="145" t="s">
        <v>477</v>
      </c>
      <c r="D721" s="146"/>
      <c r="E721" s="145"/>
      <c r="F721" s="275"/>
      <c r="G721" s="146"/>
      <c r="H721" s="275">
        <f>H727</f>
        <v>1449607.5825</v>
      </c>
    </row>
    <row r="722" spans="1:8" ht="30" x14ac:dyDescent="0.15">
      <c r="A722" s="276"/>
      <c r="B722" s="85" t="str">
        <f>'Giá tháng'!B$25</f>
        <v>A24.0797A</v>
      </c>
      <c r="C722" s="86" t="str">
        <f>'Giá tháng'!C$25</f>
        <v>Xi măng PCB30</v>
      </c>
      <c r="D722" s="85" t="str">
        <f>'Giá tháng'!D$25</f>
        <v>kg</v>
      </c>
      <c r="E722" s="135">
        <f>HaoPhiVatTu!F$301</f>
        <v>369</v>
      </c>
      <c r="F722" s="114">
        <f>'Tổng hợp VT'!O$29</f>
        <v>1597</v>
      </c>
      <c r="G722" s="136">
        <f>'Giá tháng'!G$25</f>
        <v>1</v>
      </c>
      <c r="H722" s="114">
        <f>E722*F722*G722</f>
        <v>589293</v>
      </c>
    </row>
    <row r="723" spans="1:8" ht="30" x14ac:dyDescent="0.15">
      <c r="A723" s="276"/>
      <c r="B723" s="85" t="str">
        <f>'Giá tháng'!B$7</f>
        <v>A24.0180</v>
      </c>
      <c r="C723" s="86" t="str">
        <f>'Giá tháng'!C$7</f>
        <v>Cát vàng</v>
      </c>
      <c r="D723" s="85" t="str">
        <f>'Giá tháng'!D$7</f>
        <v>m3</v>
      </c>
      <c r="E723" s="135">
        <f>HaoPhiVatTu!F$302</f>
        <v>0.517625</v>
      </c>
      <c r="F723" s="114">
        <f>'Tổng hợp VT'!O$11</f>
        <v>750000</v>
      </c>
      <c r="G723" s="136">
        <f>'Giá tháng'!G$7</f>
        <v>1</v>
      </c>
      <c r="H723" s="114">
        <f>E723*F723*G723</f>
        <v>388218.75</v>
      </c>
    </row>
    <row r="724" spans="1:8" ht="30" x14ac:dyDescent="0.15">
      <c r="A724" s="276"/>
      <c r="B724" s="85" t="str">
        <f>'Giá tháng'!B$13</f>
        <v>A24.0008</v>
      </c>
      <c r="C724" s="86" t="str">
        <f>'Giá tháng'!C$13</f>
        <v>Đá 1x2</v>
      </c>
      <c r="D724" s="85" t="str">
        <f>'Giá tháng'!D$13</f>
        <v>m3</v>
      </c>
      <c r="E724" s="135">
        <f>HaoPhiVatTu!F$303</f>
        <v>0.8528</v>
      </c>
      <c r="F724" s="114">
        <f>'Tổng hợp VT'!O$17</f>
        <v>470000</v>
      </c>
      <c r="G724" s="136">
        <f>'Giá tháng'!G$13</f>
        <v>1</v>
      </c>
      <c r="H724" s="114">
        <f>E724*F724*G724</f>
        <v>400816</v>
      </c>
    </row>
    <row r="725" spans="1:8" ht="30" x14ac:dyDescent="0.15">
      <c r="A725" s="276"/>
      <c r="B725" s="85" t="str">
        <f>'Giá tháng'!B$15</f>
        <v>A24.0524</v>
      </c>
      <c r="C725" s="86" t="str">
        <f>'Giá tháng'!C$15</f>
        <v>Nước</v>
      </c>
      <c r="D725" s="85" t="str">
        <f>'Giá tháng'!D$15</f>
        <v>lít</v>
      </c>
      <c r="E725" s="135">
        <f>HaoPhiVatTu!F$304</f>
        <v>187.57499999999999</v>
      </c>
      <c r="F725" s="114">
        <f>'Tổng hợp VT'!O$19</f>
        <v>12</v>
      </c>
      <c r="G725" s="136">
        <f>'Giá tháng'!G$15</f>
        <v>1</v>
      </c>
      <c r="H725" s="114">
        <f>E725*F725*G725</f>
        <v>2250.8999999999996</v>
      </c>
    </row>
    <row r="726" spans="1:8" x14ac:dyDescent="0.15">
      <c r="A726" s="276"/>
      <c r="B726" s="85" t="s">
        <v>478</v>
      </c>
      <c r="C726" s="86" t="s">
        <v>479</v>
      </c>
      <c r="D726" s="85" t="s">
        <v>480</v>
      </c>
      <c r="E726" s="135">
        <f>HaoPhiVatTu!F$305</f>
        <v>5</v>
      </c>
      <c r="F726" s="114">
        <f>SUM(H722:H725)</f>
        <v>1380578.65</v>
      </c>
      <c r="G726" s="85"/>
      <c r="H726" s="114">
        <f>E726*F726/100</f>
        <v>69028.932499999995</v>
      </c>
    </row>
    <row r="727" spans="1:8" x14ac:dyDescent="0.15">
      <c r="A727" s="276"/>
      <c r="B727" s="85"/>
      <c r="C727" s="86" t="s">
        <v>586</v>
      </c>
      <c r="D727" s="85"/>
      <c r="E727" s="86"/>
      <c r="F727" s="114"/>
      <c r="G727" s="85"/>
      <c r="H727" s="114">
        <f>SUM(H722:H726)</f>
        <v>1449607.5825</v>
      </c>
    </row>
    <row r="728" spans="1:8" x14ac:dyDescent="0.15">
      <c r="A728" s="274"/>
      <c r="B728" s="146"/>
      <c r="C728" s="145" t="s">
        <v>481</v>
      </c>
      <c r="D728" s="146"/>
      <c r="E728" s="145"/>
      <c r="F728" s="275"/>
      <c r="G728" s="146"/>
      <c r="H728" s="275">
        <f>H729</f>
        <v>718365.00000000012</v>
      </c>
    </row>
    <row r="729" spans="1:8" ht="30" x14ac:dyDescent="0.15">
      <c r="A729" s="276"/>
      <c r="B729" s="85" t="str">
        <f>'Giá tháng'!B$29</f>
        <v>N2.35</v>
      </c>
      <c r="C729" s="86" t="str">
        <f>'Giá tháng'!C$29</f>
        <v>Nhân công 3,5/7 - Nhóm 2</v>
      </c>
      <c r="D729" s="85" t="str">
        <f>'Giá tháng'!D$29</f>
        <v>công</v>
      </c>
      <c r="E729" s="135">
        <f>HaoPhiVatTu!F$307</f>
        <v>2.4900000000000002</v>
      </c>
      <c r="F729" s="114">
        <f>'Tổng hợp VT'!O$36</f>
        <v>288500</v>
      </c>
      <c r="G729" s="136">
        <f>'Giá tháng'!G$29</f>
        <v>1</v>
      </c>
      <c r="H729" s="114">
        <f>E729*F729*G729</f>
        <v>718365.00000000012</v>
      </c>
    </row>
    <row r="730" spans="1:8" x14ac:dyDescent="0.15">
      <c r="A730" s="274"/>
      <c r="B730" s="146"/>
      <c r="C730" s="145" t="s">
        <v>482</v>
      </c>
      <c r="D730" s="146"/>
      <c r="E730" s="145"/>
      <c r="F730" s="275"/>
      <c r="G730" s="146"/>
      <c r="H730" s="275">
        <f>H733</f>
        <v>87466.83</v>
      </c>
    </row>
    <row r="731" spans="1:8" ht="30" x14ac:dyDescent="0.15">
      <c r="A731" s="276"/>
      <c r="B731" s="85" t="str">
        <f>'Giá tháng'!B$47</f>
        <v>M104.0102</v>
      </c>
      <c r="C731" s="86" t="str">
        <f>'Giá tháng'!C$47</f>
        <v>Máy trộn bê tông - dung tích : 250,0 lít</v>
      </c>
      <c r="D731" s="85" t="str">
        <f>'Giá tháng'!D$47</f>
        <v>ca</v>
      </c>
      <c r="E731" s="135">
        <f>HaoPhiVatTu!F$309</f>
        <v>9.5000000000000001E-2</v>
      </c>
      <c r="F731" s="114">
        <f>'Tổng hợp VT'!O$57</f>
        <v>347214</v>
      </c>
      <c r="G731" s="136">
        <f>'Giá tháng'!G$47</f>
        <v>1</v>
      </c>
      <c r="H731" s="114">
        <f>E731*F731*G731</f>
        <v>32985.33</v>
      </c>
    </row>
    <row r="732" spans="1:8" ht="30" x14ac:dyDescent="0.15">
      <c r="A732" s="276"/>
      <c r="B732" s="85" t="str">
        <f>'Giá tháng'!B$42</f>
        <v>M112.1301</v>
      </c>
      <c r="C732" s="86" t="str">
        <f>'Giá tháng'!C$42</f>
        <v>Máy đầm bê tông, dầm dùi - công suất : 1,5 kW</v>
      </c>
      <c r="D732" s="85" t="str">
        <f>'Giá tháng'!D$42</f>
        <v>ca</v>
      </c>
      <c r="E732" s="135">
        <f>HaoPhiVatTu!F$310</f>
        <v>0.18</v>
      </c>
      <c r="F732" s="114">
        <f>'Tổng hợp VT'!O$52</f>
        <v>302675</v>
      </c>
      <c r="G732" s="136">
        <f>'Giá tháng'!G$42</f>
        <v>1</v>
      </c>
      <c r="H732" s="114">
        <f>E732*F732*G732</f>
        <v>54481.5</v>
      </c>
    </row>
    <row r="733" spans="1:8" x14ac:dyDescent="0.15">
      <c r="A733" s="276"/>
      <c r="B733" s="85"/>
      <c r="C733" s="86" t="s">
        <v>586</v>
      </c>
      <c r="D733" s="85"/>
      <c r="E733" s="86"/>
      <c r="F733" s="114"/>
      <c r="G733" s="85"/>
      <c r="H733" s="114">
        <f>SUM(H731:H732)</f>
        <v>87466.83</v>
      </c>
    </row>
    <row r="734" spans="1:8" ht="30" x14ac:dyDescent="0.15">
      <c r="A734" s="277"/>
      <c r="B734" s="122"/>
      <c r="C734" s="123" t="s">
        <v>923</v>
      </c>
      <c r="D734" s="122" t="s">
        <v>606</v>
      </c>
      <c r="E734" s="278"/>
      <c r="F734" s="126"/>
      <c r="G734" s="122"/>
      <c r="H734" s="126">
        <f>H721+H728+H730</f>
        <v>2255439.4125000001</v>
      </c>
    </row>
    <row r="735" spans="1:8" x14ac:dyDescent="0.15">
      <c r="A735" s="276"/>
      <c r="B735" s="85"/>
      <c r="C735" s="86" t="s">
        <v>608</v>
      </c>
      <c r="D735" s="85" t="str">
        <f>""</f>
        <v/>
      </c>
      <c r="E735" s="279"/>
      <c r="F735" s="114"/>
      <c r="G735" s="85"/>
      <c r="H735" s="114"/>
    </row>
    <row r="736" spans="1:8" x14ac:dyDescent="0.15">
      <c r="A736" s="276"/>
      <c r="B736" s="85"/>
      <c r="C736" s="86" t="str">
        <f>"Chi phí chung (T x "&amp;HSXL!C$14&amp;")"</f>
        <v>Chi phí chung (T x 5,5%)</v>
      </c>
      <c r="D736" s="85" t="s">
        <v>603</v>
      </c>
      <c r="E736" s="279" t="str">
        <f>HSXL!C$14</f>
        <v>5,5%</v>
      </c>
      <c r="F736" s="114"/>
      <c r="G736" s="85"/>
      <c r="H736" s="114">
        <f>H734*HSXL!D$14</f>
        <v>124049.16768750001</v>
      </c>
    </row>
    <row r="737" spans="1:8" ht="45" x14ac:dyDescent="0.15">
      <c r="A737" s="276"/>
      <c r="B737" s="85"/>
      <c r="C737" s="86" t="str">
        <f>"Chi phí nhà tạm để ở và điều hành thi công (T x "&amp;HSXL!C$18&amp;")"</f>
        <v>Chi phí nhà tạm để ở và điều hành thi công (T x 1,1%)</v>
      </c>
      <c r="D737" s="85" t="s">
        <v>611</v>
      </c>
      <c r="E737" s="279" t="str">
        <f>HSXL!C$18</f>
        <v>1,1%</v>
      </c>
      <c r="F737" s="114"/>
      <c r="G737" s="85"/>
      <c r="H737" s="114">
        <f>H734*HSXL!D$18</f>
        <v>24809.833537499999</v>
      </c>
    </row>
    <row r="738" spans="1:8" ht="60" x14ac:dyDescent="0.15">
      <c r="A738" s="276"/>
      <c r="B738" s="85"/>
      <c r="C738" s="86" t="str">
        <f>"Chi phí một số công việc không xác định được khối lượng từ thiết kế (T x "&amp;HSXL!C$13&amp;")"</f>
        <v>Chi phí một số công việc không xác định được khối lượng từ thiết kế (T x 2%)</v>
      </c>
      <c r="D738" s="85" t="s">
        <v>42</v>
      </c>
      <c r="E738" s="279" t="str">
        <f>HSXL!C$13</f>
        <v>2%</v>
      </c>
      <c r="F738" s="114"/>
      <c r="G738" s="85"/>
      <c r="H738" s="114">
        <f>H734*HSXL!D$13</f>
        <v>45108.788250000005</v>
      </c>
    </row>
    <row r="739" spans="1:8" ht="30" x14ac:dyDescent="0.15">
      <c r="A739" s="277"/>
      <c r="B739" s="122"/>
      <c r="C739" s="123" t="s">
        <v>924</v>
      </c>
      <c r="D739" s="122" t="s">
        <v>614</v>
      </c>
      <c r="E739" s="278"/>
      <c r="F739" s="126"/>
      <c r="G739" s="122"/>
      <c r="H739" s="126">
        <f>SUM(H736:H738)</f>
        <v>193967.78947500003</v>
      </c>
    </row>
    <row r="740" spans="1:8" ht="45" x14ac:dyDescent="0.15">
      <c r="A740" s="276"/>
      <c r="B740" s="85"/>
      <c r="C740" s="86" t="str">
        <f>"THU NHẬP CHỊU THUẾ TÍNH TRƯỚC (T+GT) x "&amp;HSXL!C$16</f>
        <v>THU NHẬP CHỊU THUẾ TÍNH TRƯỚC (T+GT) x 5,5%</v>
      </c>
      <c r="D740" s="85" t="s">
        <v>617</v>
      </c>
      <c r="E740" s="279" t="str">
        <f>HSXL!C$16</f>
        <v>5,5%</v>
      </c>
      <c r="F740" s="114"/>
      <c r="G740" s="85"/>
      <c r="H740" s="114">
        <f>(H734+H739)*HSXL!D$16</f>
        <v>134717.39610862502</v>
      </c>
    </row>
    <row r="741" spans="1:8" ht="30" x14ac:dyDescent="0.15">
      <c r="A741" s="276"/>
      <c r="B741" s="85"/>
      <c r="C741" s="86" t="s">
        <v>925</v>
      </c>
      <c r="D741" s="85" t="s">
        <v>619</v>
      </c>
      <c r="E741" s="279"/>
      <c r="F741" s="114"/>
      <c r="G741" s="85"/>
      <c r="H741" s="114">
        <f>H734+H739+H740</f>
        <v>2584124.5980836251</v>
      </c>
    </row>
    <row r="742" spans="1:8" ht="30" x14ac:dyDescent="0.15">
      <c r="A742" s="276"/>
      <c r="B742" s="85"/>
      <c r="C742" s="86" t="str">
        <f>"THUẾ GIÁ TRỊ GIA TĂNG (G x "&amp;HSXL!C$17&amp;")"</f>
        <v>THUẾ GIÁ TRỊ GIA TĂNG (G x 8%)</v>
      </c>
      <c r="D742" s="85" t="s">
        <v>623</v>
      </c>
      <c r="E742" s="192">
        <f>HSXL!D$17</f>
        <v>0.08</v>
      </c>
      <c r="F742" s="114"/>
      <c r="G742" s="85"/>
      <c r="H742" s="114">
        <f>E742*H741</f>
        <v>206729.96784669001</v>
      </c>
    </row>
    <row r="743" spans="1:8" ht="30" x14ac:dyDescent="0.15">
      <c r="A743" s="280"/>
      <c r="B743" s="281"/>
      <c r="C743" s="282" t="s">
        <v>926</v>
      </c>
      <c r="D743" s="281" t="s">
        <v>626</v>
      </c>
      <c r="E743" s="283"/>
      <c r="F743" s="284"/>
      <c r="G743" s="281"/>
      <c r="H743" s="285">
        <f>H741+H742</f>
        <v>2790854.5659303153</v>
      </c>
    </row>
    <row r="744" spans="1:8" ht="60" x14ac:dyDescent="0.15">
      <c r="A744" s="141">
        <f>'Công trình'!A110</f>
        <v>38</v>
      </c>
      <c r="B744" s="122" t="str">
        <f>'Công trình'!E110</f>
        <v>AB.65120</v>
      </c>
      <c r="C744" s="123" t="str">
        <f>'Công trình'!F110</f>
        <v>Đắp đất công trình bằng đầm đất cầm tay 70kg, độ chặt yêu cầu K=0,90</v>
      </c>
      <c r="D744" s="122" t="str">
        <f>'Công trình'!G110</f>
        <v>100m3</v>
      </c>
      <c r="E744" s="123">
        <v>1</v>
      </c>
      <c r="F744" s="126"/>
      <c r="G744" s="122"/>
      <c r="H744" s="126"/>
    </row>
    <row r="745" spans="1:8" x14ac:dyDescent="0.15">
      <c r="A745" s="274"/>
      <c r="B745" s="146"/>
      <c r="C745" s="145" t="s">
        <v>481</v>
      </c>
      <c r="D745" s="146"/>
      <c r="E745" s="145"/>
      <c r="F745" s="275"/>
      <c r="G745" s="146"/>
      <c r="H745" s="275">
        <f>H746</f>
        <v>1508503</v>
      </c>
    </row>
    <row r="746" spans="1:8" ht="30" x14ac:dyDescent="0.15">
      <c r="A746" s="276"/>
      <c r="B746" s="85" t="str">
        <f>'Giá tháng'!B$27</f>
        <v>N1.30</v>
      </c>
      <c r="C746" s="86" t="str">
        <f>'Giá tháng'!C$27</f>
        <v>Nhân công 3,0/7 - Nhóm 1</v>
      </c>
      <c r="D746" s="85" t="str">
        <f>'Giá tháng'!D$27</f>
        <v>công</v>
      </c>
      <c r="E746" s="135">
        <f>HaoPhiVatTu!F$313</f>
        <v>6.19</v>
      </c>
      <c r="F746" s="114">
        <f>'Tổng hợp VT'!O$34</f>
        <v>243700</v>
      </c>
      <c r="G746" s="136">
        <f>'Giá tháng'!G$27</f>
        <v>1</v>
      </c>
      <c r="H746" s="114">
        <f>E746*F746*G746</f>
        <v>1508503</v>
      </c>
    </row>
    <row r="747" spans="1:8" x14ac:dyDescent="0.15">
      <c r="A747" s="274"/>
      <c r="B747" s="146"/>
      <c r="C747" s="145" t="s">
        <v>482</v>
      </c>
      <c r="D747" s="146"/>
      <c r="E747" s="145"/>
      <c r="F747" s="275"/>
      <c r="G747" s="146"/>
      <c r="H747" s="275">
        <f>H748</f>
        <v>1500138.2850000001</v>
      </c>
    </row>
    <row r="748" spans="1:8" ht="30" x14ac:dyDescent="0.15">
      <c r="A748" s="276"/>
      <c r="B748" s="85" t="str">
        <f>'Giá tháng'!B$43</f>
        <v>M101.0803</v>
      </c>
      <c r="C748" s="86" t="str">
        <f>'Giá tháng'!C$43</f>
        <v>Máy đầm đất cầm tay - trọng lượng : 70 kg</v>
      </c>
      <c r="D748" s="85" t="str">
        <f>'Giá tháng'!D$43</f>
        <v>ca</v>
      </c>
      <c r="E748" s="135">
        <f>HaoPhiVatTu!F$315</f>
        <v>3.8450000000000002</v>
      </c>
      <c r="F748" s="114">
        <f>'Tổng hợp VT'!O$53</f>
        <v>390153</v>
      </c>
      <c r="G748" s="136">
        <f>'Giá tháng'!G$43</f>
        <v>1</v>
      </c>
      <c r="H748" s="114">
        <f>E748*F748*G748</f>
        <v>1500138.2850000001</v>
      </c>
    </row>
    <row r="749" spans="1:8" ht="30" x14ac:dyDescent="0.15">
      <c r="A749" s="277"/>
      <c r="B749" s="122"/>
      <c r="C749" s="123" t="s">
        <v>923</v>
      </c>
      <c r="D749" s="122" t="s">
        <v>606</v>
      </c>
      <c r="E749" s="278"/>
      <c r="F749" s="126"/>
      <c r="G749" s="122"/>
      <c r="H749" s="126">
        <f>+H745+H747</f>
        <v>3008641.2850000001</v>
      </c>
    </row>
    <row r="750" spans="1:8" x14ac:dyDescent="0.15">
      <c r="A750" s="276"/>
      <c r="B750" s="85"/>
      <c r="C750" s="86" t="s">
        <v>608</v>
      </c>
      <c r="D750" s="85" t="str">
        <f>""</f>
        <v/>
      </c>
      <c r="E750" s="279"/>
      <c r="F750" s="114"/>
      <c r="G750" s="85"/>
      <c r="H750" s="114"/>
    </row>
    <row r="751" spans="1:8" x14ac:dyDescent="0.15">
      <c r="A751" s="276"/>
      <c r="B751" s="85"/>
      <c r="C751" s="86" t="str">
        <f>"Chi phí chung (T x "&amp;HSXL!C$14&amp;")"</f>
        <v>Chi phí chung (T x 5,5%)</v>
      </c>
      <c r="D751" s="85" t="s">
        <v>603</v>
      </c>
      <c r="E751" s="279" t="str">
        <f>HSXL!C$14</f>
        <v>5,5%</v>
      </c>
      <c r="F751" s="114"/>
      <c r="G751" s="85"/>
      <c r="H751" s="114">
        <f>H749*HSXL!D$14</f>
        <v>165475.27067500001</v>
      </c>
    </row>
    <row r="752" spans="1:8" ht="45" x14ac:dyDescent="0.15">
      <c r="A752" s="276"/>
      <c r="B752" s="85"/>
      <c r="C752" s="86" t="str">
        <f>"Chi phí nhà tạm để ở và điều hành thi công (T x "&amp;HSXL!C$18&amp;")"</f>
        <v>Chi phí nhà tạm để ở và điều hành thi công (T x 1,1%)</v>
      </c>
      <c r="D752" s="85" t="s">
        <v>611</v>
      </c>
      <c r="E752" s="279" t="str">
        <f>HSXL!C$18</f>
        <v>1,1%</v>
      </c>
      <c r="F752" s="114"/>
      <c r="G752" s="85"/>
      <c r="H752" s="114">
        <f>H749*HSXL!D$18</f>
        <v>33095.054134999998</v>
      </c>
    </row>
    <row r="753" spans="1:8" ht="60" x14ac:dyDescent="0.15">
      <c r="A753" s="276"/>
      <c r="B753" s="85"/>
      <c r="C753" s="86" t="str">
        <f>"Chi phí một số công việc không xác định được khối lượng từ thiết kế (T x "&amp;HSXL!C$13&amp;")"</f>
        <v>Chi phí một số công việc không xác định được khối lượng từ thiết kế (T x 2%)</v>
      </c>
      <c r="D753" s="85" t="s">
        <v>42</v>
      </c>
      <c r="E753" s="279" t="str">
        <f>HSXL!C$13</f>
        <v>2%</v>
      </c>
      <c r="F753" s="114"/>
      <c r="G753" s="85"/>
      <c r="H753" s="114">
        <f>H749*HSXL!D$13</f>
        <v>60172.825700000001</v>
      </c>
    </row>
    <row r="754" spans="1:8" ht="30" x14ac:dyDescent="0.15">
      <c r="A754" s="277"/>
      <c r="B754" s="122"/>
      <c r="C754" s="123" t="s">
        <v>924</v>
      </c>
      <c r="D754" s="122" t="s">
        <v>614</v>
      </c>
      <c r="E754" s="278"/>
      <c r="F754" s="126"/>
      <c r="G754" s="122"/>
      <c r="H754" s="126">
        <f>SUM(H751:H753)</f>
        <v>258743.15051000001</v>
      </c>
    </row>
    <row r="755" spans="1:8" ht="45" x14ac:dyDescent="0.15">
      <c r="A755" s="276"/>
      <c r="B755" s="85"/>
      <c r="C755" s="86" t="str">
        <f>"THU NHẬP CHỊU THUẾ TÍNH TRƯỚC (T+GT) x "&amp;HSXL!C$16</f>
        <v>THU NHẬP CHỊU THUẾ TÍNH TRƯỚC (T+GT) x 5,5%</v>
      </c>
      <c r="D755" s="85" t="s">
        <v>617</v>
      </c>
      <c r="E755" s="279" t="str">
        <f>HSXL!C$16</f>
        <v>5,5%</v>
      </c>
      <c r="F755" s="114"/>
      <c r="G755" s="85"/>
      <c r="H755" s="114">
        <f>(H749+H754)*HSXL!D$16</f>
        <v>179706.14395305002</v>
      </c>
    </row>
    <row r="756" spans="1:8" ht="30" x14ac:dyDescent="0.15">
      <c r="A756" s="276"/>
      <c r="B756" s="85"/>
      <c r="C756" s="86" t="s">
        <v>925</v>
      </c>
      <c r="D756" s="85" t="s">
        <v>619</v>
      </c>
      <c r="E756" s="279"/>
      <c r="F756" s="114"/>
      <c r="G756" s="85"/>
      <c r="H756" s="114">
        <f>H749+H754+H755</f>
        <v>3447090.5794630502</v>
      </c>
    </row>
    <row r="757" spans="1:8" ht="30" x14ac:dyDescent="0.15">
      <c r="A757" s="276"/>
      <c r="B757" s="85"/>
      <c r="C757" s="86" t="str">
        <f>"THUẾ GIÁ TRỊ GIA TĂNG (G x "&amp;HSXL!C$17&amp;")"</f>
        <v>THUẾ GIÁ TRỊ GIA TĂNG (G x 8%)</v>
      </c>
      <c r="D757" s="85" t="s">
        <v>623</v>
      </c>
      <c r="E757" s="192">
        <f>HSXL!D$17</f>
        <v>0.08</v>
      </c>
      <c r="F757" s="114"/>
      <c r="G757" s="85"/>
      <c r="H757" s="114">
        <f>E757*H756</f>
        <v>275767.24635704403</v>
      </c>
    </row>
    <row r="758" spans="1:8" ht="30" x14ac:dyDescent="0.15">
      <c r="A758" s="280"/>
      <c r="B758" s="281"/>
      <c r="C758" s="282" t="s">
        <v>926</v>
      </c>
      <c r="D758" s="281" t="s">
        <v>626</v>
      </c>
      <c r="E758" s="283"/>
      <c r="F758" s="284"/>
      <c r="G758" s="281"/>
      <c r="H758" s="285">
        <f>H756+H757</f>
        <v>3722857.8258200944</v>
      </c>
    </row>
    <row r="759" spans="1:8" x14ac:dyDescent="0.15">
      <c r="A759" s="141">
        <f>'Công trình'!A112</f>
        <v>39</v>
      </c>
      <c r="B759" s="122" t="str">
        <f>'Công trình'!E112</f>
        <v>TT</v>
      </c>
      <c r="C759" s="123" t="str">
        <f>'Công trình'!F112</f>
        <v>Vật liệu đất núi</v>
      </c>
      <c r="D759" s="122" t="str">
        <f>'Công trình'!G112</f>
        <v>m3</v>
      </c>
      <c r="E759" s="123">
        <v>1</v>
      </c>
      <c r="F759" s="126"/>
      <c r="G759" s="122"/>
      <c r="H759" s="126"/>
    </row>
    <row r="760" spans="1:8" x14ac:dyDescent="0.15">
      <c r="A760" s="274"/>
      <c r="B760" s="146"/>
      <c r="C760" s="145" t="s">
        <v>477</v>
      </c>
      <c r="D760" s="146"/>
      <c r="E760" s="145"/>
      <c r="F760" s="275"/>
      <c r="G760" s="146"/>
      <c r="H760" s="275">
        <f>H761</f>
        <v>220000</v>
      </c>
    </row>
    <row r="761" spans="1:8" x14ac:dyDescent="0.15">
      <c r="A761" s="276"/>
      <c r="B761" s="85" t="str">
        <f>""</f>
        <v/>
      </c>
      <c r="C761" s="86" t="s">
        <v>28</v>
      </c>
      <c r="D761" s="85" t="str">
        <f>""</f>
        <v/>
      </c>
      <c r="E761" s="135">
        <v>1</v>
      </c>
      <c r="F761" s="114">
        <f>'Tổng hợp VT'!O9</f>
        <v>220000</v>
      </c>
      <c r="G761" s="85"/>
      <c r="H761" s="114">
        <f>E761*F761</f>
        <v>220000</v>
      </c>
    </row>
    <row r="762" spans="1:8" ht="30" x14ac:dyDescent="0.15">
      <c r="A762" s="277"/>
      <c r="B762" s="122"/>
      <c r="C762" s="123" t="s">
        <v>923</v>
      </c>
      <c r="D762" s="122" t="s">
        <v>606</v>
      </c>
      <c r="E762" s="278"/>
      <c r="F762" s="126"/>
      <c r="G762" s="122"/>
      <c r="H762" s="126">
        <f>H760</f>
        <v>220000</v>
      </c>
    </row>
    <row r="763" spans="1:8" x14ac:dyDescent="0.15">
      <c r="A763" s="276"/>
      <c r="B763" s="85"/>
      <c r="C763" s="86" t="s">
        <v>608</v>
      </c>
      <c r="D763" s="85" t="str">
        <f>""</f>
        <v/>
      </c>
      <c r="E763" s="279"/>
      <c r="F763" s="114"/>
      <c r="G763" s="85"/>
      <c r="H763" s="114"/>
    </row>
    <row r="764" spans="1:8" x14ac:dyDescent="0.15">
      <c r="A764" s="276"/>
      <c r="B764" s="85"/>
      <c r="C764" s="86" t="str">
        <f>"Chi phí chung (T x "&amp;HSXL!C$14&amp;")"</f>
        <v>Chi phí chung (T x 5,5%)</v>
      </c>
      <c r="D764" s="85" t="s">
        <v>603</v>
      </c>
      <c r="E764" s="279" t="str">
        <f>HSXL!C$14</f>
        <v>5,5%</v>
      </c>
      <c r="F764" s="114"/>
      <c r="G764" s="85"/>
      <c r="H764" s="114">
        <f>H762*HSXL!D$14</f>
        <v>12100</v>
      </c>
    </row>
    <row r="765" spans="1:8" ht="45" x14ac:dyDescent="0.15">
      <c r="A765" s="276"/>
      <c r="B765" s="85"/>
      <c r="C765" s="86" t="str">
        <f>"Chi phí nhà tạm để ở và điều hành thi công (T x "&amp;HSXL!C$18&amp;")"</f>
        <v>Chi phí nhà tạm để ở và điều hành thi công (T x 1,1%)</v>
      </c>
      <c r="D765" s="85" t="s">
        <v>611</v>
      </c>
      <c r="E765" s="279" t="str">
        <f>HSXL!C$18</f>
        <v>1,1%</v>
      </c>
      <c r="F765" s="114"/>
      <c r="G765" s="85"/>
      <c r="H765" s="114">
        <f>H762*HSXL!D$18</f>
        <v>2420</v>
      </c>
    </row>
    <row r="766" spans="1:8" ht="60" x14ac:dyDescent="0.15">
      <c r="A766" s="276"/>
      <c r="B766" s="85"/>
      <c r="C766" s="86" t="str">
        <f>"Chi phí một số công việc không xác định được khối lượng từ thiết kế (T x "&amp;HSXL!C$13&amp;")"</f>
        <v>Chi phí một số công việc không xác định được khối lượng từ thiết kế (T x 2%)</v>
      </c>
      <c r="D766" s="85" t="s">
        <v>42</v>
      </c>
      <c r="E766" s="279" t="str">
        <f>HSXL!C$13</f>
        <v>2%</v>
      </c>
      <c r="F766" s="114"/>
      <c r="G766" s="85"/>
      <c r="H766" s="114">
        <f>H762*HSXL!D$13</f>
        <v>4400</v>
      </c>
    </row>
    <row r="767" spans="1:8" ht="30" x14ac:dyDescent="0.15">
      <c r="A767" s="277"/>
      <c r="B767" s="122"/>
      <c r="C767" s="123" t="s">
        <v>924</v>
      </c>
      <c r="D767" s="122" t="s">
        <v>614</v>
      </c>
      <c r="E767" s="278"/>
      <c r="F767" s="126"/>
      <c r="G767" s="122"/>
      <c r="H767" s="126">
        <f>SUM(H764:H766)</f>
        <v>18920</v>
      </c>
    </row>
    <row r="768" spans="1:8" ht="45" x14ac:dyDescent="0.15">
      <c r="A768" s="276"/>
      <c r="B768" s="85"/>
      <c r="C768" s="86" t="str">
        <f>"THU NHẬP CHỊU THUẾ TÍNH TRƯỚC (T+GT) x "&amp;HSXL!C$16</f>
        <v>THU NHẬP CHỊU THUẾ TÍNH TRƯỚC (T+GT) x 5,5%</v>
      </c>
      <c r="D768" s="85" t="s">
        <v>617</v>
      </c>
      <c r="E768" s="279" t="str">
        <f>HSXL!C$16</f>
        <v>5,5%</v>
      </c>
      <c r="F768" s="114"/>
      <c r="G768" s="85"/>
      <c r="H768" s="114">
        <f>(H762+H767)*HSXL!D$16</f>
        <v>13140.6</v>
      </c>
    </row>
    <row r="769" spans="1:8" ht="30" x14ac:dyDescent="0.15">
      <c r="A769" s="276"/>
      <c r="B769" s="85"/>
      <c r="C769" s="86" t="s">
        <v>925</v>
      </c>
      <c r="D769" s="85" t="s">
        <v>619</v>
      </c>
      <c r="E769" s="279"/>
      <c r="F769" s="114"/>
      <c r="G769" s="85"/>
      <c r="H769" s="114">
        <f>H762+H767+H768</f>
        <v>252060.6</v>
      </c>
    </row>
    <row r="770" spans="1:8" ht="30" x14ac:dyDescent="0.15">
      <c r="A770" s="276"/>
      <c r="B770" s="85"/>
      <c r="C770" s="86" t="str">
        <f>"THUẾ GIÁ TRỊ GIA TĂNG (G x "&amp;HSXL!C$17&amp;")"</f>
        <v>THUẾ GIÁ TRỊ GIA TĂNG (G x 8%)</v>
      </c>
      <c r="D770" s="85" t="s">
        <v>623</v>
      </c>
      <c r="E770" s="192">
        <f>HSXL!D$17</f>
        <v>0.08</v>
      </c>
      <c r="F770" s="114"/>
      <c r="G770" s="85"/>
      <c r="H770" s="114">
        <f>E770*H769</f>
        <v>20164.848000000002</v>
      </c>
    </row>
    <row r="771" spans="1:8" ht="30" x14ac:dyDescent="0.15">
      <c r="A771" s="280"/>
      <c r="B771" s="281"/>
      <c r="C771" s="282" t="s">
        <v>926</v>
      </c>
      <c r="D771" s="281" t="s">
        <v>626</v>
      </c>
      <c r="E771" s="283"/>
      <c r="F771" s="284"/>
      <c r="G771" s="281"/>
      <c r="H771" s="285">
        <f>H769+H770</f>
        <v>272225.44800000003</v>
      </c>
    </row>
  </sheetData>
  <mergeCells count="3">
    <mergeCell ref="A1:H1"/>
    <mergeCell ref="A2:H2"/>
    <mergeCell ref="A3:H3"/>
  </mergeCells>
  <pageMargins left="1.1875" right="0" top="0.80208333333333337" bottom="0.80208333333333337" header="0.40625" footer="0.40625"/>
  <pageSetup paperSize="9" orientation="portrait" blackAndWhite="1" verticalDpi="0"/>
  <headerFooter alignWithMargins="0">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98863-7677-DE4F-BAB5-464A8B97DF61}">
  <dimension ref="A1:H4"/>
  <sheetViews>
    <sheetView workbookViewId="0"/>
  </sheetViews>
  <sheetFormatPr baseColWidth="10" defaultColWidth="10" defaultRowHeight="15" customHeight="1" x14ac:dyDescent="0.15"/>
  <cols>
    <col min="1" max="1" width="6.75" style="78" customWidth="1"/>
    <col min="2" max="2" width="50" style="78" customWidth="1"/>
    <col min="3" max="3" width="11.75" style="78" customWidth="1"/>
    <col min="4" max="4" width="28.25" style="78" customWidth="1"/>
    <col min="5" max="6" width="10" style="78" hidden="1" customWidth="1"/>
    <col min="7" max="7" width="10" style="78" customWidth="1"/>
    <col min="8" max="8" width="22.5" style="78" customWidth="1"/>
    <col min="9" max="16384" width="10" style="78"/>
  </cols>
  <sheetData>
    <row r="1" spans="1:8" ht="26.25" customHeight="1" x14ac:dyDescent="0.15">
      <c r="A1" s="313" t="s">
        <v>927</v>
      </c>
      <c r="B1" s="314"/>
      <c r="C1" s="314"/>
      <c r="D1" s="314"/>
      <c r="E1" s="314"/>
      <c r="F1" s="314"/>
      <c r="G1" s="314"/>
      <c r="H1" s="314"/>
    </row>
    <row r="2" spans="1:8" ht="32.25" customHeight="1" x14ac:dyDescent="0.15">
      <c r="A2" s="315" t="str">
        <f>'Công trình'!A2</f>
        <v>CÔNG TRÌNH : XÂY DỰNG HỆ THỐNG CỐNG HỘP KÊNH BẾN KEM ĐOẠN TỪ NHÀ ÔNG CHÍN ĐẾN KÊNH ĐẠI TRÀ 2, XÃ KIẾN MINH</v>
      </c>
      <c r="B2" s="314"/>
      <c r="C2" s="314"/>
      <c r="D2" s="314"/>
      <c r="E2" s="314"/>
      <c r="F2" s="314"/>
      <c r="G2" s="314"/>
      <c r="H2" s="314"/>
    </row>
    <row r="3" spans="1:8" ht="37.5" customHeight="1" x14ac:dyDescent="0.15">
      <c r="A3" s="316" t="str">
        <f>'Công trình'!F6</f>
        <v>HẠNG MỤC 1</v>
      </c>
      <c r="B3" s="314"/>
      <c r="C3" s="314"/>
      <c r="D3" s="314"/>
      <c r="E3" s="314"/>
      <c r="F3" s="314"/>
      <c r="G3" s="314"/>
      <c r="H3" s="314"/>
    </row>
    <row r="4" spans="1:8" ht="30" customHeight="1" x14ac:dyDescent="0.15">
      <c r="A4" s="273" t="s">
        <v>4</v>
      </c>
      <c r="B4" s="273" t="s">
        <v>574</v>
      </c>
      <c r="C4" s="273" t="s">
        <v>422</v>
      </c>
      <c r="D4" s="273" t="s">
        <v>575</v>
      </c>
      <c r="E4" s="273"/>
      <c r="F4" s="273"/>
      <c r="G4" s="273" t="s">
        <v>227</v>
      </c>
      <c r="H4" s="273" t="str">
        <f>"Giá trị_x000D_
"&amp;'Công trình'!AM1</f>
        <v>Giá trị_x000D_
(đ)</v>
      </c>
    </row>
  </sheetData>
  <mergeCells count="3">
    <mergeCell ref="A1:H1"/>
    <mergeCell ref="A2:H2"/>
    <mergeCell ref="A3:H3"/>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0F2EB-4A4D-D44D-91BE-F698510019BF}">
  <dimension ref="A4:O5"/>
  <sheetViews>
    <sheetView workbookViewId="0"/>
  </sheetViews>
  <sheetFormatPr baseColWidth="10" defaultColWidth="10" defaultRowHeight="15" customHeight="1" x14ac:dyDescent="0.15"/>
  <cols>
    <col min="1" max="1" width="5" style="78" customWidth="1"/>
    <col min="2" max="2" width="12.5" style="78" customWidth="1"/>
    <col min="3" max="3" width="29.25" style="78" customWidth="1"/>
    <col min="4" max="4" width="6.75" style="78" customWidth="1"/>
    <col min="5" max="9" width="10" style="78" customWidth="1"/>
    <col min="10" max="14" width="10.75" style="78" customWidth="1"/>
    <col min="15" max="15" width="12.5" style="78" customWidth="1"/>
    <col min="16" max="16384" width="10" style="78"/>
  </cols>
  <sheetData>
    <row r="4" spans="1:15" ht="18.75" customHeight="1" x14ac:dyDescent="0.15">
      <c r="A4" s="385" t="s">
        <v>42</v>
      </c>
      <c r="B4" s="385" t="s">
        <v>224</v>
      </c>
      <c r="C4" s="385" t="s">
        <v>922</v>
      </c>
      <c r="D4" s="385" t="s">
        <v>226</v>
      </c>
      <c r="E4" s="385" t="str">
        <f>"Đơn giá "&amp;'Công trình'!AM1</f>
        <v>Đơn giá (đ)</v>
      </c>
      <c r="F4" s="385"/>
      <c r="G4" s="385"/>
      <c r="H4" s="385"/>
      <c r="I4" s="385"/>
      <c r="J4" s="385" t="str">
        <f>"Thành tiền "&amp;'Công trình'!AM1</f>
        <v>Thành tiền (đ)</v>
      </c>
      <c r="K4" s="385"/>
      <c r="L4" s="385"/>
      <c r="M4" s="385"/>
      <c r="N4" s="385"/>
      <c r="O4" s="385" t="str">
        <f>"Đơn giá_x000D_
tổng hợp_x000D_
"&amp;'Công trình'!AM1</f>
        <v>Đơn giá_x000D_
tổng hợp_x000D_
(đ)</v>
      </c>
    </row>
    <row r="5" spans="1:15" ht="18.75" customHeight="1" x14ac:dyDescent="0.15">
      <c r="A5" s="385"/>
      <c r="B5" s="385"/>
      <c r="C5" s="385"/>
      <c r="D5" s="385"/>
      <c r="E5" s="273" t="s">
        <v>28</v>
      </c>
      <c r="F5" s="273" t="s">
        <v>928</v>
      </c>
      <c r="G5" s="273" t="s">
        <v>918</v>
      </c>
      <c r="H5" s="273" t="s">
        <v>929</v>
      </c>
      <c r="I5" s="273" t="s">
        <v>920</v>
      </c>
      <c r="J5" s="273" t="s">
        <v>28</v>
      </c>
      <c r="K5" s="273" t="s">
        <v>928</v>
      </c>
      <c r="L5" s="273" t="s">
        <v>918</v>
      </c>
      <c r="M5" s="273" t="s">
        <v>929</v>
      </c>
      <c r="N5" s="273" t="s">
        <v>920</v>
      </c>
      <c r="O5" s="385"/>
    </row>
  </sheetData>
  <mergeCells count="7">
    <mergeCell ref="A4:A5"/>
    <mergeCell ref="B4:B5"/>
    <mergeCell ref="C4:C5"/>
    <mergeCell ref="D4:D5"/>
    <mergeCell ref="O4:O5"/>
    <mergeCell ref="E4:I4"/>
    <mergeCell ref="J4:N4"/>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4ABA2-5F32-9A4D-A631-040675A2F0F2}">
  <dimension ref="A1:M53"/>
  <sheetViews>
    <sheetView showZeros="0" topLeftCell="A44" workbookViewId="0">
      <selection activeCell="O51" sqref="O51"/>
    </sheetView>
  </sheetViews>
  <sheetFormatPr baseColWidth="10" defaultColWidth="10" defaultRowHeight="15" customHeight="1" x14ac:dyDescent="0.15"/>
  <cols>
    <col min="1" max="1" width="6.5" style="78" customWidth="1"/>
    <col min="2" max="2" width="12.25" style="78" customWidth="1"/>
    <col min="3" max="3" width="37.5" style="78" customWidth="1"/>
    <col min="4" max="4" width="9.25" style="78" customWidth="1"/>
    <col min="5" max="5" width="13.25" style="78" customWidth="1"/>
    <col min="6" max="8" width="13.25" style="78" hidden="1" customWidth="1"/>
    <col min="9" max="9" width="17.75" style="78" customWidth="1"/>
    <col min="10" max="10" width="19.25" style="78" customWidth="1"/>
    <col min="11" max="12" width="14.25" style="78" hidden="1" customWidth="1"/>
    <col min="13" max="13" width="10" style="78" hidden="1" customWidth="1"/>
    <col min="14" max="16384" width="10" style="78"/>
  </cols>
  <sheetData>
    <row r="1" spans="1:13" ht="26.25" customHeight="1" x14ac:dyDescent="0.15">
      <c r="A1" s="313" t="s">
        <v>930</v>
      </c>
      <c r="B1" s="314"/>
      <c r="C1" s="314"/>
      <c r="D1" s="314"/>
      <c r="E1" s="314"/>
      <c r="F1" s="314"/>
      <c r="G1" s="314"/>
      <c r="H1" s="314"/>
      <c r="I1" s="314"/>
      <c r="J1" s="314"/>
      <c r="K1" s="314"/>
      <c r="L1" s="314"/>
    </row>
    <row r="2" spans="1:13" ht="32.25" customHeight="1" x14ac:dyDescent="0.15">
      <c r="A2" s="315" t="str">
        <f>'Công trình'!A2</f>
        <v>CÔNG TRÌNH : XÂY DỰNG HỆ THỐNG CỐNG HỘP KÊNH BẾN KEM ĐOẠN TỪ NHÀ ÔNG CHÍN ĐẾN KÊNH ĐẠI TRÀ 2, XÃ KIẾN MINH</v>
      </c>
      <c r="B2" s="314"/>
      <c r="C2" s="314"/>
      <c r="D2" s="314"/>
      <c r="E2" s="314"/>
      <c r="F2" s="314"/>
      <c r="G2" s="314"/>
      <c r="H2" s="314"/>
      <c r="I2" s="314"/>
      <c r="J2" s="314"/>
      <c r="K2" s="314"/>
      <c r="L2" s="314"/>
    </row>
    <row r="3" spans="1:13" ht="37.5" customHeight="1" x14ac:dyDescent="0.15">
      <c r="A3" s="316" t="str">
        <f>'Công trình'!F6</f>
        <v>HẠNG MỤC 1</v>
      </c>
      <c r="B3" s="314"/>
      <c r="C3" s="314"/>
      <c r="D3" s="314"/>
      <c r="E3" s="314"/>
      <c r="F3" s="314"/>
      <c r="G3" s="314"/>
      <c r="H3" s="314"/>
      <c r="I3" s="314"/>
      <c r="J3" s="314"/>
      <c r="K3" s="314"/>
      <c r="L3" s="314"/>
    </row>
    <row r="4" spans="1:13" ht="30" customHeight="1" x14ac:dyDescent="0.15">
      <c r="A4" s="79" t="s">
        <v>4</v>
      </c>
      <c r="B4" s="19" t="s">
        <v>224</v>
      </c>
      <c r="C4" s="19" t="s">
        <v>916</v>
      </c>
      <c r="D4" s="19" t="s">
        <v>226</v>
      </c>
      <c r="E4" s="19" t="s">
        <v>17</v>
      </c>
      <c r="F4" s="19" t="str">
        <f>"Vật liệu_x000D_
"&amp;'Công trình'!AM1</f>
        <v>Vật liệu_x000D_
(đ)</v>
      </c>
      <c r="G4" s="19" t="str">
        <f>"Nhân công_x000D_
"&amp;'Công trình'!AM1</f>
        <v>Nhân công_x000D_
(đ)</v>
      </c>
      <c r="H4" s="19" t="str">
        <f>"Máy_x000D_
"&amp;'Công trình'!AM1</f>
        <v>Máy_x000D_
(đ)</v>
      </c>
      <c r="I4" s="19" t="str">
        <f>"Đơn giá_x000D_
"&amp;'Công trình'!AM1</f>
        <v>Đơn giá_x000D_
(đ)</v>
      </c>
      <c r="J4" s="19" t="str">
        <f>"Thành tiền_x000D_
"&amp;'Công trình'!AM1</f>
        <v>Thành tiền_x000D_
(đ)</v>
      </c>
      <c r="K4" s="19"/>
      <c r="L4" s="19"/>
    </row>
    <row r="5" spans="1:13" x14ac:dyDescent="0.15">
      <c r="A5" s="84"/>
      <c r="B5" s="85">
        <f>IF('Công trình'!B7="",'Công trình'!E7,'Công trình'!B7)</f>
        <v>0</v>
      </c>
      <c r="C5" s="86" t="str">
        <f>'Công trình'!F7</f>
        <v>BIỆN PHÁP THI CÔNG</v>
      </c>
      <c r="D5" s="85"/>
      <c r="E5" s="150"/>
      <c r="F5" s="114"/>
      <c r="G5" s="114"/>
      <c r="H5" s="114"/>
      <c r="I5" s="114"/>
      <c r="J5" s="114"/>
      <c r="K5" s="286"/>
      <c r="L5" s="286"/>
    </row>
    <row r="6" spans="1:13" ht="30" x14ac:dyDescent="0.15">
      <c r="A6" s="84">
        <f>'Công trình'!A8</f>
        <v>1</v>
      </c>
      <c r="B6" s="85" t="str">
        <f>'Công trình'!E8</f>
        <v>TT</v>
      </c>
      <c r="C6" s="86" t="str">
        <f>'Công trình'!F8</f>
        <v>Vận chuyển phao chuyến đến và chuyến về</v>
      </c>
      <c r="D6" s="85" t="str">
        <f>'Công trình'!G8</f>
        <v>ca</v>
      </c>
      <c r="E6" s="150">
        <f>'Công trình'!P8</f>
        <v>2</v>
      </c>
      <c r="F6" s="114">
        <f>'Công trình'!Q8+'Công trình'!R8</f>
        <v>0</v>
      </c>
      <c r="G6" s="114">
        <f>'Công trình'!S8</f>
        <v>0</v>
      </c>
      <c r="H6" s="114">
        <f>'Chiết tính'!H$6</f>
        <v>3000000</v>
      </c>
      <c r="I6" s="114">
        <f>'Chiết tính'!H$17</f>
        <v>3712165.2</v>
      </c>
      <c r="J6" s="114">
        <f t="shared" ref="J6:J12" si="0">E6*I6</f>
        <v>7424330.4000000004</v>
      </c>
      <c r="K6" s="286"/>
      <c r="L6" s="286"/>
      <c r="M6" s="78">
        <v>1</v>
      </c>
    </row>
    <row r="7" spans="1:13" ht="60" x14ac:dyDescent="0.15">
      <c r="A7" s="84">
        <f>'Công trình'!A10</f>
        <v>2</v>
      </c>
      <c r="B7" s="85" t="str">
        <f>'Công trình'!E10</f>
        <v>AC.22111</v>
      </c>
      <c r="C7" s="86" t="str">
        <f>'Công trình'!F10</f>
        <v>Đóng cọc ván thép (cừ Larsen) trên cạn bằng máy đóng cọc 1,8T, chiều dài cọc &lt;=12 m, đất cấp I</v>
      </c>
      <c r="D7" s="85" t="str">
        <f>'Công trình'!G10</f>
        <v>100m</v>
      </c>
      <c r="E7" s="150">
        <f>'Công trình'!P10</f>
        <v>48.04</v>
      </c>
      <c r="F7" s="114">
        <f>'Chiết tính'!H$19</f>
        <v>0</v>
      </c>
      <c r="G7" s="114">
        <f>'Chiết tính'!H$23</f>
        <v>1927180</v>
      </c>
      <c r="H7" s="114">
        <f>'Chiết tính'!H$25</f>
        <v>3745379.9401199999</v>
      </c>
      <c r="I7" s="114">
        <f>'Chiết tính'!H$38</f>
        <v>7019159.8682091832</v>
      </c>
      <c r="J7" s="114">
        <f t="shared" si="0"/>
        <v>337200440.06876916</v>
      </c>
      <c r="K7" s="286"/>
      <c r="L7" s="286"/>
      <c r="M7" s="78">
        <v>1</v>
      </c>
    </row>
    <row r="8" spans="1:13" ht="60" x14ac:dyDescent="0.15">
      <c r="A8" s="84">
        <f>'Công trình'!A32</f>
        <v>3</v>
      </c>
      <c r="B8" s="85" t="str">
        <f>'Công trình'!E32</f>
        <v>TT</v>
      </c>
      <c r="C8" s="86" t="str">
        <f>'Công trình'!F32</f>
        <v>Cừ thép thuê 2500 đ/m/ngày dự kiến thi công 6 tháng ; cừ thép luân chuyển sử dung 3 lần</v>
      </c>
      <c r="D8" s="85" t="str">
        <f>'Công trình'!G32</f>
        <v>m</v>
      </c>
      <c r="E8" s="150">
        <f>'Công trình'!P32</f>
        <v>2882.4</v>
      </c>
      <c r="F8" s="114">
        <f>'Chiết tính'!H$40</f>
        <v>2500</v>
      </c>
      <c r="G8" s="114">
        <f>'Công trình'!S32</f>
        <v>0</v>
      </c>
      <c r="H8" s="114">
        <f>'Công trình'!T32</f>
        <v>0</v>
      </c>
      <c r="I8" s="114">
        <f>'Chiết tính'!H$51</f>
        <v>3093.471</v>
      </c>
      <c r="J8" s="114">
        <f t="shared" si="0"/>
        <v>8916620.8103999998</v>
      </c>
      <c r="K8" s="286"/>
      <c r="L8" s="286"/>
      <c r="M8" s="78">
        <v>1</v>
      </c>
    </row>
    <row r="9" spans="1:13" ht="30" x14ac:dyDescent="0.15">
      <c r="A9" s="84">
        <f>'Công trình'!A34</f>
        <v>4</v>
      </c>
      <c r="B9" s="85" t="str">
        <f>'Công trình'!E34</f>
        <v>TT</v>
      </c>
      <c r="C9" s="86" t="str">
        <f>'Công trình'!F34</f>
        <v>Bơm nước thi công cho 5 phân đoạn</v>
      </c>
      <c r="D9" s="85" t="str">
        <f>'Công trình'!G34</f>
        <v>ca</v>
      </c>
      <c r="E9" s="150">
        <f>'Công trình'!P34</f>
        <v>75</v>
      </c>
      <c r="F9" s="114">
        <f>'Công trình'!Q34+'Công trình'!R34</f>
        <v>0</v>
      </c>
      <c r="G9" s="114">
        <f>'Chiết tính'!H$53</f>
        <v>50000</v>
      </c>
      <c r="H9" s="114">
        <f>'Chiết tính'!H$55</f>
        <v>450000</v>
      </c>
      <c r="I9" s="114">
        <f>'Chiết tính'!H$66</f>
        <v>618694.19999999995</v>
      </c>
      <c r="J9" s="114">
        <f t="shared" si="0"/>
        <v>46402065</v>
      </c>
      <c r="K9" s="286"/>
      <c r="L9" s="286"/>
      <c r="M9" s="78">
        <v>1</v>
      </c>
    </row>
    <row r="10" spans="1:13" ht="30" x14ac:dyDescent="0.15">
      <c r="A10" s="84">
        <f>'Công trình'!A36</f>
        <v>5</v>
      </c>
      <c r="B10" s="85" t="str">
        <f>'Công trình'!E36</f>
        <v>TT</v>
      </c>
      <c r="C10" s="86" t="str">
        <f>'Công trình'!F36</f>
        <v>Thuê ván thép chống lầy để xe đi đóng cọc tre hố móng</v>
      </c>
      <c r="D10" s="85" t="str">
        <f>'Công trình'!G36</f>
        <v>đoạn</v>
      </c>
      <c r="E10" s="150">
        <f>'Công trình'!P36</f>
        <v>5</v>
      </c>
      <c r="F10" s="114">
        <f>'Chiết tính'!H$68</f>
        <v>19500000</v>
      </c>
      <c r="G10" s="114">
        <f>'Công trình'!S36</f>
        <v>0</v>
      </c>
      <c r="H10" s="114">
        <f>'Công trình'!T36</f>
        <v>0</v>
      </c>
      <c r="I10" s="114">
        <f>'Chiết tính'!H$79</f>
        <v>24129073.800000001</v>
      </c>
      <c r="J10" s="114">
        <f t="shared" si="0"/>
        <v>120645369</v>
      </c>
      <c r="K10" s="286"/>
      <c r="L10" s="286"/>
      <c r="M10" s="78">
        <v>1</v>
      </c>
    </row>
    <row r="11" spans="1:13" ht="60" x14ac:dyDescent="0.15">
      <c r="A11" s="84">
        <f>'Công trình'!A39</f>
        <v>6</v>
      </c>
      <c r="B11" s="85" t="str">
        <f>'Công trình'!E39</f>
        <v>AC.22111</v>
      </c>
      <c r="C11" s="86" t="str">
        <f>'Công trình'!F39</f>
        <v>Nhổ cọc ván thép (cừ Larsen) trên cạn bằng máy đóng cọc 1,8T, chiều dài cọc &lt;=12 m, đất cấp I</v>
      </c>
      <c r="D11" s="85" t="str">
        <f>'Công trình'!G39</f>
        <v>100m</v>
      </c>
      <c r="E11" s="150">
        <f>'Công trình'!P39</f>
        <v>48.04</v>
      </c>
      <c r="F11" s="114">
        <f>'Chiết tính'!H$81</f>
        <v>0</v>
      </c>
      <c r="G11" s="114">
        <f>'Chiết tính'!H$85</f>
        <v>1927180</v>
      </c>
      <c r="H11" s="114">
        <f>'Chiết tính'!H$87</f>
        <v>3745379.9401199999</v>
      </c>
      <c r="I11" s="114">
        <f>'Chiết tính'!H$100</f>
        <v>7019159.8682091832</v>
      </c>
      <c r="J11" s="114">
        <f t="shared" si="0"/>
        <v>337200440.06876916</v>
      </c>
      <c r="K11" s="286"/>
      <c r="L11" s="286"/>
      <c r="M11" s="78">
        <v>1</v>
      </c>
    </row>
    <row r="12" spans="1:13" ht="30" x14ac:dyDescent="0.15">
      <c r="A12" s="84">
        <f>'Công trình'!A41</f>
        <v>7</v>
      </c>
      <c r="B12" s="85" t="str">
        <f>'Công trình'!E41</f>
        <v>AL.16121</v>
      </c>
      <c r="C12" s="86" t="str">
        <f>'Công trình'!F41</f>
        <v>Rải vải địa kỹ thuật làm nền đường, mái đê, đập</v>
      </c>
      <c r="D12" s="85" t="str">
        <f>'Công trình'!G41</f>
        <v>100m2</v>
      </c>
      <c r="E12" s="150">
        <f>'Công trình'!P41</f>
        <v>1.44</v>
      </c>
      <c r="F12" s="114">
        <f>'Chiết tính'!H$102</f>
        <v>1094184</v>
      </c>
      <c r="G12" s="114">
        <f>'Chiết tính'!H$106</f>
        <v>340430</v>
      </c>
      <c r="H12" s="114">
        <f>'Công trình'!T41</f>
        <v>0</v>
      </c>
      <c r="I12" s="114">
        <f>'Chiết tính'!H$117</f>
        <v>1775174.7220776</v>
      </c>
      <c r="J12" s="114">
        <f t="shared" si="0"/>
        <v>2556251.5997917438</v>
      </c>
      <c r="K12" s="286"/>
      <c r="L12" s="286"/>
      <c r="M12" s="78">
        <v>1</v>
      </c>
    </row>
    <row r="13" spans="1:13" ht="30" x14ac:dyDescent="0.15">
      <c r="A13" s="84"/>
      <c r="B13" s="85">
        <f>IF('Công trình'!B43="",'Công trình'!E43,'Công trình'!B43)</f>
        <v>0</v>
      </c>
      <c r="C13" s="86" t="str">
        <f>'Công trình'!F43</f>
        <v>2.THI CÔNG PHÂN ĐOẠN 1+2+3+4+5</v>
      </c>
      <c r="D13" s="85"/>
      <c r="E13" s="150"/>
      <c r="F13" s="114"/>
      <c r="G13" s="114"/>
      <c r="H13" s="114"/>
      <c r="I13" s="114"/>
      <c r="J13" s="114"/>
      <c r="K13" s="286"/>
      <c r="L13" s="286"/>
    </row>
    <row r="14" spans="1:13" ht="45" x14ac:dyDescent="0.15">
      <c r="A14" s="84">
        <f>'Công trình'!A44</f>
        <v>8</v>
      </c>
      <c r="B14" s="85" t="str">
        <f>'Công trình'!E44</f>
        <v>AA.12111</v>
      </c>
      <c r="C14" s="86" t="str">
        <f>'Công trình'!F44</f>
        <v>Chặt cây ở địa hình bằng phẳng bằng máy cưa, đường kính gốc cây &lt;= 20cm</v>
      </c>
      <c r="D14" s="85" t="str">
        <f>'Công trình'!G44</f>
        <v>cây</v>
      </c>
      <c r="E14" s="150">
        <f>'Công trình'!P44</f>
        <v>20</v>
      </c>
      <c r="F14" s="114">
        <f>'Công trình'!Q44+'Công trình'!R44</f>
        <v>0</v>
      </c>
      <c r="G14" s="114">
        <f>'Chiết tính'!H$119</f>
        <v>17059</v>
      </c>
      <c r="H14" s="114">
        <f>'Chiết tính'!H$121</f>
        <v>1628.1200000000001</v>
      </c>
      <c r="I14" s="114">
        <f>'Chiết tính'!H$132</f>
        <v>23123.225517407998</v>
      </c>
      <c r="J14" s="114">
        <f>E14*I14</f>
        <v>462464.51034815994</v>
      </c>
      <c r="K14" s="286"/>
      <c r="L14" s="286"/>
      <c r="M14" s="78">
        <v>1</v>
      </c>
    </row>
    <row r="15" spans="1:13" x14ac:dyDescent="0.15">
      <c r="A15" s="84"/>
      <c r="B15" s="85">
        <f>IF('Công trình'!B46="",'Công trình'!E46,'Công trình'!B46)</f>
        <v>0</v>
      </c>
      <c r="C15" s="86" t="str">
        <f>'Công trình'!F46</f>
        <v>PHẦN MÓNG</v>
      </c>
      <c r="D15" s="85"/>
      <c r="E15" s="150"/>
      <c r="F15" s="114"/>
      <c r="G15" s="114"/>
      <c r="H15" s="114"/>
      <c r="I15" s="114"/>
      <c r="J15" s="114"/>
      <c r="K15" s="286"/>
      <c r="L15" s="286"/>
    </row>
    <row r="16" spans="1:13" ht="45" x14ac:dyDescent="0.15">
      <c r="A16" s="84">
        <f>'Công trình'!A47</f>
        <v>9</v>
      </c>
      <c r="B16" s="85" t="str">
        <f>'Công trình'!E47</f>
        <v>AB.36120</v>
      </c>
      <c r="C16" s="86" t="str">
        <f>'Công trình'!F47</f>
        <v>Xói hút bùn trong khung vây phòng nước, các trụ dưới nước</v>
      </c>
      <c r="D16" s="85" t="str">
        <f>'Công trình'!G47</f>
        <v>m3</v>
      </c>
      <c r="E16" s="150">
        <f>'Công trình'!P47</f>
        <v>1152.9000000000001</v>
      </c>
      <c r="F16" s="114">
        <f>'Chiết tính'!H$134</f>
        <v>5013.75</v>
      </c>
      <c r="G16" s="114">
        <f>'Chiết tính'!H$140</f>
        <v>82858</v>
      </c>
      <c r="H16" s="114">
        <f>'Chiết tính'!H$142</f>
        <v>640080.94799999997</v>
      </c>
      <c r="I16" s="114">
        <f>'Chiết tính'!H$159</f>
        <v>900760.22425390314</v>
      </c>
      <c r="J16" s="114">
        <f t="shared" ref="J16:J27" si="1">E16*I16</f>
        <v>1038486462.542325</v>
      </c>
      <c r="K16" s="286"/>
      <c r="L16" s="286"/>
      <c r="M16" s="78">
        <v>1</v>
      </c>
    </row>
    <row r="17" spans="1:13" ht="45" x14ac:dyDescent="0.15">
      <c r="A17" s="84">
        <f>'Công trình'!A49</f>
        <v>10</v>
      </c>
      <c r="B17" s="85" t="str">
        <f>'Công trình'!E49</f>
        <v>AB.25211</v>
      </c>
      <c r="C17" s="86" t="str">
        <f>'Công trình'!F49</f>
        <v>Đào móng công trình, chiều rộng móng &lt;= 10m, bằng máy đào 0,8m3, đất cấp I</v>
      </c>
      <c r="D17" s="85" t="str">
        <f>'Công trình'!G49</f>
        <v>100m3</v>
      </c>
      <c r="E17" s="150">
        <f>'Công trình'!P49</f>
        <v>4.8853</v>
      </c>
      <c r="F17" s="114">
        <f>'Công trình'!Q49+'Công trình'!R49</f>
        <v>0</v>
      </c>
      <c r="G17" s="114">
        <f>'Chiết tính'!H$161</f>
        <v>419164</v>
      </c>
      <c r="H17" s="114">
        <f>'Chiết tính'!H$163</f>
        <v>768147.78599999996</v>
      </c>
      <c r="I17" s="114">
        <f>'Chiết tính'!H$174</f>
        <v>1469165.8311796822</v>
      </c>
      <c r="J17" s="114">
        <f t="shared" si="1"/>
        <v>7177315.8350621015</v>
      </c>
      <c r="K17" s="286"/>
      <c r="L17" s="286"/>
      <c r="M17" s="78">
        <v>1</v>
      </c>
    </row>
    <row r="18" spans="1:13" ht="30" x14ac:dyDescent="0.15">
      <c r="A18" s="84">
        <f>'Công trình'!A51</f>
        <v>11</v>
      </c>
      <c r="B18" s="85" t="str">
        <f>'Công trình'!E51</f>
        <v>AB.24131</v>
      </c>
      <c r="C18" s="86" t="str">
        <f>'Công trình'!F51</f>
        <v>Đào xúc đất bằng máy đào 1,25m3, đất cấp I</v>
      </c>
      <c r="D18" s="85" t="str">
        <f>'Công trình'!G51</f>
        <v>100m3</v>
      </c>
      <c r="E18" s="150">
        <f>'Công trình'!P51</f>
        <v>16.414300000000001</v>
      </c>
      <c r="F18" s="114">
        <f>'Công trình'!Q51+'Công trình'!R51</f>
        <v>0</v>
      </c>
      <c r="G18" s="114">
        <f>'Chiết tính'!H$176</f>
        <v>90169</v>
      </c>
      <c r="H18" s="114">
        <f>'Chiết tính'!H$178</f>
        <v>638319.02</v>
      </c>
      <c r="I18" s="114">
        <f>'Chiết tính'!H$191</f>
        <v>901422.62548696797</v>
      </c>
      <c r="J18" s="114">
        <f t="shared" si="1"/>
        <v>14796221.401530739</v>
      </c>
      <c r="K18" s="286"/>
      <c r="L18" s="286"/>
      <c r="M18" s="78">
        <v>1</v>
      </c>
    </row>
    <row r="19" spans="1:13" ht="45" x14ac:dyDescent="0.15">
      <c r="A19" s="84">
        <f>'Công trình'!A53</f>
        <v>12</v>
      </c>
      <c r="B19" s="85" t="str">
        <f>'Công trình'!E53</f>
        <v>AB.41411</v>
      </c>
      <c r="C19" s="86" t="str">
        <f>'Công trình'!F53</f>
        <v>Vận chuyển đất bằng ôtô tự đổ 5 tấn trong phạm vi &lt;= 1000m, đất cấp I</v>
      </c>
      <c r="D19" s="85" t="str">
        <f>'Công trình'!G53</f>
        <v>100m3</v>
      </c>
      <c r="E19" s="150">
        <f>'Công trình'!P53</f>
        <v>16.414000000000001</v>
      </c>
      <c r="F19" s="114">
        <f>'Công trình'!Q53+'Công trình'!R53</f>
        <v>0</v>
      </c>
      <c r="G19" s="114">
        <f>'Công trình'!S53</f>
        <v>0</v>
      </c>
      <c r="H19" s="114">
        <f>'Chiết tính'!H$193</f>
        <v>1716330.15</v>
      </c>
      <c r="I19" s="114">
        <f>'Chiết tính'!H$204</f>
        <v>2123767.0181802595</v>
      </c>
      <c r="J19" s="114">
        <f t="shared" si="1"/>
        <v>34859511.836410783</v>
      </c>
      <c r="K19" s="286"/>
      <c r="L19" s="286"/>
      <c r="M19" s="78">
        <v>1</v>
      </c>
    </row>
    <row r="20" spans="1:13" ht="45" x14ac:dyDescent="0.15">
      <c r="A20" s="84">
        <f>'Công trình'!A55</f>
        <v>13</v>
      </c>
      <c r="B20" s="85" t="str">
        <f>'Công trình'!E55</f>
        <v>AB.42111</v>
      </c>
      <c r="C20" s="86" t="str">
        <f>'Công trình'!F55</f>
        <v>Vận chuyển đất bằng ô tô tự đổ 5T 1km tiếp theo trong phạm vi &lt;= 5km, đất cấp I</v>
      </c>
      <c r="D20" s="85" t="str">
        <f>'Công trình'!G55</f>
        <v>100m3</v>
      </c>
      <c r="E20" s="150">
        <f>'Công trình'!P55</f>
        <v>16.414000000000001</v>
      </c>
      <c r="F20" s="114">
        <f>'Công trình'!Q55+'Công trình'!R55</f>
        <v>0</v>
      </c>
      <c r="G20" s="114">
        <f>'Công trình'!S55</f>
        <v>0</v>
      </c>
      <c r="H20" s="114">
        <f>'Chiết tính'!H$206</f>
        <v>3164017.3200000003</v>
      </c>
      <c r="I20" s="114">
        <f>'Chiết tính'!H$217</f>
        <v>3915118.3291670885</v>
      </c>
      <c r="J20" s="114">
        <f t="shared" si="1"/>
        <v>64262752.254948594</v>
      </c>
      <c r="K20" s="286"/>
      <c r="L20" s="286"/>
      <c r="M20" s="78">
        <v>1</v>
      </c>
    </row>
    <row r="21" spans="1:13" ht="45" x14ac:dyDescent="0.15">
      <c r="A21" s="84">
        <f>'Công trình'!A57</f>
        <v>14</v>
      </c>
      <c r="B21" s="85" t="str">
        <f>'Công trình'!E57</f>
        <v>AC.11121</v>
      </c>
      <c r="C21" s="86" t="str">
        <f>'Công trình'!F57</f>
        <v>Đóng cọc tre bằng thủ công, chiều dài cọc &gt; 2,5m vào đất cấp I</v>
      </c>
      <c r="D21" s="85" t="str">
        <f>'Công trình'!G57</f>
        <v>100m</v>
      </c>
      <c r="E21" s="150">
        <f>'Công trình'!P57</f>
        <v>456.875</v>
      </c>
      <c r="F21" s="114">
        <f>'Chiết tính'!H$219</f>
        <v>590499</v>
      </c>
      <c r="G21" s="114">
        <f>'Chiết tính'!H$225</f>
        <v>532876</v>
      </c>
      <c r="H21" s="114">
        <f>'Công trình'!T57</f>
        <v>0</v>
      </c>
      <c r="I21" s="114">
        <f>'Chiết tính'!H$236</f>
        <v>1390051.1938499999</v>
      </c>
      <c r="J21" s="114">
        <f t="shared" si="1"/>
        <v>635079639.19021869</v>
      </c>
      <c r="K21" s="286"/>
      <c r="L21" s="286"/>
      <c r="M21" s="78">
        <v>1</v>
      </c>
    </row>
    <row r="22" spans="1:13" ht="45" x14ac:dyDescent="0.15">
      <c r="A22" s="84">
        <f>'Công trình'!A59</f>
        <v>15</v>
      </c>
      <c r="B22" s="85" t="str">
        <f>'Công trình'!E59</f>
        <v>AB.13411</v>
      </c>
      <c r="C22" s="86" t="str">
        <f>'Công trình'!F59</f>
        <v>Đắp cát công trình bằng thủ công, đắp nền móng công trình</v>
      </c>
      <c r="D22" s="85" t="str">
        <f>'Công trình'!G59</f>
        <v>m3</v>
      </c>
      <c r="E22" s="150">
        <f>'Công trình'!P59</f>
        <v>73.099999999999994</v>
      </c>
      <c r="F22" s="114">
        <f>'Chiết tính'!H$238</f>
        <v>348432</v>
      </c>
      <c r="G22" s="114">
        <f>'Chiết tính'!H$242</f>
        <v>109665</v>
      </c>
      <c r="H22" s="114">
        <f>'Công trình'!T59</f>
        <v>0</v>
      </c>
      <c r="I22" s="114">
        <f>'Chiết tính'!H$253</f>
        <v>566843.91387479997</v>
      </c>
      <c r="J22" s="114">
        <f t="shared" si="1"/>
        <v>41436290.104247876</v>
      </c>
      <c r="K22" s="286"/>
      <c r="L22" s="286"/>
      <c r="M22" s="78">
        <v>1</v>
      </c>
    </row>
    <row r="23" spans="1:13" ht="30" x14ac:dyDescent="0.15">
      <c r="A23" s="84">
        <f>'Công trình'!A61</f>
        <v>16</v>
      </c>
      <c r="B23" s="85" t="str">
        <f>'Công trình'!E61</f>
        <v>AF.82511</v>
      </c>
      <c r="C23" s="86" t="str">
        <f>'Công trình'!F61</f>
        <v>Ván khuôn thép. Ván khuôn móng dài</v>
      </c>
      <c r="D23" s="85" t="str">
        <f>'Công trình'!G61</f>
        <v>100m2</v>
      </c>
      <c r="E23" s="150">
        <f>'Công trình'!P61</f>
        <v>0.46400000000000002</v>
      </c>
      <c r="F23" s="114">
        <f>'Chiết tính'!H$255</f>
        <v>1740379.2</v>
      </c>
      <c r="G23" s="114">
        <f>'Chiết tính'!H$261</f>
        <v>3836700</v>
      </c>
      <c r="H23" s="114">
        <f>'Chiết tính'!H$263</f>
        <v>374276.45399999997</v>
      </c>
      <c r="I23" s="114">
        <f>'Chiết tính'!H$276</f>
        <v>7364138.450534014</v>
      </c>
      <c r="J23" s="114">
        <f t="shared" si="1"/>
        <v>3416960.2410477828</v>
      </c>
      <c r="K23" s="286"/>
      <c r="L23" s="286"/>
      <c r="M23" s="78">
        <v>1</v>
      </c>
    </row>
    <row r="24" spans="1:13" ht="60" x14ac:dyDescent="0.15">
      <c r="A24" s="84">
        <f>'Công trình'!A63</f>
        <v>17</v>
      </c>
      <c r="B24" s="85" t="str">
        <f>'Công trình'!E63</f>
        <v>AF.11211A</v>
      </c>
      <c r="C24" s="86" t="str">
        <f>'Công trình'!F63</f>
        <v>Đổ bê tông thủ công bằng máy trộn, bê tông móng, chiều rộng &lt;= 250 cm, đá 1x2, mác 100, PCB30</v>
      </c>
      <c r="D24" s="85" t="str">
        <f>'Công trình'!G63</f>
        <v>m3</v>
      </c>
      <c r="E24" s="150">
        <f>'Công trình'!P63</f>
        <v>73.099999999999994</v>
      </c>
      <c r="F24" s="114">
        <f>'Chiết tính'!H$278</f>
        <v>1211123.44625</v>
      </c>
      <c r="G24" s="114">
        <f>'Chiết tính'!H$285</f>
        <v>324474</v>
      </c>
      <c r="H24" s="114">
        <f>'Chiết tính'!H$287</f>
        <v>59923.404999999999</v>
      </c>
      <c r="I24" s="114">
        <f>'Chiết tính'!H$300</f>
        <v>1974278.9932948756</v>
      </c>
      <c r="J24" s="114">
        <f t="shared" si="1"/>
        <v>144319794.4098554</v>
      </c>
      <c r="K24" s="286"/>
      <c r="L24" s="286"/>
      <c r="M24" s="78">
        <v>1</v>
      </c>
    </row>
    <row r="25" spans="1:13" ht="60" x14ac:dyDescent="0.15">
      <c r="A25" s="84">
        <f>'Công trình'!A65</f>
        <v>18</v>
      </c>
      <c r="B25" s="85" t="str">
        <f>'Công trình'!E65</f>
        <v>AF.61120</v>
      </c>
      <c r="C25" s="86" t="str">
        <f>'Công trình'!F65</f>
        <v>Công tác gia công lắp dựng cốt thép. Cốt thép móng, đường kính cốt thép &lt;= 18mm</v>
      </c>
      <c r="D25" s="85" t="str">
        <f>'Công trình'!G65</f>
        <v>tấn</v>
      </c>
      <c r="E25" s="150">
        <f>'Công trình'!P65</f>
        <v>10.3291</v>
      </c>
      <c r="F25" s="114">
        <f>'Chiết tính'!H$302</f>
        <v>15295600</v>
      </c>
      <c r="G25" s="114">
        <f>'Chiết tính'!H$307</f>
        <v>2212795</v>
      </c>
      <c r="H25" s="114">
        <f>'Chiết tính'!H$309</f>
        <v>599562.72000000009</v>
      </c>
      <c r="I25" s="114">
        <f>'Chiết tính'!H$322</f>
        <v>22406576.830418445</v>
      </c>
      <c r="J25" s="114">
        <f t="shared" si="1"/>
        <v>231439772.73907518</v>
      </c>
      <c r="K25" s="286"/>
      <c r="L25" s="286"/>
      <c r="M25" s="78">
        <v>1</v>
      </c>
    </row>
    <row r="26" spans="1:13" ht="30" x14ac:dyDescent="0.15">
      <c r="A26" s="84">
        <f>'Công trình'!A67</f>
        <v>19</v>
      </c>
      <c r="B26" s="85" t="str">
        <f>'Công trình'!E67</f>
        <v>AF.82511</v>
      </c>
      <c r="C26" s="86" t="str">
        <f>'Công trình'!F67</f>
        <v>Ván khuôn thép. Ván khuôn móng dài</v>
      </c>
      <c r="D26" s="85" t="str">
        <f>'Công trình'!G67</f>
        <v>100m2</v>
      </c>
      <c r="E26" s="150">
        <f>'Công trình'!P67</f>
        <v>1.1599999999999999</v>
      </c>
      <c r="F26" s="114">
        <f>'Chiết tính'!H$324</f>
        <v>1740379.2</v>
      </c>
      <c r="G26" s="114">
        <f>'Chiết tính'!H$330</f>
        <v>3836700</v>
      </c>
      <c r="H26" s="114">
        <f>'Chiết tính'!H$332</f>
        <v>374276.45399999997</v>
      </c>
      <c r="I26" s="114">
        <f>'Chiết tính'!H$345</f>
        <v>7364138.450534014</v>
      </c>
      <c r="J26" s="114">
        <f t="shared" si="1"/>
        <v>8542400.6026194561</v>
      </c>
      <c r="K26" s="286"/>
      <c r="L26" s="286"/>
      <c r="M26" s="78">
        <v>1</v>
      </c>
    </row>
    <row r="27" spans="1:13" ht="60" x14ac:dyDescent="0.15">
      <c r="A27" s="84">
        <f>'Công trình'!A69</f>
        <v>20</v>
      </c>
      <c r="B27" s="85" t="str">
        <f>'Công trình'!E69</f>
        <v>AF.11214A</v>
      </c>
      <c r="C27" s="86" t="str">
        <f>'Công trình'!F69</f>
        <v>Đổ bê tông thủ công bằng máy trộn, bê tông móng, chiều rộng &lt;= 250 cm, đá 1x2, mác 250, PCB30</v>
      </c>
      <c r="D27" s="85" t="str">
        <f>'Công trình'!G69</f>
        <v>m3</v>
      </c>
      <c r="E27" s="150">
        <f>'Công trình'!P69</f>
        <v>182.75</v>
      </c>
      <c r="F27" s="114">
        <f>'Chiết tính'!H$347</f>
        <v>1394384.4364999998</v>
      </c>
      <c r="G27" s="114">
        <f>'Chiết tính'!H$354</f>
        <v>324474</v>
      </c>
      <c r="H27" s="114">
        <f>'Chiết tính'!H$356</f>
        <v>59923.404999999999</v>
      </c>
      <c r="I27" s="114">
        <f>'Chiết tính'!H$369</f>
        <v>2201044.0168027384</v>
      </c>
      <c r="J27" s="114">
        <f t="shared" si="1"/>
        <v>402240794.07070047</v>
      </c>
      <c r="K27" s="286"/>
      <c r="L27" s="286"/>
      <c r="M27" s="78">
        <v>1</v>
      </c>
    </row>
    <row r="28" spans="1:13" x14ac:dyDescent="0.15">
      <c r="A28" s="84"/>
      <c r="B28" s="85">
        <f>IF('Công trình'!B71="",'Công trình'!E71,'Công trình'!B71)</f>
        <v>0</v>
      </c>
      <c r="C28" s="86" t="str">
        <f>'Công trình'!F71</f>
        <v>TƯỜNG CỐNG</v>
      </c>
      <c r="D28" s="85"/>
      <c r="E28" s="150"/>
      <c r="F28" s="114"/>
      <c r="G28" s="114"/>
      <c r="H28" s="114"/>
      <c r="I28" s="114"/>
      <c r="J28" s="114"/>
      <c r="K28" s="286"/>
      <c r="L28" s="286"/>
    </row>
    <row r="29" spans="1:13" ht="60" x14ac:dyDescent="0.15">
      <c r="A29" s="84">
        <f>'Công trình'!A72</f>
        <v>21</v>
      </c>
      <c r="B29" s="85" t="str">
        <f>'Công trình'!E72</f>
        <v>AF.61311</v>
      </c>
      <c r="C29" s="86" t="str">
        <f>'Công trình'!F72</f>
        <v>Công tác gia công lắp dựng cốt thép. Cốt thép tường, đường kính cốt thép &lt;= 10mm, chiều cao &lt;= 6m</v>
      </c>
      <c r="D29" s="85" t="str">
        <f>'Công trình'!G72</f>
        <v>tấn</v>
      </c>
      <c r="E29" s="150">
        <f>'Công trình'!P72</f>
        <v>22.322500000000002</v>
      </c>
      <c r="F29" s="114">
        <f>'Chiết tính'!H$371</f>
        <v>15094900</v>
      </c>
      <c r="G29" s="114">
        <f>'Chiết tính'!H$375</f>
        <v>3736075</v>
      </c>
      <c r="H29" s="114">
        <f>'Chiết tính'!H$377</f>
        <v>122974.40000000001</v>
      </c>
      <c r="I29" s="114">
        <f>'Chiết tính'!H$388</f>
        <v>23453397.121746957</v>
      </c>
      <c r="J29" s="114">
        <f>E29*I29</f>
        <v>523538457.25019652</v>
      </c>
      <c r="K29" s="286"/>
      <c r="L29" s="286"/>
      <c r="M29" s="78">
        <v>1</v>
      </c>
    </row>
    <row r="30" spans="1:13" ht="60" x14ac:dyDescent="0.15">
      <c r="A30" s="84">
        <f>'Công trình'!A74</f>
        <v>22</v>
      </c>
      <c r="B30" s="85" t="str">
        <f>'Công trình'!E74</f>
        <v>AF.86211</v>
      </c>
      <c r="C30" s="86" t="str">
        <f>'Công trình'!F74</f>
        <v>Ván khuôn thép, khung xương thép, cột chống bằng thép ống. Ván khuôn tường, chiều cao &lt;= 28m</v>
      </c>
      <c r="D30" s="85" t="str">
        <f>'Công trình'!G74</f>
        <v>100m2</v>
      </c>
      <c r="E30" s="150">
        <f>'Công trình'!P74</f>
        <v>21.625</v>
      </c>
      <c r="F30" s="114">
        <f>'Chiết tính'!H$390</f>
        <v>2639371.8854999999</v>
      </c>
      <c r="G30" s="114">
        <f>'Chiết tính'!H$397</f>
        <v>8926200</v>
      </c>
      <c r="H30" s="114">
        <f>'Chiết tính'!H$399</f>
        <v>1171482.0156</v>
      </c>
      <c r="I30" s="114">
        <f>'Chiết tính'!H$414</f>
        <v>15760682.747395884</v>
      </c>
      <c r="J30" s="114">
        <f>E30*I30</f>
        <v>340824764.41243601</v>
      </c>
      <c r="K30" s="286"/>
      <c r="L30" s="286"/>
      <c r="M30" s="78">
        <v>1</v>
      </c>
    </row>
    <row r="31" spans="1:13" ht="75" x14ac:dyDescent="0.15">
      <c r="A31" s="84">
        <f>'Công trình'!A76</f>
        <v>23</v>
      </c>
      <c r="B31" s="85" t="str">
        <f>'Công trình'!E76</f>
        <v>AF.12114A</v>
      </c>
      <c r="C31" s="86" t="str">
        <f>'Công trình'!F76</f>
        <v>Đổ bê tông thủ công bằng máy trộn, bê tông tường chiều dày &lt;= 45cm, chiều cao &lt;= 6m, đá 1x2, mác 250, PCB30</v>
      </c>
      <c r="D31" s="85" t="str">
        <f>'Công trình'!G76</f>
        <v>m3</v>
      </c>
      <c r="E31" s="150">
        <f>'Công trình'!P76</f>
        <v>280.1925</v>
      </c>
      <c r="F31" s="114">
        <f>'Chiết tính'!H$416</f>
        <v>1449607.5825</v>
      </c>
      <c r="G31" s="114">
        <f>'Chiết tính'!H$423</f>
        <v>718365.00000000012</v>
      </c>
      <c r="H31" s="114">
        <f>'Chiết tính'!H$425</f>
        <v>87466.83</v>
      </c>
      <c r="I31" s="114">
        <f>'Chiết tính'!H$438</f>
        <v>2790854.5659303153</v>
      </c>
      <c r="J31" s="114">
        <f>E31*I31</f>
        <v>781976517.96442986</v>
      </c>
      <c r="K31" s="286"/>
      <c r="L31" s="286"/>
      <c r="M31" s="78">
        <v>1</v>
      </c>
    </row>
    <row r="32" spans="1:13" x14ac:dyDescent="0.15">
      <c r="A32" s="84">
        <f>'Công trình'!A78</f>
        <v>24</v>
      </c>
      <c r="B32" s="85" t="str">
        <f>'Công trình'!E78</f>
        <v>TT</v>
      </c>
      <c r="C32" s="86" t="str">
        <f>'Công trình'!F78</f>
        <v>Băng cản nước</v>
      </c>
      <c r="D32" s="85" t="str">
        <f>'Công trình'!G78</f>
        <v>m2</v>
      </c>
      <c r="E32" s="150">
        <f>'Công trình'!P78</f>
        <v>207.55</v>
      </c>
      <c r="F32" s="114">
        <f>'Chiết tính'!H$440</f>
        <v>300000</v>
      </c>
      <c r="G32" s="114">
        <f>'Công trình'!S78</f>
        <v>0</v>
      </c>
      <c r="H32" s="114">
        <f>'Công trình'!T78</f>
        <v>0</v>
      </c>
      <c r="I32" s="114">
        <f>'Chiết tính'!H$451</f>
        <v>371216.52</v>
      </c>
      <c r="J32" s="114">
        <f>E32*I32</f>
        <v>77045988.726000011</v>
      </c>
      <c r="K32" s="286"/>
      <c r="L32" s="286"/>
      <c r="M32" s="78">
        <v>1</v>
      </c>
    </row>
    <row r="33" spans="1:13" x14ac:dyDescent="0.15">
      <c r="A33" s="84"/>
      <c r="B33" s="85">
        <f>IF('Công trình'!B80="",'Công trình'!E80,'Công trình'!B80)</f>
        <v>0</v>
      </c>
      <c r="C33" s="86" t="str">
        <f>'Công trình'!F80</f>
        <v>BẢN MẶT CỐNG</v>
      </c>
      <c r="D33" s="85"/>
      <c r="E33" s="150"/>
      <c r="F33" s="114"/>
      <c r="G33" s="114"/>
      <c r="H33" s="114"/>
      <c r="I33" s="114"/>
      <c r="J33" s="114"/>
      <c r="K33" s="286"/>
      <c r="L33" s="286"/>
    </row>
    <row r="34" spans="1:13" ht="60" x14ac:dyDescent="0.15">
      <c r="A34" s="84">
        <f>'Công trình'!A81</f>
        <v>25</v>
      </c>
      <c r="B34" s="85" t="str">
        <f>'Công trình'!E81</f>
        <v>AF.86111</v>
      </c>
      <c r="C34" s="86" t="str">
        <f>'Công trình'!F81</f>
        <v>Ván khuôn thép, khung xương thép, cột chống bằng thép ống. Ván khuôn sàn mái, chiều cao &lt;= 28m</v>
      </c>
      <c r="D34" s="85" t="str">
        <f>'Công trình'!G81</f>
        <v>100m2</v>
      </c>
      <c r="E34" s="150">
        <f>'Công trình'!P81</f>
        <v>6.5350000000000001</v>
      </c>
      <c r="F34" s="114">
        <f>'Chiết tính'!H$453</f>
        <v>2449811.7524999999</v>
      </c>
      <c r="G34" s="114">
        <f>'Chiết tính'!H$460</f>
        <v>6264000</v>
      </c>
      <c r="H34" s="114">
        <f>'Chiết tính'!H$462</f>
        <v>1171482.0156</v>
      </c>
      <c r="I34" s="114">
        <f>'Chiết tính'!H$477</f>
        <v>12231947.839239229</v>
      </c>
      <c r="J34" s="114">
        <f>E34*I34</f>
        <v>79935779.129428357</v>
      </c>
      <c r="K34" s="286"/>
      <c r="L34" s="286"/>
      <c r="M34" s="78">
        <v>1</v>
      </c>
    </row>
    <row r="35" spans="1:13" ht="60" x14ac:dyDescent="0.15">
      <c r="A35" s="84">
        <f>'Công trình'!A83</f>
        <v>26</v>
      </c>
      <c r="B35" s="85" t="str">
        <f>'Công trình'!E83</f>
        <v>AF.61711</v>
      </c>
      <c r="C35" s="86" t="str">
        <f>'Công trình'!F83</f>
        <v>Công tác gia công lắp dựng cốt thép. Cốt thép sàn mái, đường kính cốt thép &lt;=10mm, chiều cao &lt;= 28m</v>
      </c>
      <c r="D35" s="85" t="str">
        <f>'Công trình'!G83</f>
        <v>tấn</v>
      </c>
      <c r="E35" s="150">
        <f>'Công trình'!P83</f>
        <v>9.3035999999999994</v>
      </c>
      <c r="F35" s="114">
        <f>'Chiết tính'!H$479</f>
        <v>15094900</v>
      </c>
      <c r="G35" s="114">
        <f>'Chiết tính'!H$483</f>
        <v>4010150</v>
      </c>
      <c r="H35" s="114">
        <f>'Chiết tính'!H$485</f>
        <v>194401.46646</v>
      </c>
      <c r="I35" s="114">
        <f>'Chiết tính'!H$500</f>
        <v>23880917.370960593</v>
      </c>
      <c r="J35" s="114">
        <f>E35*I35</f>
        <v>222178502.85246897</v>
      </c>
      <c r="K35" s="286"/>
      <c r="L35" s="286"/>
      <c r="M35" s="78">
        <v>1</v>
      </c>
    </row>
    <row r="36" spans="1:13" ht="75" x14ac:dyDescent="0.15">
      <c r="A36" s="84">
        <f>'Công trình'!A85</f>
        <v>27</v>
      </c>
      <c r="B36" s="85" t="str">
        <f>'Công trình'!E85</f>
        <v>AF.22314A</v>
      </c>
      <c r="C36" s="86" t="str">
        <f>'Công trình'!F85</f>
        <v>Đổ bê tông bằng máy, đổ bằng cần cẩu, bê tông xà dầm, giằng, sàn mái, chiều cao &lt;= 6m, đá 1x2, mác 250, PCB30</v>
      </c>
      <c r="D36" s="85" t="str">
        <f>'Công trình'!G85</f>
        <v>m3</v>
      </c>
      <c r="E36" s="150">
        <f>'Công trình'!P85</f>
        <v>134.375</v>
      </c>
      <c r="F36" s="114">
        <f>'Chiết tính'!H$502</f>
        <v>1406650.0784999998</v>
      </c>
      <c r="G36" s="114">
        <f>'Chiết tính'!H$509</f>
        <v>478910</v>
      </c>
      <c r="H36" s="114">
        <f>'Chiết tính'!H$511</f>
        <v>140845.45559999999</v>
      </c>
      <c r="I36" s="114">
        <f>'Chiết tính'!H$525</f>
        <v>2507450.7015911439</v>
      </c>
      <c r="J36" s="114">
        <f>E36*I36</f>
        <v>336938688.02630997</v>
      </c>
      <c r="K36" s="286"/>
      <c r="L36" s="286"/>
      <c r="M36" s="78">
        <v>1</v>
      </c>
    </row>
    <row r="37" spans="1:13" ht="45" x14ac:dyDescent="0.15">
      <c r="A37" s="84">
        <f>'Công trình'!A87</f>
        <v>28</v>
      </c>
      <c r="B37" s="85" t="str">
        <f>'Công trình'!E87</f>
        <v>AB.66142</v>
      </c>
      <c r="C37" s="86" t="str">
        <f>'Công trình'!F87</f>
        <v>Đắp cát công trình bằng máy đầm đất cầm tay 70kg, độ chặt yêu cầu K=0,90</v>
      </c>
      <c r="D37" s="85" t="str">
        <f>'Công trình'!G87</f>
        <v>100m3</v>
      </c>
      <c r="E37" s="150">
        <f>'Công trình'!P87</f>
        <v>8.1420999999999992</v>
      </c>
      <c r="F37" s="114">
        <f>'Chiết tính'!H$527</f>
        <v>34160000</v>
      </c>
      <c r="G37" s="114">
        <f>'Chiết tính'!H$529</f>
        <v>1018665.9999999999</v>
      </c>
      <c r="H37" s="114">
        <f>'Chiết tính'!H$531</f>
        <v>808642.81238999998</v>
      </c>
      <c r="I37" s="114">
        <f>'Chiết tính'!H$544</f>
        <v>44530278.47166916</v>
      </c>
      <c r="J37" s="114">
        <f>E37*I37</f>
        <v>362569980.34417742</v>
      </c>
      <c r="K37" s="286"/>
      <c r="L37" s="286"/>
      <c r="M37" s="78">
        <v>1</v>
      </c>
    </row>
    <row r="38" spans="1:13" x14ac:dyDescent="0.15">
      <c r="A38" s="84"/>
      <c r="B38" s="85">
        <f>IF('Công trình'!B89="",'Công trình'!E89,'Công trình'!B89)</f>
        <v>0</v>
      </c>
      <c r="C38" s="86" t="str">
        <f>'Công trình'!F89</f>
        <v>THI CÔNG CỬA CỐNG</v>
      </c>
      <c r="D38" s="85"/>
      <c r="E38" s="150"/>
      <c r="F38" s="114"/>
      <c r="G38" s="114"/>
      <c r="H38" s="114"/>
      <c r="I38" s="114"/>
      <c r="J38" s="114"/>
      <c r="K38" s="286"/>
      <c r="L38" s="286"/>
    </row>
    <row r="39" spans="1:13" ht="45" x14ac:dyDescent="0.15">
      <c r="A39" s="84">
        <f>'Công trình'!A90</f>
        <v>29</v>
      </c>
      <c r="B39" s="85" t="str">
        <f>'Công trình'!E90</f>
        <v>AC.11122</v>
      </c>
      <c r="C39" s="86" t="str">
        <f>'Công trình'!F90</f>
        <v>Đóng cọc tre bằng thủ công, chiều dài cọc &gt; 2,5m vào đất cấp II</v>
      </c>
      <c r="D39" s="85" t="str">
        <f>'Công trình'!G90</f>
        <v>100m</v>
      </c>
      <c r="E39" s="150">
        <f>'Công trình'!P90</f>
        <v>15.744999999999999</v>
      </c>
      <c r="F39" s="114">
        <f>'Chiết tính'!H$546</f>
        <v>590499</v>
      </c>
      <c r="G39" s="114">
        <f>'Chiết tính'!H$552</f>
        <v>593550</v>
      </c>
      <c r="H39" s="114">
        <f>'Công trình'!T90</f>
        <v>0</v>
      </c>
      <c r="I39" s="114">
        <f>'Chiết tính'!H$563</f>
        <v>1465128.4976316001</v>
      </c>
      <c r="J39" s="114">
        <f t="shared" ref="J39:J47" si="2">E39*I39</f>
        <v>23068448.195209544</v>
      </c>
      <c r="K39" s="286"/>
      <c r="L39" s="286"/>
      <c r="M39" s="78">
        <v>1</v>
      </c>
    </row>
    <row r="40" spans="1:13" ht="45" x14ac:dyDescent="0.15">
      <c r="A40" s="84">
        <f>'Công trình'!A92</f>
        <v>30</v>
      </c>
      <c r="B40" s="85" t="str">
        <f>'Công trình'!E92</f>
        <v>AB.13411</v>
      </c>
      <c r="C40" s="86" t="str">
        <f>'Công trình'!F92</f>
        <v>Đắp cát công trình bằng thủ công, đắp nền móng công trình</v>
      </c>
      <c r="D40" s="85" t="str">
        <f>'Công trình'!G92</f>
        <v>m3</v>
      </c>
      <c r="E40" s="150">
        <f>'Công trình'!P92</f>
        <v>2.5000000000000001E-2</v>
      </c>
      <c r="F40" s="114">
        <f>'Chiết tính'!H$565</f>
        <v>348432</v>
      </c>
      <c r="G40" s="114">
        <f>'Chiết tính'!H$569</f>
        <v>109665</v>
      </c>
      <c r="H40" s="114">
        <f>'Công trình'!T92</f>
        <v>0</v>
      </c>
      <c r="I40" s="114">
        <f>'Chiết tính'!H$580</f>
        <v>566843.91387479997</v>
      </c>
      <c r="J40" s="114">
        <f t="shared" si="2"/>
        <v>14171.09784687</v>
      </c>
      <c r="K40" s="286"/>
      <c r="L40" s="286"/>
      <c r="M40" s="78">
        <v>1</v>
      </c>
    </row>
    <row r="41" spans="1:13" ht="30" x14ac:dyDescent="0.15">
      <c r="A41" s="84">
        <f>'Công trình'!A94</f>
        <v>31</v>
      </c>
      <c r="B41" s="85" t="str">
        <f>'Công trình'!E94</f>
        <v>AF.82511</v>
      </c>
      <c r="C41" s="86" t="str">
        <f>'Công trình'!F94</f>
        <v>Ván khuôn thép. Ván khuôn móng dài</v>
      </c>
      <c r="D41" s="85" t="str">
        <f>'Công trình'!G94</f>
        <v>100m2</v>
      </c>
      <c r="E41" s="150">
        <f>'Công trình'!P94</f>
        <v>1.9E-2</v>
      </c>
      <c r="F41" s="114">
        <f>'Chiết tính'!H$582</f>
        <v>1740379.2</v>
      </c>
      <c r="G41" s="114">
        <f>'Chiết tính'!H$588</f>
        <v>3836700</v>
      </c>
      <c r="H41" s="114">
        <f>'Chiết tính'!H$590</f>
        <v>374276.45399999997</v>
      </c>
      <c r="I41" s="114">
        <f>'Chiết tính'!H$603</f>
        <v>7364138.450534014</v>
      </c>
      <c r="J41" s="114">
        <f t="shared" si="2"/>
        <v>139918.63056014627</v>
      </c>
      <c r="K41" s="286"/>
      <c r="L41" s="286"/>
      <c r="M41" s="78">
        <v>1</v>
      </c>
    </row>
    <row r="42" spans="1:13" ht="60" x14ac:dyDescent="0.15">
      <c r="A42" s="84">
        <f>'Công trình'!A96</f>
        <v>32</v>
      </c>
      <c r="B42" s="85" t="str">
        <f>'Công trình'!E96</f>
        <v>AF.11211A</v>
      </c>
      <c r="C42" s="86" t="str">
        <f>'Công trình'!F96</f>
        <v>Đổ bê tông thủ công bằng máy trộn, bê tông móng, chiều rộng &lt;= 250 cm, đá 1x2, mác 100, PCB30</v>
      </c>
      <c r="D42" s="85" t="str">
        <f>'Công trình'!G96</f>
        <v>m3</v>
      </c>
      <c r="E42" s="150">
        <f>'Công trình'!P96</f>
        <v>2.52</v>
      </c>
      <c r="F42" s="114">
        <f>'Chiết tính'!H$605</f>
        <v>1211123.44625</v>
      </c>
      <c r="G42" s="114">
        <f>'Chiết tính'!H$612</f>
        <v>324474</v>
      </c>
      <c r="H42" s="114">
        <f>'Chiết tính'!H$614</f>
        <v>59923.404999999999</v>
      </c>
      <c r="I42" s="114">
        <f>'Chiết tính'!H$627</f>
        <v>1974278.9932948756</v>
      </c>
      <c r="J42" s="114">
        <f t="shared" si="2"/>
        <v>4975183.0631030863</v>
      </c>
      <c r="K42" s="286"/>
      <c r="L42" s="286"/>
      <c r="M42" s="78">
        <v>1</v>
      </c>
    </row>
    <row r="43" spans="1:13" ht="30" x14ac:dyDescent="0.15">
      <c r="A43" s="84">
        <f>'Công trình'!A98</f>
        <v>33</v>
      </c>
      <c r="B43" s="85" t="str">
        <f>'Công trình'!E98</f>
        <v>AF.82511</v>
      </c>
      <c r="C43" s="86" t="str">
        <f>'Công trình'!F98</f>
        <v>Ván khuôn thép. Ván khuôn móng dài</v>
      </c>
      <c r="D43" s="85" t="str">
        <f>'Công trình'!G98</f>
        <v>100m2</v>
      </c>
      <c r="E43" s="150">
        <f>'Công trình'!P98</f>
        <v>7.4999999999999997E-2</v>
      </c>
      <c r="F43" s="114">
        <f>'Chiết tính'!H$629</f>
        <v>1740379.2</v>
      </c>
      <c r="G43" s="114">
        <f>'Chiết tính'!H$635</f>
        <v>3836700</v>
      </c>
      <c r="H43" s="114">
        <f>'Chiết tính'!H$637</f>
        <v>374276.45399999997</v>
      </c>
      <c r="I43" s="114">
        <f>'Chiết tính'!H$650</f>
        <v>7364138.450534014</v>
      </c>
      <c r="J43" s="114">
        <f t="shared" si="2"/>
        <v>552310.38379005098</v>
      </c>
      <c r="K43" s="286"/>
      <c r="L43" s="286"/>
      <c r="M43" s="78">
        <v>1</v>
      </c>
    </row>
    <row r="44" spans="1:13" ht="60" x14ac:dyDescent="0.15">
      <c r="A44" s="84">
        <f>'Công trình'!A100</f>
        <v>34</v>
      </c>
      <c r="B44" s="85" t="str">
        <f>'Công trình'!E100</f>
        <v>AF.11214A</v>
      </c>
      <c r="C44" s="86" t="str">
        <f>'Công trình'!F100</f>
        <v>Đổ bê tông thủ công bằng máy trộn, bê tông móng, chiều rộng &lt;= 250 cm, đá 1x2, mác 250, PCB30</v>
      </c>
      <c r="D44" s="85" t="str">
        <f>'Công trình'!G100</f>
        <v>m3</v>
      </c>
      <c r="E44" s="150">
        <f>'Công trình'!P100</f>
        <v>12.834</v>
      </c>
      <c r="F44" s="114">
        <f>'Chiết tính'!H$652</f>
        <v>1394384.4364999998</v>
      </c>
      <c r="G44" s="114">
        <f>'Chiết tính'!H$659</f>
        <v>324474</v>
      </c>
      <c r="H44" s="114">
        <f>'Chiết tính'!H$661</f>
        <v>59923.404999999999</v>
      </c>
      <c r="I44" s="114">
        <f>'Chiết tính'!H$674</f>
        <v>2201044.0168027384</v>
      </c>
      <c r="J44" s="114">
        <f t="shared" si="2"/>
        <v>28248198.911646344</v>
      </c>
      <c r="K44" s="286"/>
      <c r="L44" s="286"/>
      <c r="M44" s="78">
        <v>1</v>
      </c>
    </row>
    <row r="45" spans="1:13" ht="60" x14ac:dyDescent="0.15">
      <c r="A45" s="84">
        <f>'Công trình'!A103</f>
        <v>35</v>
      </c>
      <c r="B45" s="85" t="str">
        <f>'Công trình'!E103</f>
        <v>AF.61311</v>
      </c>
      <c r="C45" s="86" t="str">
        <f>'Công trình'!F103</f>
        <v>Công tác gia công lắp dựng cốt thép. Cốt thép tường, đường kính cốt thép &lt;= 10mm, chiều cao &lt;= 6m</v>
      </c>
      <c r="D45" s="85" t="str">
        <f>'Công trình'!G103</f>
        <v>tấn</v>
      </c>
      <c r="E45" s="150">
        <f>'Công trình'!P103</f>
        <v>0.2324</v>
      </c>
      <c r="F45" s="114">
        <f>'Chiết tính'!H$676</f>
        <v>15094900</v>
      </c>
      <c r="G45" s="114">
        <f>'Chiết tính'!H$680</f>
        <v>3736075</v>
      </c>
      <c r="H45" s="114">
        <f>'Chiết tính'!H$682</f>
        <v>122974.40000000001</v>
      </c>
      <c r="I45" s="114">
        <f>'Chiết tính'!H$693</f>
        <v>23453397.121746957</v>
      </c>
      <c r="J45" s="114">
        <f t="shared" si="2"/>
        <v>5450569.4910939932</v>
      </c>
      <c r="K45" s="286"/>
      <c r="L45" s="286"/>
      <c r="M45" s="78">
        <v>1</v>
      </c>
    </row>
    <row r="46" spans="1:13" ht="60" x14ac:dyDescent="0.15">
      <c r="A46" s="84">
        <f>'Công trình'!A105</f>
        <v>36</v>
      </c>
      <c r="B46" s="85" t="str">
        <f>'Công trình'!E105</f>
        <v>AF.86211</v>
      </c>
      <c r="C46" s="86" t="str">
        <f>'Công trình'!F105</f>
        <v>Ván khuôn thép, khung xương thép, cột chống bằng thép ống. Ván khuôn tường, chiều cao &lt;= 28m</v>
      </c>
      <c r="D46" s="85" t="str">
        <f>'Công trình'!G105</f>
        <v>100m2</v>
      </c>
      <c r="E46" s="150">
        <f>'Công trình'!P105</f>
        <v>0.21249999999999999</v>
      </c>
      <c r="F46" s="114">
        <f>'Chiết tính'!H$695</f>
        <v>2639371.8854999999</v>
      </c>
      <c r="G46" s="114">
        <f>'Chiết tính'!H$702</f>
        <v>8926200</v>
      </c>
      <c r="H46" s="114">
        <f>'Chiết tính'!H$704</f>
        <v>1171482.0156</v>
      </c>
      <c r="I46" s="114">
        <f>'Chiết tính'!H$719</f>
        <v>15760682.747395884</v>
      </c>
      <c r="J46" s="114">
        <f t="shared" si="2"/>
        <v>3349145.0838216254</v>
      </c>
      <c r="K46" s="286"/>
      <c r="L46" s="286"/>
      <c r="M46" s="78">
        <v>1</v>
      </c>
    </row>
    <row r="47" spans="1:13" ht="75" x14ac:dyDescent="0.15">
      <c r="A47" s="84">
        <f>'Công trình'!A107</f>
        <v>37</v>
      </c>
      <c r="B47" s="85" t="str">
        <f>'Công trình'!E107</f>
        <v>AF.12114A</v>
      </c>
      <c r="C47" s="86" t="str">
        <f>'Công trình'!F107</f>
        <v>Đổ bê tông thủ công bằng máy trộn, bê tông tường chiều dày &lt;= 45cm, chiều cao &lt;= 6m, đá 1x2, mác 250, PCB30</v>
      </c>
      <c r="D47" s="85" t="str">
        <f>'Công trình'!G107</f>
        <v>m3</v>
      </c>
      <c r="E47" s="150">
        <f>'Công trình'!P107</f>
        <v>2.5937999999999999</v>
      </c>
      <c r="F47" s="114">
        <f>'Chiết tính'!H$721</f>
        <v>1449607.5825</v>
      </c>
      <c r="G47" s="114">
        <f>'Chiết tính'!H$728</f>
        <v>718365.00000000012</v>
      </c>
      <c r="H47" s="114">
        <f>'Chiết tính'!H$730</f>
        <v>87466.83</v>
      </c>
      <c r="I47" s="114">
        <f>'Chiết tính'!H$743</f>
        <v>2790854.5659303153</v>
      </c>
      <c r="J47" s="114">
        <f t="shared" si="2"/>
        <v>7238918.5731100515</v>
      </c>
      <c r="K47" s="286"/>
      <c r="L47" s="286"/>
      <c r="M47" s="78">
        <v>1</v>
      </c>
    </row>
    <row r="48" spans="1:13" ht="30" x14ac:dyDescent="0.15">
      <c r="A48" s="84"/>
      <c r="B48" s="85">
        <f>IF('Công trình'!B109="",'Công trình'!E109,'Công trình'!B109)</f>
        <v>0</v>
      </c>
      <c r="C48" s="86" t="str">
        <f>'Công trình'!F109</f>
        <v>ĐẮP ĐẤT HOÀN THIỆN MẶT BẰNG</v>
      </c>
      <c r="D48" s="85"/>
      <c r="E48" s="150"/>
      <c r="F48" s="114"/>
      <c r="G48" s="114"/>
      <c r="H48" s="114"/>
      <c r="I48" s="114"/>
      <c r="J48" s="114"/>
      <c r="K48" s="286"/>
      <c r="L48" s="286"/>
    </row>
    <row r="49" spans="1:13" ht="45" x14ac:dyDescent="0.15">
      <c r="A49" s="84">
        <f>'Công trình'!A110</f>
        <v>38</v>
      </c>
      <c r="B49" s="85" t="str">
        <f>'Công trình'!E110</f>
        <v>AB.65120</v>
      </c>
      <c r="C49" s="86" t="str">
        <f>'Công trình'!F110</f>
        <v>Đắp đất công trình bằng đầm đất cầm tay 70kg, độ chặt yêu cầu K=0,90</v>
      </c>
      <c r="D49" s="85" t="str">
        <f>'Công trình'!G110</f>
        <v>100m3</v>
      </c>
      <c r="E49" s="150">
        <f>'Công trình'!P110</f>
        <v>14.103199999999999</v>
      </c>
      <c r="F49" s="114">
        <f>'Công trình'!Q110+'Công trình'!R110</f>
        <v>0</v>
      </c>
      <c r="G49" s="114">
        <f>'Chiết tính'!H$745</f>
        <v>1508503</v>
      </c>
      <c r="H49" s="114">
        <f>'Chiết tính'!H$747</f>
        <v>1500138.2850000001</v>
      </c>
      <c r="I49" s="114">
        <f>'Chiết tính'!H$758</f>
        <v>3722857.8258200944</v>
      </c>
      <c r="J49" s="114">
        <f>E49*I49</f>
        <v>52504208.489105955</v>
      </c>
      <c r="K49" s="286"/>
      <c r="L49" s="286"/>
      <c r="M49" s="78">
        <v>1</v>
      </c>
    </row>
    <row r="50" spans="1:13" x14ac:dyDescent="0.15">
      <c r="A50" s="84">
        <f>'Công trình'!A112</f>
        <v>39</v>
      </c>
      <c r="B50" s="85" t="str">
        <f>'Công trình'!E112</f>
        <v>TT</v>
      </c>
      <c r="C50" s="86" t="str">
        <f>'Công trình'!F112</f>
        <v>Vật liệu đất núi</v>
      </c>
      <c r="D50" s="85" t="str">
        <f>'Công trình'!G112</f>
        <v>m3</v>
      </c>
      <c r="E50" s="150">
        <f>'Công trình'!P112</f>
        <v>1551.3520000000001</v>
      </c>
      <c r="F50" s="114">
        <f>'Chiết tính'!H$760</f>
        <v>220000</v>
      </c>
      <c r="G50" s="114">
        <f>'Công trình'!S112</f>
        <v>0</v>
      </c>
      <c r="H50" s="114">
        <f>'Công trình'!T112</f>
        <v>0</v>
      </c>
      <c r="I50" s="114">
        <f>'Chiết tính'!H$771</f>
        <v>272225.44800000003</v>
      </c>
      <c r="J50" s="114">
        <f>E50*I50</f>
        <v>422317493.20569605</v>
      </c>
      <c r="K50" s="286"/>
      <c r="L50" s="286"/>
      <c r="M50" s="78">
        <v>1</v>
      </c>
    </row>
    <row r="51" spans="1:13" ht="14" x14ac:dyDescent="0.15">
      <c r="A51" s="287"/>
      <c r="B51" s="261"/>
      <c r="C51" s="202" t="s">
        <v>637</v>
      </c>
      <c r="D51" s="202"/>
      <c r="E51" s="288"/>
      <c r="F51" s="288"/>
      <c r="G51" s="288"/>
      <c r="H51" s="288"/>
      <c r="I51" s="288"/>
      <c r="J51" s="289">
        <f>ROUND(SUM(J5:J50),0)</f>
        <v>6759733141</v>
      </c>
      <c r="K51" s="288"/>
      <c r="L51" s="288"/>
    </row>
    <row r="52" spans="1:13" ht="15" customHeight="1" x14ac:dyDescent="0.15">
      <c r="A52" s="201"/>
      <c r="B52" s="202"/>
      <c r="C52" s="202" t="s">
        <v>628</v>
      </c>
      <c r="D52" s="202"/>
      <c r="E52" s="288"/>
      <c r="F52" s="288"/>
      <c r="G52" s="288"/>
      <c r="H52" s="288"/>
      <c r="I52" s="288"/>
      <c r="J52" s="289">
        <f>ROUND(J51,-3)</f>
        <v>6759733000</v>
      </c>
      <c r="K52" s="286"/>
      <c r="L52" s="286"/>
    </row>
    <row r="53" spans="1:13" ht="30" customHeight="1" x14ac:dyDescent="0.15">
      <c r="A53" s="317" t="s">
        <v>1196</v>
      </c>
      <c r="B53" s="318"/>
      <c r="C53" s="319"/>
      <c r="D53" s="318"/>
      <c r="E53" s="319"/>
      <c r="F53" s="319"/>
      <c r="G53" s="319"/>
      <c r="H53" s="319"/>
      <c r="I53" s="319"/>
      <c r="J53" s="320"/>
      <c r="K53" s="271"/>
      <c r="L53" s="271"/>
    </row>
  </sheetData>
  <mergeCells count="4">
    <mergeCell ref="A1:L1"/>
    <mergeCell ref="A2:L2"/>
    <mergeCell ref="A3:L3"/>
    <mergeCell ref="A53:J53"/>
  </mergeCells>
  <pageMargins left="1.1875" right="0" top="0.80208333333333337" bottom="0.80208333333333337" header="0.40625" footer="0.40625"/>
  <pageSetup paperSize="9" orientation="portrait" blackAndWhite="1" verticalDpi="0"/>
  <headerFooter alignWithMargins="0">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B0D12-5892-4E42-A35A-E7B9D664B2A6}">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E1F88-7CB2-6E43-B8A8-5284D40186CE}">
  <dimension ref="A1:I16"/>
  <sheetViews>
    <sheetView showZeros="0" workbookViewId="0">
      <selection sqref="A1:I1"/>
    </sheetView>
  </sheetViews>
  <sheetFormatPr baseColWidth="10" defaultColWidth="10" defaultRowHeight="15" customHeight="1" x14ac:dyDescent="0.15"/>
  <cols>
    <col min="1" max="1" width="8.25" style="204" customWidth="1"/>
    <col min="2" max="2" width="15" style="204" customWidth="1"/>
    <col min="3" max="3" width="18.25" style="204" customWidth="1"/>
    <col min="4" max="5" width="18.25" style="204" hidden="1" customWidth="1"/>
    <col min="6" max="7" width="13.25" style="204" customWidth="1"/>
    <col min="8" max="8" width="18.25" style="204" customWidth="1"/>
    <col min="9" max="9" width="20" style="204" customWidth="1"/>
    <col min="10" max="16384" width="10" style="204"/>
  </cols>
  <sheetData>
    <row r="1" spans="1:9" ht="32.25" customHeight="1" x14ac:dyDescent="0.15">
      <c r="A1" s="315" t="str">
        <f>'Công trình'!A2</f>
        <v>CÔNG TRÌNH : XÂY DỰNG HỆ THỐNG CỐNG HỘP KÊNH BẾN KEM ĐOẠN TỪ NHÀ ÔNG CHÍN ĐẾN KÊNH ĐẠI TRÀ 2, XÃ KIẾN MINH</v>
      </c>
      <c r="B1" s="370"/>
      <c r="C1" s="370"/>
      <c r="D1" s="370"/>
      <c r="E1" s="370"/>
      <c r="F1" s="370"/>
      <c r="G1" s="370"/>
      <c r="H1" s="370"/>
      <c r="I1" s="370"/>
    </row>
    <row r="2" spans="1:9" ht="26.25" customHeight="1" x14ac:dyDescent="0.15">
      <c r="A2" s="313" t="s">
        <v>644</v>
      </c>
      <c r="B2" s="370"/>
      <c r="C2" s="370"/>
      <c r="D2" s="370"/>
      <c r="E2" s="370"/>
      <c r="F2" s="370"/>
      <c r="G2" s="370"/>
    </row>
    <row r="3" spans="1:9" ht="45" customHeight="1" x14ac:dyDescent="0.15">
      <c r="A3" s="221" t="s">
        <v>4</v>
      </c>
      <c r="B3" s="222" t="s">
        <v>645</v>
      </c>
      <c r="C3" s="222" t="s">
        <v>646</v>
      </c>
      <c r="D3" s="222"/>
      <c r="E3" s="222"/>
      <c r="F3" s="222" t="s">
        <v>647</v>
      </c>
      <c r="G3" s="222" t="s">
        <v>648</v>
      </c>
    </row>
    <row r="4" spans="1:9" ht="15" customHeight="1" x14ac:dyDescent="0.15">
      <c r="A4" s="223">
        <v>1</v>
      </c>
      <c r="B4" s="224" t="s">
        <v>649</v>
      </c>
      <c r="C4" s="225">
        <v>1.05</v>
      </c>
      <c r="D4" s="226"/>
      <c r="E4" s="226"/>
      <c r="F4" s="227">
        <f>IF(C4&lt;&gt;0,ROUND(C5/C4,5),0)</f>
        <v>1</v>
      </c>
      <c r="G4" s="376">
        <f>ROUND(SUM(F4:F8)/A8,5)</f>
        <v>1.00952</v>
      </c>
    </row>
    <row r="5" spans="1:9" ht="15" customHeight="1" x14ac:dyDescent="0.15">
      <c r="A5" s="223">
        <v>2</v>
      </c>
      <c r="B5" s="224" t="s">
        <v>650</v>
      </c>
      <c r="C5" s="225">
        <v>1.05</v>
      </c>
      <c r="D5" s="226"/>
      <c r="E5" s="226"/>
      <c r="F5" s="227">
        <f>IF(C5&lt;&gt;0,ROUND(C6/C5,5),0)</f>
        <v>1</v>
      </c>
      <c r="G5" s="377"/>
    </row>
    <row r="6" spans="1:9" ht="15" customHeight="1" x14ac:dyDescent="0.15">
      <c r="A6" s="223">
        <v>3</v>
      </c>
      <c r="B6" s="224" t="s">
        <v>651</v>
      </c>
      <c r="C6" s="225">
        <v>1.05</v>
      </c>
      <c r="D6" s="226"/>
      <c r="E6" s="226"/>
      <c r="F6" s="227">
        <f>IF(C6&lt;&gt;0,ROUND(C7/C6,5),0)</f>
        <v>1</v>
      </c>
      <c r="G6" s="377"/>
    </row>
    <row r="7" spans="1:9" ht="15" customHeight="1" x14ac:dyDescent="0.15">
      <c r="A7" s="223">
        <v>4</v>
      </c>
      <c r="B7" s="224" t="s">
        <v>652</v>
      </c>
      <c r="C7" s="225">
        <v>1.05</v>
      </c>
      <c r="D7" s="226"/>
      <c r="E7" s="226"/>
      <c r="F7" s="227">
        <f>IF(C7&lt;&gt;0,ROUND(C8/C7,5),0)</f>
        <v>1.04762</v>
      </c>
      <c r="G7" s="377"/>
    </row>
    <row r="8" spans="1:9" ht="15" customHeight="1" x14ac:dyDescent="0.15">
      <c r="A8" s="228">
        <v>5</v>
      </c>
      <c r="B8" s="229" t="s">
        <v>653</v>
      </c>
      <c r="C8" s="230">
        <v>1.1000000000000001</v>
      </c>
      <c r="D8" s="231"/>
      <c r="E8" s="231"/>
      <c r="F8" s="232">
        <v>1</v>
      </c>
      <c r="G8" s="378"/>
    </row>
    <row r="9" spans="1:9" ht="15" customHeight="1" x14ac:dyDescent="0.15">
      <c r="A9" s="370"/>
      <c r="B9" s="370"/>
      <c r="C9" s="370"/>
      <c r="D9" s="370"/>
      <c r="E9" s="370"/>
      <c r="F9" s="370"/>
      <c r="G9" s="370"/>
      <c r="H9" s="370"/>
      <c r="I9" s="370"/>
    </row>
    <row r="10" spans="1:9" ht="26.25" customHeight="1" x14ac:dyDescent="0.15">
      <c r="A10" s="313" t="s">
        <v>654</v>
      </c>
      <c r="B10" s="370"/>
      <c r="C10" s="370"/>
      <c r="D10" s="370"/>
      <c r="E10" s="370"/>
      <c r="F10" s="370"/>
      <c r="G10" s="370"/>
      <c r="H10" s="370"/>
      <c r="I10" s="370"/>
    </row>
    <row r="11" spans="1:9" ht="67.5" customHeight="1" x14ac:dyDescent="0.15">
      <c r="A11" s="379" t="s">
        <v>4</v>
      </c>
      <c r="B11" s="381" t="s">
        <v>655</v>
      </c>
      <c r="C11" s="222" t="s">
        <v>656</v>
      </c>
      <c r="D11" s="222" t="s">
        <v>657</v>
      </c>
      <c r="E11" s="222" t="s">
        <v>658</v>
      </c>
      <c r="F11" s="381" t="s">
        <v>648</v>
      </c>
      <c r="G11" s="381" t="s">
        <v>659</v>
      </c>
      <c r="H11" s="222" t="s">
        <v>660</v>
      </c>
      <c r="I11" s="222" t="s">
        <v>661</v>
      </c>
    </row>
    <row r="12" spans="1:9" ht="15" customHeight="1" x14ac:dyDescent="0.15">
      <c r="A12" s="380"/>
      <c r="B12" s="382"/>
      <c r="C12" s="233" t="str">
        <f>'Công trình'!AM1</f>
        <v>(đ)</v>
      </c>
      <c r="D12" s="233" t="str">
        <f>'Công trình'!AM1</f>
        <v>(đ)</v>
      </c>
      <c r="E12" s="233" t="str">
        <f>'Công trình'!AM1</f>
        <v>(đ)</v>
      </c>
      <c r="F12" s="382"/>
      <c r="G12" s="382"/>
      <c r="H12" s="233" t="str">
        <f>'Công trình'!AM1</f>
        <v>(đ)</v>
      </c>
      <c r="I12" s="233" t="str">
        <f>'Công trình'!AM1</f>
        <v>(đ)</v>
      </c>
    </row>
    <row r="13" spans="1:9" ht="15" customHeight="1" x14ac:dyDescent="0.15">
      <c r="A13" s="223">
        <v>1</v>
      </c>
      <c r="B13" s="224" t="s">
        <v>662</v>
      </c>
      <c r="C13" s="234">
        <v>1869275331</v>
      </c>
      <c r="D13" s="234">
        <v>0</v>
      </c>
      <c r="E13" s="234">
        <f>C13-D13</f>
        <v>1869275331</v>
      </c>
      <c r="F13" s="235">
        <f>G4</f>
        <v>1.00952</v>
      </c>
      <c r="G13" s="235">
        <v>0.05</v>
      </c>
      <c r="H13" s="234">
        <f>C13*((F13+G13)^A13-1)</f>
        <v>111259267.70112003</v>
      </c>
      <c r="I13" s="234">
        <f>H13</f>
        <v>111259267.70112003</v>
      </c>
    </row>
    <row r="14" spans="1:9" ht="15" customHeight="1" x14ac:dyDescent="0.15">
      <c r="A14" s="223">
        <v>2</v>
      </c>
      <c r="B14" s="224" t="s">
        <v>663</v>
      </c>
      <c r="C14" s="234">
        <v>1869275331</v>
      </c>
      <c r="D14" s="234">
        <v>0</v>
      </c>
      <c r="E14" s="234">
        <f>C14-D14</f>
        <v>1869275331</v>
      </c>
      <c r="F14" s="235">
        <f>G4</f>
        <v>1.00952</v>
      </c>
      <c r="G14" s="235">
        <v>0.05</v>
      </c>
      <c r="H14" s="234">
        <f>C14*((F14+G14)^A14-1)</f>
        <v>229140687.01581058</v>
      </c>
      <c r="I14" s="234">
        <f>H14+I13</f>
        <v>340399954.71693063</v>
      </c>
    </row>
    <row r="15" spans="1:9" ht="15" customHeight="1" x14ac:dyDescent="0.15">
      <c r="A15" s="223">
        <v>3</v>
      </c>
      <c r="B15" s="224" t="s">
        <v>664</v>
      </c>
      <c r="C15" s="234">
        <f>'Dự toán gói thầu'!G16-SUM(C13:C14)</f>
        <v>3021182479</v>
      </c>
      <c r="D15" s="234">
        <v>0</v>
      </c>
      <c r="E15" s="234">
        <f>C15-D15</f>
        <v>3021182479</v>
      </c>
      <c r="F15" s="235">
        <f>G4</f>
        <v>1.00952</v>
      </c>
      <c r="G15" s="235">
        <v>0.05</v>
      </c>
      <c r="H15" s="234">
        <f>C15*((F15+G15)^A15-1)</f>
        <v>572208180.69825208</v>
      </c>
      <c r="I15" s="234">
        <f>H15+I14</f>
        <v>912608135.41518271</v>
      </c>
    </row>
    <row r="16" spans="1:9" ht="22.5" customHeight="1" x14ac:dyDescent="0.15">
      <c r="A16" s="373" t="s">
        <v>637</v>
      </c>
      <c r="B16" s="374"/>
      <c r="C16" s="236">
        <f>SUM(C13:C15)</f>
        <v>6759733141</v>
      </c>
      <c r="D16" s="236">
        <f>SUM(D13:D15)</f>
        <v>0</v>
      </c>
      <c r="E16" s="236">
        <f>SUM(E13:E15)</f>
        <v>6759733141</v>
      </c>
      <c r="F16" s="231"/>
      <c r="G16" s="231"/>
      <c r="H16" s="375">
        <f>I15</f>
        <v>912608135.41518271</v>
      </c>
      <c r="I16" s="374"/>
    </row>
  </sheetData>
  <mergeCells count="11">
    <mergeCell ref="A16:B16"/>
    <mergeCell ref="H16:I16"/>
    <mergeCell ref="A2:G2"/>
    <mergeCell ref="A1:I1"/>
    <mergeCell ref="G4:G8"/>
    <mergeCell ref="A9:I9"/>
    <mergeCell ref="A10:I10"/>
    <mergeCell ref="A11:A12"/>
    <mergeCell ref="B11:B12"/>
    <mergeCell ref="F11:F12"/>
    <mergeCell ref="G11:G12"/>
  </mergeCells>
  <pageMargins left="1.1875" right="0" top="0.80208333333333337" bottom="0.80208333333333337" header="0.40625" footer="0.40625"/>
  <pageSetup paperSize="9" orientation="portrait" blackAndWhite="1" verticalDpi="0"/>
  <headerFooter alignWithMargins="0">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2EFB4-A24D-4A46-801E-4B2452CA2954}">
  <dimension ref="A1:G19"/>
  <sheetViews>
    <sheetView showZeros="0" workbookViewId="0">
      <selection sqref="A1:F1"/>
    </sheetView>
  </sheetViews>
  <sheetFormatPr baseColWidth="10" defaultColWidth="10" defaultRowHeight="15" customHeight="1" x14ac:dyDescent="0.15"/>
  <cols>
    <col min="1" max="1" width="8.25" style="73" customWidth="1"/>
    <col min="2" max="2" width="80.75" style="73" customWidth="1"/>
    <col min="3" max="5" width="20" style="73" customWidth="1"/>
    <col min="6" max="6" width="11.75" style="73" customWidth="1"/>
    <col min="7" max="7" width="20" style="73" customWidth="1"/>
    <col min="8" max="16384" width="10" style="73"/>
  </cols>
  <sheetData>
    <row r="1" spans="1:7" ht="26.25" customHeight="1" x14ac:dyDescent="0.15">
      <c r="A1" s="313" t="s">
        <v>931</v>
      </c>
      <c r="B1" s="343"/>
      <c r="C1" s="343"/>
      <c r="D1" s="343"/>
      <c r="E1" s="343"/>
      <c r="F1" s="343"/>
    </row>
    <row r="2" spans="1:7" ht="18.75" customHeight="1" x14ac:dyDescent="0.15">
      <c r="A2" s="359" t="s">
        <v>932</v>
      </c>
      <c r="B2" s="343"/>
      <c r="C2" s="343"/>
      <c r="D2" s="343"/>
      <c r="E2" s="343"/>
      <c r="F2" s="343"/>
    </row>
    <row r="3" spans="1:7" ht="32.25" customHeight="1" x14ac:dyDescent="0.15">
      <c r="A3" s="359" t="s">
        <v>933</v>
      </c>
      <c r="B3" s="343"/>
      <c r="C3" s="343"/>
      <c r="D3" s="343"/>
      <c r="E3" s="343"/>
      <c r="F3" s="343"/>
    </row>
    <row r="4" spans="1:7" ht="18.75" customHeight="1" x14ac:dyDescent="0.15">
      <c r="A4" s="359" t="s">
        <v>934</v>
      </c>
      <c r="B4" s="343"/>
      <c r="C4" s="343"/>
      <c r="D4" s="343"/>
      <c r="E4" s="343"/>
      <c r="F4" s="343"/>
    </row>
    <row r="5" spans="1:7" ht="18.75" customHeight="1" x14ac:dyDescent="0.15">
      <c r="A5" s="359" t="s">
        <v>935</v>
      </c>
      <c r="B5" s="343"/>
      <c r="C5" s="343"/>
      <c r="D5" s="343"/>
      <c r="E5" s="343"/>
      <c r="F5" s="343"/>
    </row>
    <row r="6" spans="1:7" ht="22.5" customHeight="1" x14ac:dyDescent="0.15">
      <c r="A6" s="347" t="str">
        <f>"Đơn vị tính:  "&amp;'Công trình'!AM1</f>
        <v>Đơn vị tính:  (đ)</v>
      </c>
      <c r="B6" s="343"/>
      <c r="C6" s="343"/>
      <c r="D6" s="343"/>
      <c r="E6" s="343"/>
      <c r="F6" s="343"/>
    </row>
    <row r="7" spans="1:7" ht="37.5" customHeight="1" x14ac:dyDescent="0.15">
      <c r="A7" s="221" t="s">
        <v>4</v>
      </c>
      <c r="B7" s="222" t="s">
        <v>936</v>
      </c>
      <c r="C7" s="222" t="s">
        <v>937</v>
      </c>
      <c r="D7" s="222" t="s">
        <v>938</v>
      </c>
      <c r="E7" s="222" t="s">
        <v>939</v>
      </c>
      <c r="F7" s="222" t="s">
        <v>940</v>
      </c>
    </row>
    <row r="8" spans="1:7" ht="22.5" customHeight="1" x14ac:dyDescent="0.15">
      <c r="A8" s="221" t="s">
        <v>941</v>
      </c>
      <c r="B8" s="233" t="s">
        <v>942</v>
      </c>
      <c r="C8" s="233" t="s">
        <v>943</v>
      </c>
      <c r="D8" s="233" t="s">
        <v>944</v>
      </c>
      <c r="E8" s="233" t="s">
        <v>945</v>
      </c>
      <c r="F8" s="233" t="s">
        <v>946</v>
      </c>
    </row>
    <row r="9" spans="1:7" x14ac:dyDescent="0.15">
      <c r="A9" s="141" t="s">
        <v>577</v>
      </c>
      <c r="B9" s="123" t="s">
        <v>947</v>
      </c>
      <c r="C9" s="127">
        <f>ROUND(C10+C11,0)</f>
        <v>6259012168</v>
      </c>
      <c r="D9" s="127">
        <f>ROUND(D10+D11,0)</f>
        <v>500720973</v>
      </c>
      <c r="E9" s="127">
        <f>ROUND(E10+E11,0)</f>
        <v>6759733141</v>
      </c>
      <c r="F9" s="122" t="s">
        <v>948</v>
      </c>
    </row>
    <row r="10" spans="1:7" hidden="1" x14ac:dyDescent="0.15">
      <c r="A10" s="141" t="s">
        <v>949</v>
      </c>
      <c r="B10" s="123" t="s">
        <v>950</v>
      </c>
      <c r="C10" s="127"/>
      <c r="D10" s="127"/>
      <c r="E10" s="127"/>
      <c r="F10" s="122" t="s">
        <v>951</v>
      </c>
    </row>
    <row r="11" spans="1:7" hidden="1" x14ac:dyDescent="0.15">
      <c r="A11" s="141" t="s">
        <v>949</v>
      </c>
      <c r="B11" s="123" t="s">
        <v>952</v>
      </c>
      <c r="C11" s="127">
        <f>ROUND(C12,0)</f>
        <v>6259012168</v>
      </c>
      <c r="D11" s="127">
        <f>ROUND(D12,0)</f>
        <v>500720973</v>
      </c>
      <c r="E11" s="127">
        <f>ROUND(E12,0)</f>
        <v>6759733141</v>
      </c>
      <c r="F11" s="122" t="s">
        <v>953</v>
      </c>
    </row>
    <row r="12" spans="1:7" x14ac:dyDescent="0.15">
      <c r="A12" s="84" t="s">
        <v>680</v>
      </c>
      <c r="B12" s="86" t="str">
        <f>'Công trình'!F6</f>
        <v>HẠNG MỤC 1</v>
      </c>
      <c r="C12" s="116">
        <f>ROUND(E12/(1+HSXL!D17),0)</f>
        <v>6259012168</v>
      </c>
      <c r="D12" s="116">
        <f>ROUND(E12-C12,0)</f>
        <v>500720973</v>
      </c>
      <c r="E12" s="116">
        <f>ROUND('Dự thầu'!J51,0)</f>
        <v>6759733141</v>
      </c>
      <c r="F12" s="85" t="s">
        <v>954</v>
      </c>
    </row>
    <row r="13" spans="1:7" x14ac:dyDescent="0.15">
      <c r="A13" s="141" t="s">
        <v>589</v>
      </c>
      <c r="B13" s="123" t="s">
        <v>955</v>
      </c>
      <c r="C13" s="127"/>
      <c r="D13" s="127"/>
      <c r="E13" s="127"/>
      <c r="F13" s="122" t="s">
        <v>956</v>
      </c>
    </row>
    <row r="14" spans="1:7" x14ac:dyDescent="0.15">
      <c r="A14" s="141" t="s">
        <v>597</v>
      </c>
      <c r="B14" s="123" t="s">
        <v>957</v>
      </c>
      <c r="C14" s="127">
        <f>ROUND(E14/(1+HSXL!D17),0)</f>
        <v>845007532</v>
      </c>
      <c r="D14" s="127">
        <f>E14-C14</f>
        <v>67600603</v>
      </c>
      <c r="E14" s="127">
        <f>ROUND(E15+E16,0)</f>
        <v>912608135</v>
      </c>
      <c r="F14" s="122" t="s">
        <v>958</v>
      </c>
    </row>
    <row r="15" spans="1:7" ht="30" x14ac:dyDescent="0.15">
      <c r="A15" s="84" t="s">
        <v>959</v>
      </c>
      <c r="B15" s="86" t="str">
        <f>"Chi phí dự phòng cho yếu tố khối lượng phát sinh [ 0% x ("&amp;A9&amp;"+"&amp;A13&amp;") ]"</f>
        <v>Chi phí dự phòng cho yếu tố khối lượng phát sinh [ 0% x (1+2) ]</v>
      </c>
      <c r="C15" s="116"/>
      <c r="D15" s="116"/>
      <c r="E15" s="116">
        <f>ROUND(0%*(E9+E13),0)</f>
        <v>0</v>
      </c>
      <c r="F15" s="85" t="s">
        <v>960</v>
      </c>
    </row>
    <row r="16" spans="1:7" ht="30" x14ac:dyDescent="0.15">
      <c r="A16" s="84" t="s">
        <v>961</v>
      </c>
      <c r="B16" s="86" t="s">
        <v>896</v>
      </c>
      <c r="C16" s="116"/>
      <c r="D16" s="116"/>
      <c r="E16" s="116">
        <f>'Dự phòng thầu'!H16</f>
        <v>912608135.41518271</v>
      </c>
      <c r="F16" s="85" t="s">
        <v>962</v>
      </c>
      <c r="G16" s="290">
        <f>ROUND(E9+E13,0)</f>
        <v>6759733141</v>
      </c>
    </row>
    <row r="17" spans="1:6" ht="30" x14ac:dyDescent="0.15">
      <c r="A17" s="196"/>
      <c r="B17" s="197" t="str">
        <f>"TỔNG CỘNG   "&amp;A9&amp;" + "&amp;A13&amp;" + "&amp;A14</f>
        <v>TỔNG CỘNG   1 + 2 + 3</v>
      </c>
      <c r="C17" s="291">
        <f>ROUND(C9+C13+C14,0)</f>
        <v>7104019700</v>
      </c>
      <c r="D17" s="291">
        <f>ROUND(D9+D13+D14,0)</f>
        <v>568321576</v>
      </c>
      <c r="E17" s="291">
        <f>ROUND(E9+E13+E14,0)</f>
        <v>7672341276</v>
      </c>
      <c r="F17" s="197" t="s">
        <v>963</v>
      </c>
    </row>
    <row r="18" spans="1:6" x14ac:dyDescent="0.15">
      <c r="A18" s="292"/>
      <c r="B18" s="281" t="s">
        <v>628</v>
      </c>
      <c r="C18" s="293"/>
      <c r="D18" s="293"/>
      <c r="E18" s="293">
        <f>ROUND(E17,-3)</f>
        <v>7672341000</v>
      </c>
      <c r="F18" s="281"/>
    </row>
    <row r="19" spans="1:6" ht="30" customHeight="1" x14ac:dyDescent="0.15">
      <c r="A19" s="346" t="s">
        <v>964</v>
      </c>
      <c r="B19" s="343"/>
      <c r="C19" s="343"/>
      <c r="D19" s="343"/>
      <c r="E19" s="343"/>
      <c r="F19" s="343"/>
    </row>
  </sheetData>
  <mergeCells count="7">
    <mergeCell ref="A19:F19"/>
    <mergeCell ref="A1:F1"/>
    <mergeCell ref="A6:F6"/>
    <mergeCell ref="A2:F2"/>
    <mergeCell ref="A3:F3"/>
    <mergeCell ref="A4:F4"/>
    <mergeCell ref="A5:F5"/>
  </mergeCells>
  <pageMargins left="1.1875" right="0" top="0.80208333333333337" bottom="0.80208333333333337" header="0.40625" footer="0.40625"/>
  <pageSetup paperSize="9" orientation="landscape" blackAndWhite="1" verticalDpi="0"/>
  <headerFooter alignWithMargins="0">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7BE48-5E53-0E44-855E-7986B7A3DF2B}">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5746A-346E-A049-9EBA-F569C73C0119}">
  <dimension ref="A1"/>
  <sheetViews>
    <sheetView workbookViewId="0">
      <selection activeCell="I10" sqref="I10"/>
    </sheetView>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7000-BD39-0440-B428-8CFD8ECD2073}">
  <dimension ref="E1:Z1"/>
  <sheetViews>
    <sheetView workbookViewId="0"/>
  </sheetViews>
  <sheetFormatPr baseColWidth="10" defaultColWidth="10" defaultRowHeight="15" customHeight="1" x14ac:dyDescent="0.15"/>
  <cols>
    <col min="1" max="4" width="10" style="78" customWidth="1"/>
    <col min="5" max="7" width="10" style="78" hidden="1" customWidth="1"/>
    <col min="8" max="13" width="10" style="78" customWidth="1"/>
    <col min="14" max="14" width="10" style="78" hidden="1" customWidth="1"/>
    <col min="15" max="16" width="10" style="78" customWidth="1"/>
    <col min="17" max="17" width="10" style="78" hidden="1" customWidth="1"/>
    <col min="18" max="18" width="10" style="78" customWidth="1"/>
    <col min="19" max="20" width="10" style="78" hidden="1" customWidth="1"/>
    <col min="21" max="22" width="10" style="78" customWidth="1"/>
    <col min="23" max="26" width="10" style="78" hidden="1" customWidth="1"/>
    <col min="27"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FDF9B-5BF4-1845-8D3A-9E8842048A2E}">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5B99A-72CE-2F48-8F2C-3820A92CD4BA}">
  <dimension ref="A1"/>
  <sheetViews>
    <sheetView workbookViewId="0"/>
  </sheetViews>
  <sheetFormatPr baseColWidth="10" defaultRowHeight="15" customHeight="1" x14ac:dyDescent="0.15"/>
  <cols>
    <col min="1" max="256" width="8.75" customWidth="1"/>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F816A-8139-1445-8713-93BCF984C74E}">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portrait" blackAndWhite="1" useFirstPageNumber="1" horizontalDpi="0" verticalDpi="0" copies="0"/>
  <headerFooter alignWithMargins="0">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2CF7B-8BBF-6C41-972E-82DFB96758FB}">
  <dimension ref="A1:D19"/>
  <sheetViews>
    <sheetView showZeros="0" workbookViewId="0">
      <selection sqref="A1:D1"/>
    </sheetView>
  </sheetViews>
  <sheetFormatPr baseColWidth="10" defaultColWidth="10" defaultRowHeight="15" customHeight="1" x14ac:dyDescent="0.15"/>
  <cols>
    <col min="1" max="1" width="10" style="78" customWidth="1"/>
    <col min="2" max="2" width="41.75" style="78" customWidth="1"/>
    <col min="3" max="4" width="20" style="78" customWidth="1"/>
    <col min="5" max="16384" width="10" style="78"/>
  </cols>
  <sheetData>
    <row r="1" spans="1:4" ht="26.25" customHeight="1" x14ac:dyDescent="0.15">
      <c r="A1" s="313" t="s">
        <v>965</v>
      </c>
      <c r="B1" s="314"/>
      <c r="C1" s="314"/>
      <c r="D1" s="314"/>
    </row>
    <row r="2" spans="1:4" ht="32.25" customHeight="1" x14ac:dyDescent="0.15">
      <c r="A2" s="315" t="str">
        <f>'Công trình'!A2</f>
        <v>CÔNG TRÌNH : XÂY DỰNG HỆ THỐNG CỐNG HỘP KÊNH BẾN KEM ĐOẠN TỪ NHÀ ÔNG CHÍN ĐẾN KÊNH ĐẠI TRÀ 2, XÃ KIẾN MINH</v>
      </c>
      <c r="B2" s="314"/>
      <c r="C2" s="314"/>
      <c r="D2" s="314"/>
    </row>
    <row r="3" spans="1:4" ht="37.5" customHeight="1" x14ac:dyDescent="0.15">
      <c r="A3" s="316" t="str">
        <f>'Công trình'!F6</f>
        <v>HẠNG MỤC 1</v>
      </c>
      <c r="B3" s="314"/>
      <c r="C3" s="314"/>
      <c r="D3" s="314"/>
    </row>
    <row r="4" spans="1:4" ht="15" customHeight="1" x14ac:dyDescent="0.15">
      <c r="A4" s="294" t="s">
        <v>4</v>
      </c>
      <c r="B4" s="294" t="s">
        <v>966</v>
      </c>
      <c r="C4" s="294" t="s">
        <v>967</v>
      </c>
      <c r="D4" s="294" t="s">
        <v>227</v>
      </c>
    </row>
    <row r="5" spans="1:4" ht="15" customHeight="1" x14ac:dyDescent="0.15">
      <c r="A5" s="295">
        <v>1</v>
      </c>
      <c r="B5" s="296" t="s">
        <v>968</v>
      </c>
      <c r="C5" s="297" t="s">
        <v>577</v>
      </c>
      <c r="D5" s="298">
        <v>1</v>
      </c>
    </row>
    <row r="6" spans="1:4" ht="15" customHeight="1" x14ac:dyDescent="0.15">
      <c r="A6" s="295">
        <v>2</v>
      </c>
      <c r="B6" s="296" t="s">
        <v>969</v>
      </c>
      <c r="C6" s="297" t="s">
        <v>970</v>
      </c>
      <c r="D6" s="298">
        <v>0</v>
      </c>
    </row>
    <row r="7" spans="1:4" ht="15" customHeight="1" x14ac:dyDescent="0.15">
      <c r="A7" s="295">
        <v>3</v>
      </c>
      <c r="B7" s="296" t="s">
        <v>971</v>
      </c>
      <c r="C7" s="297" t="s">
        <v>577</v>
      </c>
      <c r="D7" s="298">
        <v>1</v>
      </c>
    </row>
    <row r="8" spans="1:4" ht="15" customHeight="1" x14ac:dyDescent="0.15">
      <c r="A8" s="295">
        <v>4</v>
      </c>
      <c r="B8" s="296" t="s">
        <v>972</v>
      </c>
      <c r="C8" s="297" t="s">
        <v>970</v>
      </c>
      <c r="D8" s="298">
        <v>0</v>
      </c>
    </row>
    <row r="9" spans="1:4" ht="15" customHeight="1" x14ac:dyDescent="0.15">
      <c r="A9" s="295">
        <v>5</v>
      </c>
      <c r="B9" s="296" t="s">
        <v>973</v>
      </c>
      <c r="C9" s="297" t="s">
        <v>577</v>
      </c>
      <c r="D9" s="298">
        <v>1</v>
      </c>
    </row>
    <row r="10" spans="1:4" ht="15" customHeight="1" x14ac:dyDescent="0.15">
      <c r="A10" s="295">
        <v>6</v>
      </c>
      <c r="B10" s="296" t="s">
        <v>974</v>
      </c>
      <c r="C10" s="297" t="s">
        <v>970</v>
      </c>
      <c r="D10" s="298">
        <v>0</v>
      </c>
    </row>
    <row r="11" spans="1:4" ht="15" customHeight="1" x14ac:dyDescent="0.15">
      <c r="A11" s="295">
        <v>7</v>
      </c>
      <c r="B11" s="296" t="s">
        <v>975</v>
      </c>
      <c r="C11" s="297" t="s">
        <v>577</v>
      </c>
      <c r="D11" s="298">
        <v>1</v>
      </c>
    </row>
    <row r="12" spans="1:4" ht="15" customHeight="1" x14ac:dyDescent="0.15">
      <c r="A12" s="295">
        <v>8</v>
      </c>
      <c r="B12" s="296" t="s">
        <v>976</v>
      </c>
      <c r="C12" s="297" t="s">
        <v>970</v>
      </c>
      <c r="D12" s="298">
        <v>0</v>
      </c>
    </row>
    <row r="13" spans="1:4" ht="15" customHeight="1" x14ac:dyDescent="0.15">
      <c r="A13" s="295">
        <v>9</v>
      </c>
      <c r="B13" s="296" t="s">
        <v>977</v>
      </c>
      <c r="C13" s="297" t="str">
        <f t="shared" ref="C13:C19" si="0">SUBSTITUTE(D13*100&amp;"%",".",",")</f>
        <v>2%</v>
      </c>
      <c r="D13" s="298">
        <v>0.02</v>
      </c>
    </row>
    <row r="14" spans="1:4" ht="15" customHeight="1" x14ac:dyDescent="0.15">
      <c r="A14" s="295">
        <v>10</v>
      </c>
      <c r="B14" s="296" t="s">
        <v>609</v>
      </c>
      <c r="C14" s="297" t="str">
        <f t="shared" si="0"/>
        <v>5,5%</v>
      </c>
      <c r="D14" s="298">
        <v>5.5E-2</v>
      </c>
    </row>
    <row r="15" spans="1:4" ht="15" customHeight="1" x14ac:dyDescent="0.15">
      <c r="A15" s="295">
        <v>11</v>
      </c>
      <c r="B15" s="296" t="s">
        <v>978</v>
      </c>
      <c r="C15" s="297" t="str">
        <f t="shared" si="0"/>
        <v>5,5%</v>
      </c>
      <c r="D15" s="298">
        <v>5.5E-2</v>
      </c>
    </row>
    <row r="16" spans="1:4" ht="15" customHeight="1" x14ac:dyDescent="0.15">
      <c r="A16" s="295">
        <v>12</v>
      </c>
      <c r="B16" s="296" t="s">
        <v>979</v>
      </c>
      <c r="C16" s="297" t="str">
        <f t="shared" si="0"/>
        <v>5,5%</v>
      </c>
      <c r="D16" s="298">
        <v>5.5E-2</v>
      </c>
    </row>
    <row r="17" spans="1:4" ht="15" customHeight="1" x14ac:dyDescent="0.15">
      <c r="A17" s="295">
        <v>13</v>
      </c>
      <c r="B17" s="296" t="s">
        <v>641</v>
      </c>
      <c r="C17" s="297" t="str">
        <f t="shared" si="0"/>
        <v>8%</v>
      </c>
      <c r="D17" s="298">
        <v>0.08</v>
      </c>
    </row>
    <row r="18" spans="1:4" ht="15" customHeight="1" x14ac:dyDescent="0.15">
      <c r="A18" s="295">
        <v>14</v>
      </c>
      <c r="B18" s="296" t="s">
        <v>980</v>
      </c>
      <c r="C18" s="297" t="str">
        <f t="shared" si="0"/>
        <v>1,1%</v>
      </c>
      <c r="D18" s="298">
        <v>1.0999999999999999E-2</v>
      </c>
    </row>
    <row r="19" spans="1:4" ht="15" customHeight="1" x14ac:dyDescent="0.15">
      <c r="A19" s="295">
        <v>15</v>
      </c>
      <c r="B19" s="296" t="s">
        <v>981</v>
      </c>
      <c r="C19" s="297" t="str">
        <f t="shared" si="0"/>
        <v>0%</v>
      </c>
      <c r="D19" s="298">
        <v>0</v>
      </c>
    </row>
  </sheetData>
  <mergeCells count="3">
    <mergeCell ref="A1:D1"/>
    <mergeCell ref="A2:D2"/>
    <mergeCell ref="A3:D3"/>
  </mergeCells>
  <pageMargins left="1.1875" right="0" top="0.80208333333333337" bottom="0.80208333333333337" header="0.40625" footer="0.40625"/>
  <pageSetup paperSize="9" orientation="landscape" blackAndWhite="1" verticalDpi="0"/>
  <headerFooter alignWithMargins="0">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D4BAF-06CA-714B-91D8-6540C704F412}">
  <dimension ref="A1:G27"/>
  <sheetViews>
    <sheetView showZeros="0" workbookViewId="0">
      <selection sqref="A1:E1"/>
    </sheetView>
  </sheetViews>
  <sheetFormatPr baseColWidth="10" defaultColWidth="10" defaultRowHeight="15" customHeight="1" x14ac:dyDescent="0.15"/>
  <cols>
    <col min="1" max="1" width="10" style="68" customWidth="1"/>
    <col min="2" max="2" width="50" style="73" customWidth="1"/>
    <col min="3" max="3" width="33.25" style="73" customWidth="1"/>
    <col min="4" max="6" width="20" style="68" customWidth="1"/>
    <col min="7" max="7" width="33.25" style="68" customWidth="1"/>
    <col min="8" max="16384" width="10" style="73"/>
  </cols>
  <sheetData>
    <row r="1" spans="1:7" ht="37.5" customHeight="1" x14ac:dyDescent="0.15">
      <c r="A1" s="313" t="s">
        <v>982</v>
      </c>
      <c r="B1" s="343"/>
      <c r="C1" s="343"/>
      <c r="D1" s="345"/>
      <c r="E1" s="345"/>
    </row>
    <row r="2" spans="1:7" ht="26.25" customHeight="1" x14ac:dyDescent="0.15">
      <c r="A2" s="79" t="s">
        <v>4</v>
      </c>
      <c r="B2" s="19" t="s">
        <v>983</v>
      </c>
      <c r="C2" s="19" t="s">
        <v>984</v>
      </c>
      <c r="D2" s="19" t="s">
        <v>985</v>
      </c>
      <c r="E2" s="19" t="s">
        <v>443</v>
      </c>
      <c r="F2" s="19" t="s">
        <v>986</v>
      </c>
      <c r="G2" s="19" t="s">
        <v>987</v>
      </c>
    </row>
    <row r="3" spans="1:7" ht="30" x14ac:dyDescent="0.15">
      <c r="A3" s="299">
        <f>'TH kinh phí'!A16</f>
        <v>2</v>
      </c>
      <c r="B3" s="86" t="str">
        <f>'TH kinh phí'!B16</f>
        <v>Chi phí quản lý dự án</v>
      </c>
      <c r="C3" s="86" t="s">
        <v>988</v>
      </c>
      <c r="D3" s="134">
        <v>10</v>
      </c>
      <c r="E3" s="300">
        <v>2.9009999999999998E-2</v>
      </c>
      <c r="F3" s="300">
        <f>ROUND(E3,7)</f>
        <v>2.9010000000000001E-2</v>
      </c>
      <c r="G3" s="85" t="s">
        <v>703</v>
      </c>
    </row>
    <row r="4" spans="1:7" ht="30" x14ac:dyDescent="0.15">
      <c r="A4" s="299" t="str">
        <f>'TH kinh phí'!A29</f>
        <v>3.2</v>
      </c>
      <c r="B4" s="86" t="str">
        <f>'TH kinh phí'!B29</f>
        <v>Chi phí lập báo cáo kinh tế - kỹ thuật</v>
      </c>
      <c r="C4" s="86" t="s">
        <v>988</v>
      </c>
      <c r="D4" s="134">
        <v>3</v>
      </c>
      <c r="E4" s="300">
        <v>4.2000000000000003E-2</v>
      </c>
      <c r="F4" s="300">
        <f>ROUND(E4+(('TH kinh phí'!L7+'TH kinh phí'!L10)/10^9-D4)*(E5-E4)/(D5-D4),7)</f>
        <v>3.2526300000000001E-2</v>
      </c>
      <c r="G4" s="85" t="s">
        <v>703</v>
      </c>
    </row>
    <row r="5" spans="1:7" ht="14" x14ac:dyDescent="0.15">
      <c r="A5" s="84"/>
      <c r="B5" s="86"/>
      <c r="C5" s="86"/>
      <c r="D5" s="134">
        <v>7</v>
      </c>
      <c r="E5" s="300">
        <v>3.4000000000000002E-2</v>
      </c>
      <c r="F5" s="85"/>
      <c r="G5" s="85"/>
    </row>
    <row r="6" spans="1:7" ht="30" x14ac:dyDescent="0.15">
      <c r="A6" s="299" t="str">
        <f>'TH kinh phí'!A43</f>
        <v>3.3</v>
      </c>
      <c r="B6" s="86" t="str">
        <f>'TH kinh phí'!B43</f>
        <v>Chi phí thẩm tra thiết kế bản vẽ thi công</v>
      </c>
      <c r="C6" s="86" t="s">
        <v>988</v>
      </c>
      <c r="D6" s="134">
        <v>10</v>
      </c>
      <c r="E6" s="300">
        <v>1.97E-3</v>
      </c>
      <c r="F6" s="300">
        <f t="shared" ref="F6:F11" si="0">ROUND(E6,7)</f>
        <v>1.97E-3</v>
      </c>
      <c r="G6" s="85" t="s">
        <v>703</v>
      </c>
    </row>
    <row r="7" spans="1:7" ht="30" x14ac:dyDescent="0.15">
      <c r="A7" s="299" t="str">
        <f>'TH kinh phí'!A44</f>
        <v>3.4</v>
      </c>
      <c r="B7" s="86" t="str">
        <f>'TH kinh phí'!B44</f>
        <v>Chi phí thẩm tra dự toán công trình</v>
      </c>
      <c r="C7" s="86" t="s">
        <v>988</v>
      </c>
      <c r="D7" s="134">
        <v>10</v>
      </c>
      <c r="E7" s="300">
        <v>1.91E-3</v>
      </c>
      <c r="F7" s="300">
        <f t="shared" si="0"/>
        <v>1.91E-3</v>
      </c>
      <c r="G7" s="85" t="s">
        <v>703</v>
      </c>
    </row>
    <row r="8" spans="1:7" ht="30" x14ac:dyDescent="0.15">
      <c r="A8" s="299" t="str">
        <f>'TH kinh phí'!A45</f>
        <v>3.5</v>
      </c>
      <c r="B8" s="86" t="str">
        <f>'TH kinh phí'!B45</f>
        <v>Chi phí Lập hồ sơ mời thầu, đánh giá hồ sơ dự thầu thi công xây dựng</v>
      </c>
      <c r="C8" s="86" t="s">
        <v>988</v>
      </c>
      <c r="D8" s="134">
        <v>10</v>
      </c>
      <c r="E8" s="300">
        <v>3.8800000000000002E-3</v>
      </c>
      <c r="F8" s="300">
        <f t="shared" si="0"/>
        <v>3.8800000000000002E-3</v>
      </c>
      <c r="G8" s="85" t="s">
        <v>703</v>
      </c>
    </row>
    <row r="9" spans="1:7" ht="30" x14ac:dyDescent="0.15">
      <c r="A9" s="299" t="str">
        <f>'TH kinh phí'!A55</f>
        <v>3.8</v>
      </c>
      <c r="B9" s="86" t="str">
        <f>'TH kinh phí'!B55</f>
        <v>Chi phí giám sát thi công xây dựng</v>
      </c>
      <c r="C9" s="86" t="s">
        <v>988</v>
      </c>
      <c r="D9" s="134">
        <v>10</v>
      </c>
      <c r="E9" s="300">
        <v>2.5659999999999999E-2</v>
      </c>
      <c r="F9" s="300">
        <f t="shared" si="0"/>
        <v>2.5659999999999999E-2</v>
      </c>
      <c r="G9" s="85" t="s">
        <v>703</v>
      </c>
    </row>
    <row r="10" spans="1:7" ht="45" x14ac:dyDescent="0.15">
      <c r="A10" s="299" t="str">
        <f>'TH kinh phí'!A66</f>
        <v>5.1</v>
      </c>
      <c r="B10" s="86" t="str">
        <f>'TH kinh phí'!B66</f>
        <v>Phí thẩm định thiết kế xây dựng triển khai sau thiết kế cơ sở (Thông tư 27/2023/TT-BTC)</v>
      </c>
      <c r="C10" s="86" t="s">
        <v>988</v>
      </c>
      <c r="D10" s="134">
        <v>15</v>
      </c>
      <c r="E10" s="300">
        <v>1.2600000000000001E-3</v>
      </c>
      <c r="F10" s="300">
        <f t="shared" si="0"/>
        <v>1.2600000000000001E-3</v>
      </c>
      <c r="G10" s="85" t="s">
        <v>855</v>
      </c>
    </row>
    <row r="11" spans="1:7" ht="30" x14ac:dyDescent="0.15">
      <c r="A11" s="299" t="str">
        <f>'TH kinh phí'!A67</f>
        <v>4.2</v>
      </c>
      <c r="B11" s="86" t="str">
        <f>'TH kinh phí'!B67</f>
        <v>Phí thẩm định dự toán xây dựng (Thông tư 27/2023/TT-BTC)</v>
      </c>
      <c r="C11" s="86" t="s">
        <v>988</v>
      </c>
      <c r="D11" s="134">
        <v>15</v>
      </c>
      <c r="E11" s="300">
        <v>1.2199999999999999E-3</v>
      </c>
      <c r="F11" s="300">
        <f t="shared" si="0"/>
        <v>1.2199999999999999E-3</v>
      </c>
      <c r="G11" s="85" t="s">
        <v>855</v>
      </c>
    </row>
    <row r="12" spans="1:7" ht="30" x14ac:dyDescent="0.15">
      <c r="A12" s="299" t="str">
        <f>'TH kinh phí'!A74</f>
        <v>4.4</v>
      </c>
      <c r="B12" s="86" t="str">
        <f>'TH kinh phí'!B74</f>
        <v>Chi phí kiểm toán độc lập</v>
      </c>
      <c r="C12" s="86"/>
      <c r="D12" s="134">
        <v>5</v>
      </c>
      <c r="E12" s="300">
        <v>9.5999999999999992E-3</v>
      </c>
      <c r="F12" s="300">
        <f>E12+('TH kinh phí'!K81/10^9-D12)*(E13-E12)/(D13-D12)</f>
        <v>8.0055696158108074E-3</v>
      </c>
      <c r="G12" s="85" t="s">
        <v>878</v>
      </c>
    </row>
    <row r="13" spans="1:7" ht="14" x14ac:dyDescent="0.15">
      <c r="A13" s="84"/>
      <c r="B13" s="86"/>
      <c r="C13" s="86"/>
      <c r="D13" s="134">
        <v>10</v>
      </c>
      <c r="E13" s="300">
        <v>6.45E-3</v>
      </c>
      <c r="F13" s="85"/>
      <c r="G13" s="85"/>
    </row>
    <row r="14" spans="1:7" ht="30" x14ac:dyDescent="0.15">
      <c r="A14" s="299" t="str">
        <f>'TH kinh phí'!A73</f>
        <v>4.3</v>
      </c>
      <c r="B14" s="86" t="str">
        <f>'TH kinh phí'!B73</f>
        <v>Chi phí thẩm tra, phê duyệt quyết toán</v>
      </c>
      <c r="C14" s="86"/>
      <c r="D14" s="134">
        <v>5</v>
      </c>
      <c r="E14" s="300">
        <v>5.6999999999999993E-3</v>
      </c>
      <c r="F14" s="300" t="e">
        <f>E14+('TH kinh phí'!K81/10^9-D14)*(E15-E14)/(D15-D14)</f>
        <v>#DIV/0!</v>
      </c>
      <c r="G14" s="85" t="s">
        <v>878</v>
      </c>
    </row>
    <row r="15" spans="1:7" ht="30" x14ac:dyDescent="0.15">
      <c r="A15" s="301" t="str">
        <f>'TH kinh phí'!A74</f>
        <v>4.4</v>
      </c>
      <c r="B15" s="94" t="str">
        <f>'TH kinh phí'!B74</f>
        <v>Chi phí kiểm toán độc lập</v>
      </c>
      <c r="C15" s="94"/>
      <c r="D15" s="139">
        <v>5</v>
      </c>
      <c r="E15" s="302">
        <v>9.5999999999999992E-3</v>
      </c>
      <c r="F15" s="302">
        <f>E15+('TH kinh phí'!K81/10^9-D15)*(E16-E15)/(D16-D15)</f>
        <v>8.0055696158108074E-3</v>
      </c>
      <c r="G15" s="93" t="s">
        <v>878</v>
      </c>
    </row>
    <row r="16" spans="1:7" ht="14" x14ac:dyDescent="0.15">
      <c r="D16" s="67">
        <v>10</v>
      </c>
      <c r="E16" s="303">
        <v>6.45E-3</v>
      </c>
    </row>
    <row r="17" spans="1:7" ht="30" x14ac:dyDescent="0.15">
      <c r="A17" s="304" t="str">
        <f>'TH kinh phí'!A73</f>
        <v>4.3</v>
      </c>
      <c r="B17" s="73" t="str">
        <f>'TH kinh phí'!B73</f>
        <v>Chi phí thẩm tra, phê duyệt quyết toán</v>
      </c>
      <c r="D17" s="67">
        <v>5</v>
      </c>
      <c r="E17" s="303">
        <v>5.6999999999999993E-3</v>
      </c>
      <c r="F17" s="303" t="e">
        <f>E17+('TH kinh phí'!K81/10^9-D17)*(E18-E17)/(D18-D17)</f>
        <v>#DIV/0!</v>
      </c>
      <c r="G17" s="68" t="s">
        <v>878</v>
      </c>
    </row>
    <row r="18" spans="1:7" ht="30" x14ac:dyDescent="0.15">
      <c r="A18" s="304" t="str">
        <f>'TH kinh phí'!A74</f>
        <v>4.4</v>
      </c>
      <c r="B18" s="73" t="str">
        <f>'TH kinh phí'!B74</f>
        <v>Chi phí kiểm toán độc lập</v>
      </c>
      <c r="D18" s="67">
        <v>5</v>
      </c>
      <c r="E18" s="303">
        <v>9.5999999999999992E-3</v>
      </c>
      <c r="F18" s="303">
        <f>E18+('TH kinh phí'!K81/10^9-D18)*(E19-E18)/(D19-D18)</f>
        <v>8.0055696158108074E-3</v>
      </c>
      <c r="G18" s="68" t="s">
        <v>878</v>
      </c>
    </row>
    <row r="19" spans="1:7" ht="14" x14ac:dyDescent="0.15">
      <c r="D19" s="67">
        <v>10</v>
      </c>
      <c r="E19" s="303">
        <v>6.45E-3</v>
      </c>
    </row>
    <row r="20" spans="1:7" ht="30" x14ac:dyDescent="0.15">
      <c r="A20" s="304" t="str">
        <f>'TH kinh phí'!A73</f>
        <v>4.3</v>
      </c>
      <c r="B20" s="73" t="str">
        <f>'TH kinh phí'!B73</f>
        <v>Chi phí thẩm tra, phê duyệt quyết toán</v>
      </c>
      <c r="D20" s="67">
        <v>5</v>
      </c>
      <c r="E20" s="303">
        <v>5.6999999999999993E-3</v>
      </c>
      <c r="F20" s="303" t="e">
        <f>E20+('TH kinh phí'!K81/10^9-D20)*(E21-E20)/(D21-D20)</f>
        <v>#DIV/0!</v>
      </c>
      <c r="G20" s="68" t="s">
        <v>878</v>
      </c>
    </row>
    <row r="21" spans="1:7" ht="30" x14ac:dyDescent="0.15">
      <c r="A21" s="304" t="str">
        <f>'TH kinh phí'!A74</f>
        <v>4.4</v>
      </c>
      <c r="B21" s="73" t="str">
        <f>'TH kinh phí'!B74</f>
        <v>Chi phí kiểm toán độc lập</v>
      </c>
      <c r="D21" s="67">
        <v>5</v>
      </c>
      <c r="E21" s="303">
        <v>9.5999999999999992E-3</v>
      </c>
      <c r="F21" s="303">
        <f>E21+('TH kinh phí'!K81/10^9-D21)*(E22-E21)/(D22-D21)</f>
        <v>8.0055696158108074E-3</v>
      </c>
      <c r="G21" s="68" t="s">
        <v>878</v>
      </c>
    </row>
    <row r="22" spans="1:7" ht="14" x14ac:dyDescent="0.15">
      <c r="D22" s="67">
        <v>10</v>
      </c>
      <c r="E22" s="303">
        <v>6.45E-3</v>
      </c>
    </row>
    <row r="23" spans="1:7" ht="30" x14ac:dyDescent="0.15">
      <c r="A23" s="304" t="str">
        <f>'TH kinh phí'!A73</f>
        <v>4.3</v>
      </c>
      <c r="B23" s="73" t="str">
        <f>'TH kinh phí'!B73</f>
        <v>Chi phí thẩm tra, phê duyệt quyết toán</v>
      </c>
      <c r="D23" s="67">
        <v>5</v>
      </c>
      <c r="E23" s="303">
        <v>5.6999999999999993E-3</v>
      </c>
      <c r="F23" s="303" t="e">
        <f>E23+('TH kinh phí'!K81/10^9-D23)*(E24-E23)/(D24-D23)</f>
        <v>#DIV/0!</v>
      </c>
      <c r="G23" s="68" t="s">
        <v>878</v>
      </c>
    </row>
    <row r="24" spans="1:7" ht="30" x14ac:dyDescent="0.15">
      <c r="A24" s="304" t="str">
        <f>'TH kinh phí'!A74</f>
        <v>4.4</v>
      </c>
      <c r="B24" s="73" t="str">
        <f>'TH kinh phí'!B74</f>
        <v>Chi phí kiểm toán độc lập</v>
      </c>
      <c r="D24" s="67">
        <v>5</v>
      </c>
      <c r="E24" s="303">
        <v>9.5999999999999992E-3</v>
      </c>
      <c r="F24" s="303">
        <f>E24+('TH kinh phí'!K81/10^9-D24)*(E25-E24)/(D25-D24)</f>
        <v>8.0055696158108074E-3</v>
      </c>
      <c r="G24" s="68" t="s">
        <v>878</v>
      </c>
    </row>
    <row r="25" spans="1:7" ht="14" x14ac:dyDescent="0.15">
      <c r="D25" s="67">
        <v>10</v>
      </c>
      <c r="E25" s="303">
        <v>6.45E-3</v>
      </c>
    </row>
    <row r="26" spans="1:7" ht="30" x14ac:dyDescent="0.15">
      <c r="A26" s="304" t="str">
        <f>'TH kinh phí'!A73</f>
        <v>4.3</v>
      </c>
      <c r="B26" s="73" t="str">
        <f>'TH kinh phí'!B73</f>
        <v>Chi phí thẩm tra, phê duyệt quyết toán</v>
      </c>
      <c r="D26" s="67">
        <v>5</v>
      </c>
      <c r="E26" s="303">
        <v>5.6999999999999993E-3</v>
      </c>
      <c r="F26" s="303">
        <f>E26+('TH kinh phí'!K81/10^9-D26)*(E27-E26)/(D27-D26)</f>
        <v>4.7888969233204617E-3</v>
      </c>
      <c r="G26" s="68" t="s">
        <v>878</v>
      </c>
    </row>
    <row r="27" spans="1:7" ht="14" x14ac:dyDescent="0.15">
      <c r="D27" s="67">
        <v>10</v>
      </c>
      <c r="E27" s="303">
        <v>3.9000000000000003E-3</v>
      </c>
    </row>
  </sheetData>
  <mergeCells count="1">
    <mergeCell ref="A1:E1"/>
  </mergeCells>
  <pageMargins left="1.1875" right="0" top="0.80208333333333337" bottom="0.80208333333333337" header="0.40625" footer="0.40625"/>
  <pageSetup paperSize="9" orientation="landscape" blackAndWhite="1" verticalDpi="0"/>
  <headerFooter alignWithMargins="0">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8CB0B-47BD-464E-8C66-A0D3116925B4}">
  <dimension ref="A1"/>
  <sheetViews>
    <sheetView workbookViewId="0"/>
  </sheetViews>
  <sheetFormatPr baseColWidth="10" defaultColWidth="10" defaultRowHeight="15" customHeight="1" x14ac:dyDescent="0.15"/>
  <cols>
    <col min="1" max="16384" width="10" style="305"/>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4E2CE-9512-3B40-A2C0-D197999E75E0}">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5E1C6-527B-B349-9109-F0CBCB2A1C4D}">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5F60B-E864-A342-933A-5520761DFB0B}">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54385-A167-5240-BC8E-40AAF8B068D4}">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C2745-5516-AE45-A341-234EA839B8C3}">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5F1D6-6F72-1641-B401-981CDD69F15A}">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C52F4-B9B9-0142-8A7E-834C036D54D7}">
  <dimension ref="A1"/>
  <sheetViews>
    <sheetView workbookViewId="0"/>
  </sheetViews>
  <sheetFormatPr baseColWidth="10" defaultColWidth="10" defaultRowHeight="15" customHeight="1" x14ac:dyDescent="0.15"/>
  <cols>
    <col min="1" max="16384" width="10" style="78"/>
  </cols>
  <sheetData/>
  <pageMargins left="1.0208333333333333"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97711-16B0-8441-BF3F-19A96DCF3C96}">
  <dimension ref="A1"/>
  <sheetViews>
    <sheetView workbookViewId="0"/>
  </sheetViews>
  <sheetFormatPr baseColWidth="10" defaultColWidth="10" defaultRowHeight="15" customHeight="1" x14ac:dyDescent="0.15"/>
  <cols>
    <col min="1" max="16384" width="10" style="78"/>
  </cols>
  <sheetData/>
  <pageMargins left="0.6562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F4E71-D9F2-C941-A1B0-3546C3EF3460}">
  <dimension ref="E1:Z1"/>
  <sheetViews>
    <sheetView workbookViewId="0"/>
  </sheetViews>
  <sheetFormatPr baseColWidth="10" defaultColWidth="10" defaultRowHeight="15" customHeight="1" x14ac:dyDescent="0.15"/>
  <cols>
    <col min="1" max="4" width="10" style="78" customWidth="1"/>
    <col min="5" max="7" width="10" style="78" hidden="1" customWidth="1"/>
    <col min="8" max="13" width="10" style="78" customWidth="1"/>
    <col min="14" max="14" width="10" style="78" hidden="1" customWidth="1"/>
    <col min="15" max="16" width="10" style="78" customWidth="1"/>
    <col min="17" max="17" width="10" style="78" hidden="1" customWidth="1"/>
    <col min="18" max="18" width="10" style="78" customWidth="1"/>
    <col min="19" max="20" width="10" style="78" hidden="1" customWidth="1"/>
    <col min="21" max="22" width="10" style="78" customWidth="1"/>
    <col min="23" max="26" width="10" style="78" hidden="1" customWidth="1"/>
    <col min="27"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33B89-3675-224F-BDE0-6BAC5601E3C4}">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5DC87-E29E-044A-B34F-EC330276CD26}">
  <dimension ref="F1:L1"/>
  <sheetViews>
    <sheetView workbookViewId="0"/>
  </sheetViews>
  <sheetFormatPr baseColWidth="10" defaultColWidth="10" defaultRowHeight="15" customHeight="1" x14ac:dyDescent="0.15"/>
  <cols>
    <col min="1" max="5" width="10" style="78" customWidth="1"/>
    <col min="6" max="8" width="10" style="78" hidden="1" customWidth="1"/>
    <col min="9" max="10" width="10" style="78" customWidth="1"/>
    <col min="11" max="12" width="10" style="78" hidden="1" customWidth="1"/>
    <col min="13"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96822-7BBA-0644-8D17-0E53BDC8DD92}">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4AD37-46CE-3E46-9705-A4E6C4ACDF3A}">
  <dimension ref="A1"/>
  <sheetViews>
    <sheetView workbookViewId="0"/>
  </sheetViews>
  <sheetFormatPr baseColWidth="10" defaultColWidth="10" defaultRowHeight="15" customHeight="1" x14ac:dyDescent="0.15"/>
  <cols>
    <col min="1" max="16384" width="10" style="78"/>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6389E-7144-2F4D-A8C5-252AA538D802}">
  <dimension ref="A1"/>
  <sheetViews>
    <sheetView workbookViewId="0"/>
  </sheetViews>
  <sheetFormatPr baseColWidth="10" defaultColWidth="10" defaultRowHeight="15" customHeight="1" x14ac:dyDescent="0.15"/>
  <cols>
    <col min="1" max="16384" width="10" style="78"/>
  </cols>
  <sheetData/>
  <pageMargins left="0.82291666666666663"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22102-CF71-394C-9E46-782BF373819B}">
  <dimension ref="A1"/>
  <sheetViews>
    <sheetView workbookViewId="0"/>
  </sheetViews>
  <sheetFormatPr baseColWidth="10" defaultColWidth="10" defaultRowHeight="15" customHeight="1" x14ac:dyDescent="0.15"/>
  <cols>
    <col min="1" max="16384" width="10" style="78"/>
  </cols>
  <sheetData/>
  <pageMargins left="0.20833333333333334"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4C91E-9D0C-C946-BCDC-075B255C100B}">
  <dimension ref="A1"/>
  <sheetViews>
    <sheetView workbookViewId="0"/>
  </sheetViews>
  <sheetFormatPr baseColWidth="10" defaultRowHeight="15" customHeight="1" x14ac:dyDescent="0.15"/>
  <cols>
    <col min="1" max="256" width="8.75" customWidth="1"/>
  </cols>
  <sheetData/>
  <sheetProtection sheet="1"/>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69DBC-0658-C540-88C6-7E3720B9D124}">
  <dimension ref="A1"/>
  <sheetViews>
    <sheetView workbookViewId="0"/>
  </sheetViews>
  <sheetFormatPr baseColWidth="10" defaultColWidth="10" defaultRowHeight="15" customHeight="1" x14ac:dyDescent="0.15"/>
  <cols>
    <col min="1" max="16384" width="10" style="306"/>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AD941-F743-FA4E-B417-CA1669733934}">
  <dimension ref="A1:X79"/>
  <sheetViews>
    <sheetView workbookViewId="0"/>
  </sheetViews>
  <sheetFormatPr baseColWidth="10" defaultColWidth="10" defaultRowHeight="15" customHeight="1" x14ac:dyDescent="0.15"/>
  <cols>
    <col min="1" max="1" width="24.75" customWidth="1"/>
    <col min="2" max="3" width="29" customWidth="1"/>
    <col min="4" max="4" width="26.75" customWidth="1"/>
    <col min="5" max="5" width="22.75" customWidth="1"/>
    <col min="6" max="6" width="27.75" customWidth="1"/>
    <col min="7" max="7" width="26" customWidth="1"/>
    <col min="8" max="8" width="26.25" customWidth="1"/>
    <col min="9" max="9" width="20.25" customWidth="1"/>
    <col min="10" max="10" width="33.75" customWidth="1"/>
    <col min="11" max="11" width="18" customWidth="1"/>
    <col min="12" max="12" width="14.75" customWidth="1"/>
    <col min="13" max="13" width="11.75" customWidth="1"/>
    <col min="14" max="14" width="16.25" customWidth="1"/>
    <col min="15" max="15" width="17" customWidth="1"/>
    <col min="16" max="16" width="21.5" customWidth="1"/>
    <col min="17" max="17" width="12.75" customWidth="1"/>
    <col min="18" max="18" width="12.5" customWidth="1"/>
    <col min="19" max="19" width="20" customWidth="1"/>
    <col min="20" max="20" width="20.75" customWidth="1"/>
    <col min="21" max="21" width="13.75" customWidth="1"/>
    <col min="22" max="22" width="14.75" customWidth="1"/>
  </cols>
  <sheetData>
    <row r="1" spans="1:23" ht="15" customHeight="1" x14ac:dyDescent="0.15">
      <c r="A1" s="387" t="s">
        <v>989</v>
      </c>
      <c r="B1" s="386"/>
      <c r="C1" s="386"/>
      <c r="D1" s="386"/>
      <c r="E1" s="386"/>
      <c r="F1" s="386"/>
    </row>
    <row r="2" spans="1:23" ht="15" customHeight="1" x14ac:dyDescent="0.15">
      <c r="A2" s="307" t="s">
        <v>970</v>
      </c>
      <c r="B2" t="s">
        <v>577</v>
      </c>
      <c r="C2" t="s">
        <v>589</v>
      </c>
      <c r="D2" t="s">
        <v>597</v>
      </c>
      <c r="E2" t="s">
        <v>706</v>
      </c>
      <c r="F2" t="s">
        <v>844</v>
      </c>
      <c r="G2" t="s">
        <v>891</v>
      </c>
      <c r="H2" t="s">
        <v>990</v>
      </c>
      <c r="I2" t="s">
        <v>991</v>
      </c>
      <c r="J2" t="s">
        <v>992</v>
      </c>
      <c r="K2" t="s">
        <v>993</v>
      </c>
      <c r="L2" t="s">
        <v>994</v>
      </c>
      <c r="M2" t="s">
        <v>995</v>
      </c>
      <c r="N2" t="s">
        <v>996</v>
      </c>
      <c r="O2" t="s">
        <v>997</v>
      </c>
      <c r="P2" t="s">
        <v>998</v>
      </c>
      <c r="Q2" t="s">
        <v>999</v>
      </c>
      <c r="R2" t="s">
        <v>1000</v>
      </c>
      <c r="S2" t="s">
        <v>1001</v>
      </c>
      <c r="T2" t="s">
        <v>1002</v>
      </c>
      <c r="U2" t="s">
        <v>1003</v>
      </c>
      <c r="V2" t="s">
        <v>1004</v>
      </c>
      <c r="W2" t="s">
        <v>1005</v>
      </c>
    </row>
    <row r="3" spans="1:23" ht="15" customHeight="1" x14ac:dyDescent="0.15">
      <c r="A3" t="s">
        <v>1006</v>
      </c>
      <c r="B3" t="s">
        <v>1007</v>
      </c>
      <c r="C3" t="s">
        <v>1008</v>
      </c>
      <c r="D3" t="s">
        <v>1009</v>
      </c>
      <c r="E3" t="s">
        <v>1010</v>
      </c>
      <c r="F3" t="s">
        <v>1011</v>
      </c>
      <c r="G3" t="s">
        <v>1012</v>
      </c>
      <c r="H3" t="s">
        <v>1013</v>
      </c>
      <c r="I3" t="s">
        <v>1014</v>
      </c>
      <c r="J3" t="s">
        <v>1015</v>
      </c>
      <c r="K3" t="s">
        <v>631</v>
      </c>
      <c r="L3" t="s">
        <v>1016</v>
      </c>
      <c r="M3" t="s">
        <v>1017</v>
      </c>
      <c r="N3" t="s">
        <v>1018</v>
      </c>
    </row>
    <row r="4" spans="1:23" ht="15" customHeight="1" x14ac:dyDescent="0.15">
      <c r="A4" t="s">
        <v>891</v>
      </c>
      <c r="B4" t="s">
        <v>992</v>
      </c>
      <c r="C4" t="s">
        <v>995</v>
      </c>
      <c r="D4" t="s">
        <v>998</v>
      </c>
      <c r="E4" t="s">
        <v>1001</v>
      </c>
      <c r="F4" t="s">
        <v>1019</v>
      </c>
      <c r="G4" t="s">
        <v>1020</v>
      </c>
      <c r="H4" t="s">
        <v>1021</v>
      </c>
      <c r="I4" t="s">
        <v>1022</v>
      </c>
      <c r="J4" t="s">
        <v>1023</v>
      </c>
      <c r="K4" t="s">
        <v>1024</v>
      </c>
      <c r="L4" t="s">
        <v>1025</v>
      </c>
    </row>
    <row r="5" spans="1:23" ht="15" customHeight="1" x14ac:dyDescent="0.15">
      <c r="A5" s="386" t="s">
        <v>1026</v>
      </c>
      <c r="B5" s="386"/>
      <c r="C5" s="386"/>
      <c r="D5" s="386"/>
      <c r="E5" s="386"/>
      <c r="F5" s="386"/>
    </row>
    <row r="6" spans="1:23" ht="15" customHeight="1" x14ac:dyDescent="0.15">
      <c r="A6" t="s">
        <v>1027</v>
      </c>
      <c r="B6" t="s">
        <v>1028</v>
      </c>
      <c r="C6" t="s">
        <v>1029</v>
      </c>
      <c r="D6" t="s">
        <v>1030</v>
      </c>
      <c r="E6" t="s">
        <v>1031</v>
      </c>
      <c r="F6" t="s">
        <v>1032</v>
      </c>
      <c r="G6" t="s">
        <v>1033</v>
      </c>
      <c r="H6" t="s">
        <v>1034</v>
      </c>
      <c r="I6" t="s">
        <v>1035</v>
      </c>
      <c r="J6" t="s">
        <v>1036</v>
      </c>
      <c r="K6" t="s">
        <v>1037</v>
      </c>
    </row>
    <row r="7" spans="1:23" ht="17.25" customHeight="1" x14ac:dyDescent="0.15">
      <c r="A7" t="s">
        <v>2</v>
      </c>
      <c r="E7" s="308" t="s">
        <v>577</v>
      </c>
      <c r="F7" t="s">
        <v>577</v>
      </c>
      <c r="G7" t="s">
        <v>597</v>
      </c>
      <c r="H7" t="s">
        <v>589</v>
      </c>
      <c r="I7" t="s">
        <v>1038</v>
      </c>
      <c r="J7" s="309" t="s">
        <v>1004</v>
      </c>
      <c r="K7" t="s">
        <v>1039</v>
      </c>
      <c r="L7" t="s">
        <v>577</v>
      </c>
      <c r="M7" t="s">
        <v>577</v>
      </c>
      <c r="N7" t="s">
        <v>577</v>
      </c>
      <c r="O7" t="s">
        <v>1040</v>
      </c>
    </row>
    <row r="8" spans="1:23" ht="15" customHeight="1" x14ac:dyDescent="0.15">
      <c r="A8" s="387" t="s">
        <v>1041</v>
      </c>
      <c r="B8" s="386"/>
      <c r="C8" s="386"/>
      <c r="D8" s="386"/>
      <c r="E8" s="386"/>
      <c r="F8" s="386"/>
    </row>
    <row r="9" spans="1:23" ht="15" customHeight="1" x14ac:dyDescent="0.15">
      <c r="A9" t="s">
        <v>1042</v>
      </c>
      <c r="B9" t="s">
        <v>36</v>
      </c>
      <c r="C9" t="s">
        <v>1043</v>
      </c>
      <c r="D9" t="s">
        <v>1044</v>
      </c>
      <c r="E9" t="s">
        <v>1045</v>
      </c>
    </row>
    <row r="10" spans="1:23" ht="15" customHeight="1" x14ac:dyDescent="0.15">
      <c r="A10" t="s">
        <v>54</v>
      </c>
      <c r="B10" t="s">
        <v>49</v>
      </c>
      <c r="C10" t="s">
        <v>1046</v>
      </c>
      <c r="D10" t="s">
        <v>1047</v>
      </c>
    </row>
    <row r="11" spans="1:23" ht="15" customHeight="1" x14ac:dyDescent="0.15">
      <c r="A11" s="386" t="s">
        <v>1008</v>
      </c>
      <c r="B11" s="386"/>
      <c r="C11" s="386"/>
      <c r="D11" s="386"/>
      <c r="E11" s="386"/>
      <c r="F11" s="386"/>
    </row>
    <row r="12" spans="1:23" ht="15" customHeight="1" x14ac:dyDescent="0.15">
      <c r="A12" t="s">
        <v>1048</v>
      </c>
      <c r="B12" t="s">
        <v>1049</v>
      </c>
      <c r="C12" t="s">
        <v>1050</v>
      </c>
    </row>
    <row r="14" spans="1:23" ht="15" customHeight="1" x14ac:dyDescent="0.15">
      <c r="A14" s="386" t="s">
        <v>1009</v>
      </c>
      <c r="B14" s="386"/>
      <c r="C14" s="386"/>
      <c r="D14" s="386"/>
      <c r="E14" s="386"/>
      <c r="F14" s="386"/>
    </row>
    <row r="15" spans="1:23" ht="15" customHeight="1" x14ac:dyDescent="0.15">
      <c r="A15" t="s">
        <v>1032</v>
      </c>
      <c r="B15" t="s">
        <v>1051</v>
      </c>
      <c r="C15" t="s">
        <v>1052</v>
      </c>
    </row>
    <row r="17" spans="1:6" ht="15" customHeight="1" x14ac:dyDescent="0.15">
      <c r="A17" s="386" t="s">
        <v>1010</v>
      </c>
      <c r="B17" s="386"/>
      <c r="C17" s="386"/>
      <c r="D17" s="386"/>
      <c r="E17" s="386"/>
      <c r="F17" s="386"/>
    </row>
    <row r="18" spans="1:6" ht="15" customHeight="1" x14ac:dyDescent="0.15">
      <c r="A18" t="s">
        <v>1053</v>
      </c>
      <c r="B18" t="s">
        <v>1054</v>
      </c>
    </row>
    <row r="19" spans="1:6" ht="15" customHeight="1" x14ac:dyDescent="0.15">
      <c r="A19" t="s">
        <v>1055</v>
      </c>
      <c r="B19" t="s">
        <v>0</v>
      </c>
    </row>
    <row r="20" spans="1:6" ht="15" customHeight="1" x14ac:dyDescent="0.15">
      <c r="A20" t="s">
        <v>1056</v>
      </c>
      <c r="B20" t="s">
        <v>223</v>
      </c>
    </row>
    <row r="21" spans="1:6" ht="15" customHeight="1" x14ac:dyDescent="0.15">
      <c r="A21" t="s">
        <v>1057</v>
      </c>
      <c r="B21" t="s">
        <v>1058</v>
      </c>
    </row>
    <row r="22" spans="1:6" ht="15" customHeight="1" x14ac:dyDescent="0.15">
      <c r="A22" t="s">
        <v>1059</v>
      </c>
      <c r="B22" t="s">
        <v>485</v>
      </c>
    </row>
    <row r="23" spans="1:6" ht="15" customHeight="1" x14ac:dyDescent="0.15">
      <c r="A23" t="s">
        <v>1060</v>
      </c>
      <c r="B23" t="s">
        <v>490</v>
      </c>
    </row>
    <row r="24" spans="1:6" ht="15" customHeight="1" x14ac:dyDescent="0.15">
      <c r="A24" t="s">
        <v>1061</v>
      </c>
      <c r="B24" t="s">
        <v>1062</v>
      </c>
    </row>
    <row r="25" spans="1:6" ht="15" customHeight="1" x14ac:dyDescent="0.15">
      <c r="A25" t="s">
        <v>1063</v>
      </c>
      <c r="B25" t="s">
        <v>571</v>
      </c>
    </row>
    <row r="26" spans="1:6" ht="15" customHeight="1" x14ac:dyDescent="0.15">
      <c r="A26" t="s">
        <v>1064</v>
      </c>
      <c r="B26" t="s">
        <v>638</v>
      </c>
    </row>
    <row r="27" spans="1:6" ht="15" customHeight="1" x14ac:dyDescent="0.15">
      <c r="A27" t="s">
        <v>1065</v>
      </c>
      <c r="B27" t="s">
        <v>630</v>
      </c>
    </row>
    <row r="28" spans="1:6" ht="15" customHeight="1" x14ac:dyDescent="0.15">
      <c r="A28" t="s">
        <v>1066</v>
      </c>
      <c r="B28" t="s">
        <v>665</v>
      </c>
    </row>
    <row r="29" spans="1:6" ht="15" customHeight="1" x14ac:dyDescent="0.15">
      <c r="A29" t="s">
        <v>1048</v>
      </c>
      <c r="B29" t="s">
        <v>921</v>
      </c>
    </row>
    <row r="30" spans="1:6" ht="15" customHeight="1" x14ac:dyDescent="0.15">
      <c r="A30" t="s">
        <v>1067</v>
      </c>
      <c r="B30" t="s">
        <v>930</v>
      </c>
    </row>
    <row r="31" spans="1:6" ht="15" customHeight="1" x14ac:dyDescent="0.15">
      <c r="A31" t="s">
        <v>1068</v>
      </c>
      <c r="B31" t="s">
        <v>1069</v>
      </c>
    </row>
    <row r="32" spans="1:6" ht="15" customHeight="1" x14ac:dyDescent="0.15">
      <c r="A32" t="s">
        <v>1070</v>
      </c>
      <c r="B32" t="s">
        <v>1071</v>
      </c>
    </row>
    <row r="33" spans="1:7" ht="15" customHeight="1" x14ac:dyDescent="0.15">
      <c r="A33" s="386" t="s">
        <v>1011</v>
      </c>
      <c r="B33" s="386"/>
      <c r="C33" s="386"/>
      <c r="D33" s="386"/>
      <c r="E33" s="386"/>
      <c r="F33" s="386"/>
    </row>
    <row r="34" spans="1:7" ht="15" customHeight="1" x14ac:dyDescent="0.15">
      <c r="A34" t="s">
        <v>1072</v>
      </c>
      <c r="B34" t="s">
        <v>1073</v>
      </c>
      <c r="C34" t="s">
        <v>1074</v>
      </c>
      <c r="D34" t="s">
        <v>1075</v>
      </c>
      <c r="E34" t="s">
        <v>1076</v>
      </c>
      <c r="F34" t="s">
        <v>1077</v>
      </c>
      <c r="G34" t="s">
        <v>1078</v>
      </c>
    </row>
    <row r="35" spans="1:7" ht="15" customHeight="1" x14ac:dyDescent="0.15">
      <c r="A35" t="s">
        <v>1079</v>
      </c>
      <c r="B35" t="s">
        <v>1080</v>
      </c>
      <c r="C35" t="s">
        <v>994</v>
      </c>
      <c r="D35" t="s">
        <v>970</v>
      </c>
      <c r="E35" t="s">
        <v>970</v>
      </c>
      <c r="F35" t="s">
        <v>970</v>
      </c>
      <c r="G35" t="s">
        <v>970</v>
      </c>
    </row>
    <row r="36" spans="1:7" ht="15" customHeight="1" x14ac:dyDescent="0.15">
      <c r="A36" t="s">
        <v>1081</v>
      </c>
      <c r="B36" t="s">
        <v>1080</v>
      </c>
      <c r="C36" t="s">
        <v>994</v>
      </c>
      <c r="D36" t="s">
        <v>970</v>
      </c>
      <c r="E36" t="s">
        <v>970</v>
      </c>
      <c r="F36" t="s">
        <v>970</v>
      </c>
      <c r="G36" t="s">
        <v>970</v>
      </c>
    </row>
    <row r="37" spans="1:7" ht="15" customHeight="1" x14ac:dyDescent="0.15">
      <c r="A37" t="s">
        <v>1082</v>
      </c>
      <c r="B37" t="s">
        <v>1080</v>
      </c>
      <c r="C37" t="s">
        <v>993</v>
      </c>
      <c r="D37" t="s">
        <v>577</v>
      </c>
      <c r="E37" t="s">
        <v>970</v>
      </c>
      <c r="F37" t="s">
        <v>970</v>
      </c>
      <c r="G37" t="s">
        <v>970</v>
      </c>
    </row>
    <row r="38" spans="1:7" ht="15" customHeight="1" x14ac:dyDescent="0.15">
      <c r="A38" t="s">
        <v>631</v>
      </c>
      <c r="B38" t="s">
        <v>1080</v>
      </c>
      <c r="C38" t="s">
        <v>993</v>
      </c>
      <c r="D38" t="s">
        <v>577</v>
      </c>
      <c r="E38" t="s">
        <v>970</v>
      </c>
      <c r="F38" t="s">
        <v>970</v>
      </c>
      <c r="G38" t="s">
        <v>970</v>
      </c>
    </row>
    <row r="39" spans="1:7" ht="15" customHeight="1" x14ac:dyDescent="0.15">
      <c r="A39" t="s">
        <v>1083</v>
      </c>
      <c r="B39" t="s">
        <v>1080</v>
      </c>
      <c r="C39" t="s">
        <v>994</v>
      </c>
      <c r="D39" t="s">
        <v>577</v>
      </c>
      <c r="E39" t="s">
        <v>970</v>
      </c>
      <c r="F39" t="s">
        <v>970</v>
      </c>
      <c r="G39" t="s">
        <v>970</v>
      </c>
    </row>
    <row r="40" spans="1:7" ht="15" customHeight="1" x14ac:dyDescent="0.15">
      <c r="A40" t="s">
        <v>1084</v>
      </c>
      <c r="B40" t="s">
        <v>1080</v>
      </c>
      <c r="C40" t="s">
        <v>994</v>
      </c>
      <c r="D40" t="s">
        <v>577</v>
      </c>
      <c r="E40" t="s">
        <v>970</v>
      </c>
      <c r="F40" t="s">
        <v>970</v>
      </c>
      <c r="G40" t="s">
        <v>970</v>
      </c>
    </row>
    <row r="41" spans="1:7" ht="15" customHeight="1" x14ac:dyDescent="0.15">
      <c r="A41" t="s">
        <v>1027</v>
      </c>
      <c r="B41" t="s">
        <v>1080</v>
      </c>
      <c r="C41" t="s">
        <v>995</v>
      </c>
      <c r="D41" t="s">
        <v>577</v>
      </c>
      <c r="E41" t="s">
        <v>970</v>
      </c>
      <c r="F41" t="s">
        <v>970</v>
      </c>
      <c r="G41" t="s">
        <v>970</v>
      </c>
    </row>
    <row r="42" spans="1:7" ht="15" customHeight="1" x14ac:dyDescent="0.15">
      <c r="A42" t="s">
        <v>1085</v>
      </c>
      <c r="B42" t="s">
        <v>1080</v>
      </c>
      <c r="C42" t="s">
        <v>998</v>
      </c>
      <c r="D42" t="s">
        <v>577</v>
      </c>
      <c r="E42" t="s">
        <v>970</v>
      </c>
      <c r="F42" t="s">
        <v>970</v>
      </c>
      <c r="G42" t="s">
        <v>970</v>
      </c>
    </row>
    <row r="43" spans="1:7" ht="15" customHeight="1" x14ac:dyDescent="0.15">
      <c r="A43" s="386" t="s">
        <v>1012</v>
      </c>
      <c r="B43" s="386"/>
      <c r="C43" s="386"/>
      <c r="D43" s="386"/>
      <c r="E43" s="386"/>
      <c r="F43" s="386"/>
    </row>
    <row r="44" spans="1:7" ht="15" customHeight="1" x14ac:dyDescent="0.15">
      <c r="A44" t="s">
        <v>1072</v>
      </c>
      <c r="B44" t="s">
        <v>587</v>
      </c>
      <c r="C44" t="s">
        <v>1086</v>
      </c>
      <c r="D44" t="s">
        <v>619</v>
      </c>
      <c r="E44" t="s">
        <v>595</v>
      </c>
    </row>
    <row r="45" spans="1:7" ht="15" customHeight="1" x14ac:dyDescent="0.15">
      <c r="A45" t="s">
        <v>1079</v>
      </c>
      <c r="B45" t="s">
        <v>1087</v>
      </c>
      <c r="C45" t="s">
        <v>970</v>
      </c>
      <c r="D45" t="s">
        <v>970</v>
      </c>
      <c r="E45" t="s">
        <v>970</v>
      </c>
    </row>
    <row r="46" spans="1:7" ht="15" customHeight="1" x14ac:dyDescent="0.15">
      <c r="A46" t="s">
        <v>1081</v>
      </c>
      <c r="B46" t="s">
        <v>1087</v>
      </c>
      <c r="C46" t="s">
        <v>970</v>
      </c>
      <c r="D46" t="s">
        <v>970</v>
      </c>
      <c r="E46" t="s">
        <v>1087</v>
      </c>
    </row>
    <row r="47" spans="1:7" ht="15" customHeight="1" x14ac:dyDescent="0.15">
      <c r="A47" t="s">
        <v>1088</v>
      </c>
      <c r="B47" t="s">
        <v>1087</v>
      </c>
      <c r="C47" t="s">
        <v>1087</v>
      </c>
      <c r="D47" t="s">
        <v>970</v>
      </c>
      <c r="E47" t="s">
        <v>970</v>
      </c>
    </row>
    <row r="48" spans="1:7" ht="15" customHeight="1" x14ac:dyDescent="0.15">
      <c r="A48" t="s">
        <v>17</v>
      </c>
      <c r="B48" t="s">
        <v>1087</v>
      </c>
      <c r="C48" t="s">
        <v>970</v>
      </c>
      <c r="D48" t="s">
        <v>970</v>
      </c>
      <c r="E48" t="s">
        <v>1087</v>
      </c>
    </row>
    <row r="49" spans="1:9" ht="15" customHeight="1" x14ac:dyDescent="0.15">
      <c r="A49" t="s">
        <v>1089</v>
      </c>
      <c r="B49" t="s">
        <v>1087</v>
      </c>
      <c r="C49" t="s">
        <v>1090</v>
      </c>
      <c r="D49" t="s">
        <v>1091</v>
      </c>
      <c r="E49" t="s">
        <v>1091</v>
      </c>
    </row>
    <row r="50" spans="1:9" ht="15" customHeight="1" x14ac:dyDescent="0.15">
      <c r="A50" t="s">
        <v>1082</v>
      </c>
      <c r="B50" t="s">
        <v>1087</v>
      </c>
      <c r="C50" t="s">
        <v>1092</v>
      </c>
      <c r="D50" t="s">
        <v>970</v>
      </c>
      <c r="E50" t="s">
        <v>970</v>
      </c>
    </row>
    <row r="51" spans="1:9" ht="15" customHeight="1" x14ac:dyDescent="0.15">
      <c r="A51" t="s">
        <v>631</v>
      </c>
      <c r="B51" t="s">
        <v>1087</v>
      </c>
      <c r="C51" t="s">
        <v>970</v>
      </c>
      <c r="D51" t="s">
        <v>970</v>
      </c>
      <c r="E51" t="s">
        <v>1093</v>
      </c>
    </row>
    <row r="52" spans="1:9" ht="15" customHeight="1" x14ac:dyDescent="0.15">
      <c r="A52" s="386" t="s">
        <v>1013</v>
      </c>
      <c r="B52" s="386"/>
      <c r="C52" s="386"/>
      <c r="D52" s="386"/>
      <c r="E52" s="386"/>
      <c r="F52" s="386"/>
    </row>
    <row r="53" spans="1:9" ht="15" customHeight="1" x14ac:dyDescent="0.15">
      <c r="A53" t="s">
        <v>1085</v>
      </c>
      <c r="B53" t="s">
        <v>1073</v>
      </c>
      <c r="C53" t="s">
        <v>1074</v>
      </c>
      <c r="D53" t="s">
        <v>1075</v>
      </c>
      <c r="E53" t="s">
        <v>1076</v>
      </c>
      <c r="F53" t="s">
        <v>1077</v>
      </c>
      <c r="G53" t="s">
        <v>1078</v>
      </c>
      <c r="H53" t="s">
        <v>1094</v>
      </c>
      <c r="I53" t="s">
        <v>1095</v>
      </c>
    </row>
    <row r="54" spans="1:9" ht="15" customHeight="1" x14ac:dyDescent="0.15">
      <c r="A54" t="s">
        <v>1056</v>
      </c>
      <c r="B54" t="s">
        <v>1080</v>
      </c>
      <c r="C54" t="s">
        <v>994</v>
      </c>
      <c r="D54" t="s">
        <v>970</v>
      </c>
      <c r="E54" t="s">
        <v>970</v>
      </c>
      <c r="F54" t="s">
        <v>970</v>
      </c>
      <c r="G54" t="s">
        <v>970</v>
      </c>
      <c r="H54" t="s">
        <v>1080</v>
      </c>
      <c r="I54" t="s">
        <v>994</v>
      </c>
    </row>
    <row r="55" spans="1:9" ht="15" customHeight="1" x14ac:dyDescent="0.15">
      <c r="A55" t="s">
        <v>1057</v>
      </c>
      <c r="B55" t="s">
        <v>1080</v>
      </c>
      <c r="C55" t="s">
        <v>994</v>
      </c>
      <c r="D55" t="s">
        <v>970</v>
      </c>
      <c r="E55" t="s">
        <v>970</v>
      </c>
      <c r="F55" t="s">
        <v>970</v>
      </c>
      <c r="G55" t="s">
        <v>970</v>
      </c>
      <c r="H55" t="s">
        <v>1080</v>
      </c>
      <c r="I55" t="s">
        <v>994</v>
      </c>
    </row>
    <row r="56" spans="1:9" ht="15" customHeight="1" x14ac:dyDescent="0.15">
      <c r="A56" t="s">
        <v>1059</v>
      </c>
      <c r="B56" t="s">
        <v>1080</v>
      </c>
      <c r="C56" t="s">
        <v>994</v>
      </c>
      <c r="D56" t="s">
        <v>970</v>
      </c>
      <c r="E56" t="s">
        <v>970</v>
      </c>
      <c r="F56" t="s">
        <v>970</v>
      </c>
      <c r="G56" t="s">
        <v>970</v>
      </c>
      <c r="H56" t="s">
        <v>1080</v>
      </c>
      <c r="I56" t="s">
        <v>994</v>
      </c>
    </row>
    <row r="57" spans="1:9" ht="15" customHeight="1" x14ac:dyDescent="0.15">
      <c r="A57" t="s">
        <v>1060</v>
      </c>
      <c r="B57" t="s">
        <v>1080</v>
      </c>
      <c r="C57" t="s">
        <v>994</v>
      </c>
      <c r="D57" t="s">
        <v>970</v>
      </c>
      <c r="E57" t="s">
        <v>970</v>
      </c>
      <c r="F57" t="s">
        <v>970</v>
      </c>
      <c r="G57" t="s">
        <v>970</v>
      </c>
      <c r="H57" t="s">
        <v>1080</v>
      </c>
      <c r="I57" t="s">
        <v>994</v>
      </c>
    </row>
    <row r="58" spans="1:9" ht="15" customHeight="1" x14ac:dyDescent="0.15">
      <c r="A58" t="s">
        <v>1061</v>
      </c>
      <c r="B58" t="s">
        <v>1080</v>
      </c>
      <c r="C58" t="s">
        <v>994</v>
      </c>
      <c r="D58" t="s">
        <v>970</v>
      </c>
      <c r="E58" t="s">
        <v>970</v>
      </c>
      <c r="F58" t="s">
        <v>970</v>
      </c>
      <c r="G58" t="s">
        <v>970</v>
      </c>
      <c r="H58" t="s">
        <v>1080</v>
      </c>
      <c r="I58" t="s">
        <v>994</v>
      </c>
    </row>
    <row r="59" spans="1:9" ht="15" customHeight="1" x14ac:dyDescent="0.15">
      <c r="A59" t="s">
        <v>1063</v>
      </c>
      <c r="B59" t="s">
        <v>1080</v>
      </c>
      <c r="C59" t="s">
        <v>994</v>
      </c>
      <c r="D59" t="s">
        <v>970</v>
      </c>
      <c r="E59" t="s">
        <v>970</v>
      </c>
      <c r="F59" t="s">
        <v>970</v>
      </c>
      <c r="G59" t="s">
        <v>970</v>
      </c>
      <c r="H59" t="s">
        <v>1080</v>
      </c>
      <c r="I59" t="s">
        <v>994</v>
      </c>
    </row>
    <row r="60" spans="1:9" ht="15" customHeight="1" x14ac:dyDescent="0.15">
      <c r="A60" t="s">
        <v>1064</v>
      </c>
      <c r="B60" t="s">
        <v>1080</v>
      </c>
      <c r="C60" t="s">
        <v>994</v>
      </c>
      <c r="D60" t="s">
        <v>970</v>
      </c>
      <c r="E60" t="s">
        <v>970</v>
      </c>
      <c r="F60" t="s">
        <v>970</v>
      </c>
      <c r="G60" t="s">
        <v>970</v>
      </c>
      <c r="H60" t="s">
        <v>1080</v>
      </c>
      <c r="I60" t="s">
        <v>994</v>
      </c>
    </row>
    <row r="61" spans="1:9" ht="15" customHeight="1" x14ac:dyDescent="0.15">
      <c r="A61" t="s">
        <v>1065</v>
      </c>
      <c r="B61" t="s">
        <v>1080</v>
      </c>
      <c r="C61" t="s">
        <v>994</v>
      </c>
      <c r="D61" t="s">
        <v>970</v>
      </c>
      <c r="E61" t="s">
        <v>970</v>
      </c>
      <c r="F61" t="s">
        <v>970</v>
      </c>
      <c r="G61" t="s">
        <v>970</v>
      </c>
      <c r="H61" t="s">
        <v>1080</v>
      </c>
      <c r="I61" t="s">
        <v>994</v>
      </c>
    </row>
    <row r="62" spans="1:9" ht="15" customHeight="1" x14ac:dyDescent="0.15">
      <c r="A62" t="s">
        <v>1066</v>
      </c>
      <c r="B62" t="s">
        <v>1080</v>
      </c>
      <c r="C62" t="s">
        <v>994</v>
      </c>
      <c r="D62" t="s">
        <v>970</v>
      </c>
      <c r="E62" t="s">
        <v>970</v>
      </c>
      <c r="F62" t="s">
        <v>970</v>
      </c>
      <c r="G62" t="s">
        <v>970</v>
      </c>
      <c r="H62" t="s">
        <v>1080</v>
      </c>
      <c r="I62" t="s">
        <v>994</v>
      </c>
    </row>
    <row r="63" spans="1:9" ht="15" customHeight="1" x14ac:dyDescent="0.15">
      <c r="A63" t="s">
        <v>1048</v>
      </c>
      <c r="B63" t="s">
        <v>1080</v>
      </c>
      <c r="C63" t="s">
        <v>994</v>
      </c>
      <c r="D63" t="s">
        <v>970</v>
      </c>
      <c r="E63" t="s">
        <v>970</v>
      </c>
      <c r="F63" t="s">
        <v>970</v>
      </c>
      <c r="G63" t="s">
        <v>970</v>
      </c>
      <c r="H63" t="s">
        <v>1080</v>
      </c>
      <c r="I63" t="s">
        <v>994</v>
      </c>
    </row>
    <row r="64" spans="1:9" ht="15" customHeight="1" x14ac:dyDescent="0.15">
      <c r="A64" t="s">
        <v>1067</v>
      </c>
      <c r="B64" t="s">
        <v>1080</v>
      </c>
      <c r="C64" t="s">
        <v>994</v>
      </c>
      <c r="D64" t="s">
        <v>970</v>
      </c>
      <c r="E64" t="s">
        <v>970</v>
      </c>
      <c r="F64" t="s">
        <v>970</v>
      </c>
      <c r="G64" t="s">
        <v>970</v>
      </c>
      <c r="H64" t="s">
        <v>1080</v>
      </c>
      <c r="I64" t="s">
        <v>994</v>
      </c>
    </row>
    <row r="65" spans="1:24" ht="15" customHeight="1" x14ac:dyDescent="0.15">
      <c r="A65" t="s">
        <v>1068</v>
      </c>
      <c r="B65" t="s">
        <v>1080</v>
      </c>
      <c r="C65" t="s">
        <v>994</v>
      </c>
      <c r="D65" t="s">
        <v>970</v>
      </c>
      <c r="E65" t="s">
        <v>970</v>
      </c>
      <c r="F65" t="s">
        <v>970</v>
      </c>
      <c r="G65" t="s">
        <v>970</v>
      </c>
      <c r="H65" t="s">
        <v>1080</v>
      </c>
      <c r="I65" t="s">
        <v>994</v>
      </c>
    </row>
    <row r="66" spans="1:24" ht="15" customHeight="1" x14ac:dyDescent="0.15">
      <c r="A66" t="s">
        <v>1070</v>
      </c>
      <c r="B66" t="s">
        <v>1080</v>
      </c>
      <c r="C66" t="s">
        <v>994</v>
      </c>
      <c r="D66" t="s">
        <v>970</v>
      </c>
      <c r="E66" t="s">
        <v>970</v>
      </c>
      <c r="F66" t="s">
        <v>970</v>
      </c>
      <c r="G66" t="s">
        <v>970</v>
      </c>
      <c r="H66" t="s">
        <v>1080</v>
      </c>
      <c r="I66" t="s">
        <v>994</v>
      </c>
    </row>
    <row r="67" spans="1:24" ht="15" customHeight="1" x14ac:dyDescent="0.15">
      <c r="A67" s="386" t="s">
        <v>1096</v>
      </c>
      <c r="B67" s="386"/>
      <c r="C67" s="386"/>
      <c r="D67" s="386"/>
      <c r="E67" s="386"/>
      <c r="F67" s="386"/>
    </row>
    <row r="68" spans="1:24" ht="15" customHeight="1" x14ac:dyDescent="0.15">
      <c r="A68" t="s">
        <v>1097</v>
      </c>
      <c r="B68" t="s">
        <v>1098</v>
      </c>
    </row>
    <row r="69" spans="1:24" ht="15" customHeight="1" x14ac:dyDescent="0.15">
      <c r="A69" t="s">
        <v>1099</v>
      </c>
    </row>
    <row r="70" spans="1:24" ht="15" customHeight="1" x14ac:dyDescent="0.15">
      <c r="A70" s="386" t="s">
        <v>1015</v>
      </c>
      <c r="B70" s="386"/>
      <c r="C70" s="386"/>
      <c r="D70" s="386"/>
      <c r="E70" s="386"/>
      <c r="F70" s="386"/>
    </row>
    <row r="71" spans="1:24" ht="15" customHeight="1" x14ac:dyDescent="0.15">
      <c r="A71" t="s">
        <v>1100</v>
      </c>
      <c r="B71" t="s">
        <v>1101</v>
      </c>
      <c r="C71" t="s">
        <v>1102</v>
      </c>
      <c r="D71" t="s">
        <v>1103</v>
      </c>
      <c r="E71" t="s">
        <v>1104</v>
      </c>
      <c r="F71" t="s">
        <v>1105</v>
      </c>
      <c r="G71" t="s">
        <v>1106</v>
      </c>
    </row>
    <row r="72" spans="1:24" ht="15" customHeight="1" x14ac:dyDescent="0.15">
      <c r="A72" t="s">
        <v>891</v>
      </c>
      <c r="B72" t="s">
        <v>706</v>
      </c>
      <c r="C72" t="s">
        <v>577</v>
      </c>
      <c r="D72" t="s">
        <v>577</v>
      </c>
      <c r="E72" t="s">
        <v>577</v>
      </c>
      <c r="F72" t="s">
        <v>970</v>
      </c>
      <c r="G72" t="s">
        <v>844</v>
      </c>
    </row>
    <row r="73" spans="1:24" ht="15" customHeight="1" x14ac:dyDescent="0.15">
      <c r="A73" s="386" t="s">
        <v>1107</v>
      </c>
      <c r="B73" s="386"/>
      <c r="C73" s="386"/>
      <c r="D73" s="386"/>
      <c r="E73" s="386"/>
      <c r="F73" s="386"/>
    </row>
    <row r="74" spans="1:24" ht="15" customHeight="1" x14ac:dyDescent="0.15">
      <c r="A74" t="s">
        <v>1108</v>
      </c>
    </row>
    <row r="75" spans="1:24" ht="15" customHeight="1" x14ac:dyDescent="0.15">
      <c r="A75">
        <v>0</v>
      </c>
    </row>
    <row r="76" spans="1:24" ht="15" customHeight="1" x14ac:dyDescent="0.15">
      <c r="A76" s="386" t="s">
        <v>1109</v>
      </c>
      <c r="B76" s="386"/>
      <c r="C76" s="386"/>
      <c r="D76" s="386"/>
      <c r="E76" s="386"/>
      <c r="F76" s="386"/>
    </row>
    <row r="77" spans="1:24" ht="15" customHeight="1" x14ac:dyDescent="0.15">
      <c r="A77" t="s">
        <v>4</v>
      </c>
      <c r="B77" s="386" t="s">
        <v>1084</v>
      </c>
      <c r="C77" t="s">
        <v>1110</v>
      </c>
      <c r="D77" t="s">
        <v>1111</v>
      </c>
      <c r="E77" t="s">
        <v>1112</v>
      </c>
      <c r="F77" t="s">
        <v>1113</v>
      </c>
      <c r="G77" t="s">
        <v>1114</v>
      </c>
      <c r="H77" t="s">
        <v>1115</v>
      </c>
      <c r="I77" t="s">
        <v>1116</v>
      </c>
      <c r="J77" t="s">
        <v>1117</v>
      </c>
      <c r="K77" t="s">
        <v>1118</v>
      </c>
      <c r="L77" t="s">
        <v>1119</v>
      </c>
      <c r="M77" t="s">
        <v>1120</v>
      </c>
      <c r="N77" t="s">
        <v>1121</v>
      </c>
      <c r="O77" t="s">
        <v>1122</v>
      </c>
      <c r="P77" t="s">
        <v>1123</v>
      </c>
      <c r="Q77" t="s">
        <v>1124</v>
      </c>
      <c r="R77" t="s">
        <v>1125</v>
      </c>
      <c r="S77" t="s">
        <v>1126</v>
      </c>
      <c r="T77" t="s">
        <v>1127</v>
      </c>
      <c r="U77" t="s">
        <v>1128</v>
      </c>
      <c r="V77" t="s">
        <v>1129</v>
      </c>
      <c r="W77" t="s">
        <v>1130</v>
      </c>
    </row>
    <row r="78" spans="1:24" ht="15" customHeight="1" x14ac:dyDescent="0.15">
      <c r="A78" t="s">
        <v>422</v>
      </c>
      <c r="B78" s="386"/>
      <c r="C78" t="s">
        <v>1131</v>
      </c>
      <c r="D78" t="s">
        <v>1132</v>
      </c>
      <c r="E78" t="s">
        <v>1133</v>
      </c>
      <c r="F78" t="s">
        <v>1134</v>
      </c>
      <c r="G78" t="s">
        <v>1135</v>
      </c>
      <c r="H78" t="s">
        <v>1136</v>
      </c>
      <c r="I78" t="s">
        <v>1137</v>
      </c>
      <c r="J78" t="s">
        <v>1138</v>
      </c>
      <c r="K78" t="s">
        <v>1139</v>
      </c>
      <c r="L78" t="s">
        <v>1140</v>
      </c>
      <c r="M78" t="s">
        <v>1141</v>
      </c>
      <c r="N78" t="s">
        <v>1142</v>
      </c>
      <c r="O78" t="s">
        <v>1143</v>
      </c>
      <c r="P78" t="s">
        <v>1144</v>
      </c>
      <c r="S78" t="s">
        <v>1145</v>
      </c>
      <c r="T78" t="s">
        <v>1146</v>
      </c>
      <c r="U78" t="s">
        <v>1147</v>
      </c>
      <c r="V78" t="s">
        <v>1148</v>
      </c>
    </row>
    <row r="79" spans="1:24" ht="15" customHeight="1" x14ac:dyDescent="0.15">
      <c r="A79">
        <v>0</v>
      </c>
      <c r="B79" t="s">
        <v>3</v>
      </c>
      <c r="C79" t="s">
        <v>1149</v>
      </c>
      <c r="D79" t="s">
        <v>1149</v>
      </c>
      <c r="E79" t="s">
        <v>1150</v>
      </c>
      <c r="F79" t="s">
        <v>1151</v>
      </c>
      <c r="G79" t="s">
        <v>1150</v>
      </c>
      <c r="H79" t="s">
        <v>1151</v>
      </c>
      <c r="I79" t="s">
        <v>1150</v>
      </c>
      <c r="J79" t="s">
        <v>1151</v>
      </c>
      <c r="K79" t="s">
        <v>1150</v>
      </c>
      <c r="L79" t="s">
        <v>1151</v>
      </c>
      <c r="M79" t="s">
        <v>1152</v>
      </c>
      <c r="N79" t="s">
        <v>1153</v>
      </c>
      <c r="O79" t="s">
        <v>1154</v>
      </c>
      <c r="P79" t="s">
        <v>1155</v>
      </c>
      <c r="Q79" t="s">
        <v>1156</v>
      </c>
      <c r="R79">
        <v>2</v>
      </c>
      <c r="S79" t="s">
        <v>1149</v>
      </c>
      <c r="T79" t="s">
        <v>606</v>
      </c>
      <c r="U79" t="s">
        <v>1157</v>
      </c>
      <c r="V79" t="s">
        <v>1157</v>
      </c>
      <c r="W79">
        <v>1</v>
      </c>
      <c r="X79" t="s">
        <v>1158</v>
      </c>
    </row>
  </sheetData>
  <mergeCells count="14">
    <mergeCell ref="A17:F17"/>
    <mergeCell ref="A1:F1"/>
    <mergeCell ref="A5:F5"/>
    <mergeCell ref="A8:F8"/>
    <mergeCell ref="A11:F11"/>
    <mergeCell ref="A14:F14"/>
    <mergeCell ref="A76:F76"/>
    <mergeCell ref="B77:B78"/>
    <mergeCell ref="A33:F33"/>
    <mergeCell ref="A43:F43"/>
    <mergeCell ref="A52:F52"/>
    <mergeCell ref="A67:F67"/>
    <mergeCell ref="A70:F70"/>
    <mergeCell ref="A73:F73"/>
  </mergeCells>
  <printOptions headings="1" gridLines="1"/>
  <pageMargins left="0" right="0" top="0" bottom="0" header="0" footer="0"/>
  <pageSetup paperSize="0" orientation="portrait" blackAndWhite="1" useFirstPageNumber="1"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55</vt:i4>
      </vt:variant>
      <vt:variant>
        <vt:lpstr>Named Ranges</vt:lpstr>
      </vt:variant>
      <vt:variant>
        <vt:i4>63</vt:i4>
      </vt:variant>
    </vt:vector>
  </HeadingPairs>
  <TitlesOfParts>
    <vt:vector size="118" baseType="lpstr">
      <vt:lpstr>Công trình</vt:lpstr>
      <vt:lpstr>Giá tháng</vt:lpstr>
      <vt:lpstr>Đầu vào</vt:lpstr>
      <vt:lpstr>Nhân công</vt:lpstr>
      <vt:lpstr>Máy</vt:lpstr>
      <vt:lpstr>HaoPhiVatTu</vt:lpstr>
      <vt:lpstr>Tổng hợp VT</vt:lpstr>
      <vt:lpstr>THVT gộp</vt:lpstr>
      <vt:lpstr>Cước VC</vt:lpstr>
      <vt:lpstr>Cước bộ</vt:lpstr>
      <vt:lpstr>Đơn giá chi tiết</vt:lpstr>
      <vt:lpstr>Giá tổng hợp</vt:lpstr>
      <vt:lpstr>THKP hạng mục</vt:lpstr>
      <vt:lpstr>TH chi phí XD</vt:lpstr>
      <vt:lpstr>TH chi phí TB</vt:lpstr>
      <vt:lpstr>HM chung</vt:lpstr>
      <vt:lpstr>Dự phòng</vt:lpstr>
      <vt:lpstr>TH kinh phí</vt:lpstr>
      <vt:lpstr>Chi tiết KL</vt:lpstr>
      <vt:lpstr>Luật XD</vt:lpstr>
      <vt:lpstr>Công trình TL</vt:lpstr>
      <vt:lpstr>Chiết tính</vt:lpstr>
      <vt:lpstr>Hệ số</vt:lpstr>
      <vt:lpstr>Đơn giá TH</vt:lpstr>
      <vt:lpstr>Dự thầu</vt:lpstr>
      <vt:lpstr>HM chung thầu</vt:lpstr>
      <vt:lpstr>Dự phòng thầu</vt:lpstr>
      <vt:lpstr>Dự toán gói thầu</vt:lpstr>
      <vt:lpstr>Phân tích VT</vt:lpstr>
      <vt:lpstr>Bìa</vt:lpstr>
      <vt:lpstr>NhiênLiệu</vt:lpstr>
      <vt:lpstr>Thẩm định</vt:lpstr>
      <vt:lpstr>TH chi phí tư vấn</vt:lpstr>
      <vt:lpstr>Thép</vt:lpstr>
      <vt:lpstr>HSXL</vt:lpstr>
      <vt:lpstr>Định mức tư vấn</vt:lpstr>
      <vt:lpstr>Quyết toán</vt:lpstr>
      <vt:lpstr>Giá tháng QT</vt:lpstr>
      <vt:lpstr>Đầu vào QT</vt:lpstr>
      <vt:lpstr>Nhân công QT</vt:lpstr>
      <vt:lpstr>Máy QT</vt:lpstr>
      <vt:lpstr>HaoPhiVatTu QT</vt:lpstr>
      <vt:lpstr>Tổng hợp VT QT</vt:lpstr>
      <vt:lpstr>Cước VC QT</vt:lpstr>
      <vt:lpstr>Cước bộ QT</vt:lpstr>
      <vt:lpstr>NhiênLiệu QT</vt:lpstr>
      <vt:lpstr>Chiết tính QT</vt:lpstr>
      <vt:lpstr>Dự thầu QT</vt:lpstr>
      <vt:lpstr>Hệ số QT</vt:lpstr>
      <vt:lpstr>HSXLQT</vt:lpstr>
      <vt:lpstr>KL hoàn thành</vt:lpstr>
      <vt:lpstr>KL phát sinh</vt:lpstr>
      <vt:lpstr>Hệ số Pn</vt:lpstr>
      <vt:lpstr>Tổng hợp QT</vt:lpstr>
      <vt:lpstr>Cấu hình</vt:lpstr>
      <vt:lpstr>Bìa!Print_Area</vt:lpstr>
      <vt:lpstr>'Chi tiết KL'!Print_Area</vt:lpstr>
      <vt:lpstr>'Chiết tính'!Print_Area</vt:lpstr>
      <vt:lpstr>'Chiết tính QT'!Print_Area</vt:lpstr>
      <vt:lpstr>'Công trình'!Print_Area</vt:lpstr>
      <vt:lpstr>'Công trình TL'!Print_Area</vt:lpstr>
      <vt:lpstr>'Cước bộ'!Print_Area</vt:lpstr>
      <vt:lpstr>'Cước bộ QT'!Print_Area</vt:lpstr>
      <vt:lpstr>'Cước VC'!Print_Area</vt:lpstr>
      <vt:lpstr>'Cước VC QT'!Print_Area</vt:lpstr>
      <vt:lpstr>'Đầu vào'!Print_Area</vt:lpstr>
      <vt:lpstr>'Đầu vào QT'!Print_Area</vt:lpstr>
      <vt:lpstr>'Định mức tư vấn'!Print_Area</vt:lpstr>
      <vt:lpstr>'Đơn giá chi tiết'!Print_Area</vt:lpstr>
      <vt:lpstr>'Đơn giá TH'!Print_Area</vt:lpstr>
      <vt:lpstr>'Dự phòng'!Print_Area</vt:lpstr>
      <vt:lpstr>'Dự phòng thầu'!Print_Area</vt:lpstr>
      <vt:lpstr>'Dự thầu'!Print_Area</vt:lpstr>
      <vt:lpstr>'Dự thầu QT'!Print_Area</vt:lpstr>
      <vt:lpstr>'Dự toán gói thầu'!Print_Area</vt:lpstr>
      <vt:lpstr>'Giá tháng'!Print_Area</vt:lpstr>
      <vt:lpstr>'Giá tháng QT'!Print_Area</vt:lpstr>
      <vt:lpstr>'Giá tổng hợp'!Print_Area</vt:lpstr>
      <vt:lpstr>HaoPhiVatTu!Print_Area</vt:lpstr>
      <vt:lpstr>'HaoPhiVatTu QT'!Print_Area</vt:lpstr>
      <vt:lpstr>'Hệ số'!Print_Area</vt:lpstr>
      <vt:lpstr>'Hệ số Pn'!Print_Area</vt:lpstr>
      <vt:lpstr>'Hệ số QT'!Print_Area</vt:lpstr>
      <vt:lpstr>'HM chung'!Print_Area</vt:lpstr>
      <vt:lpstr>'HM chung thầu'!Print_Area</vt:lpstr>
      <vt:lpstr>HSXL!Print_Area</vt:lpstr>
      <vt:lpstr>HSXLQT!Print_Area</vt:lpstr>
      <vt:lpstr>'KL hoàn thành'!Print_Area</vt:lpstr>
      <vt:lpstr>'KL phát sinh'!Print_Area</vt:lpstr>
      <vt:lpstr>'Luật XD'!Print_Area</vt:lpstr>
      <vt:lpstr>Máy!Print_Area</vt:lpstr>
      <vt:lpstr>'Máy QT'!Print_Area</vt:lpstr>
      <vt:lpstr>'Nhân công'!Print_Area</vt:lpstr>
      <vt:lpstr>'Nhân công QT'!Print_Area</vt:lpstr>
      <vt:lpstr>NhiênLiệu!Print_Area</vt:lpstr>
      <vt:lpstr>'NhiênLiệu QT'!Print_Area</vt:lpstr>
      <vt:lpstr>'Phân tích VT'!Print_Area</vt:lpstr>
      <vt:lpstr>'Quyết toán'!Print_Area</vt:lpstr>
      <vt:lpstr>'TH chi phí TB'!Print_Area</vt:lpstr>
      <vt:lpstr>'TH chi phí tư vấn'!Print_Area</vt:lpstr>
      <vt:lpstr>'TH chi phí XD'!Print_Area</vt:lpstr>
      <vt:lpstr>'TH kinh phí'!Print_Area</vt:lpstr>
      <vt:lpstr>'Thẩm định'!Print_Area</vt:lpstr>
      <vt:lpstr>Thép!Print_Area</vt:lpstr>
      <vt:lpstr>'THKP hạng mục'!Print_Area</vt:lpstr>
      <vt:lpstr>'THVT gộp'!Print_Area</vt:lpstr>
      <vt:lpstr>'Tổng hợp QT'!Print_Area</vt:lpstr>
      <vt:lpstr>'Tổng hợp VT'!Print_Area</vt:lpstr>
      <vt:lpstr>'Tổng hợp VT QT'!Print_Area</vt:lpstr>
      <vt:lpstr>'Chiết tính'!Print_Titles</vt:lpstr>
      <vt:lpstr>'Công trình'!Print_Titles</vt:lpstr>
      <vt:lpstr>'Dự thầu'!Print_Titles</vt:lpstr>
      <vt:lpstr>'Dự toán gói thầu'!Print_Titles</vt:lpstr>
      <vt:lpstr>'Giá tháng'!Print_Titles</vt:lpstr>
      <vt:lpstr>'Nhân công'!Print_Titles</vt:lpstr>
      <vt:lpstr>'TH kinh phí'!Print_Titles</vt:lpstr>
      <vt:lpstr>'THKP hạng mục'!Print_Titles</vt:lpstr>
      <vt:lpstr>'Tổng hợp VT'!Print_Titles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cp:lastPrinted>2026-02-21T09:40:10Z</cp:lastPrinted>
  <dcterms:created xsi:type="dcterms:W3CDTF">2026-02-24T09:50:19Z</dcterms:created>
  <dcterms:modified xsi:type="dcterms:W3CDTF">2026-06-08T10:12:06Z</dcterms:modified>
</cp:coreProperties>
</file>