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I:\CONG TY CUONG DAT 1\CONG TY CUONG DAT 1\CONG VIEC CUONG DAT\CONG TRINH 2026\XÃ KIẾN MINH\QLDA\4 Nạo vét tuyến kênh từ gốc đa Miếu Bà đến cống Bà Xoàn\Quyet toan Đường Lạng Côn\"/>
    </mc:Choice>
  </mc:AlternateContent>
  <bookViews>
    <workbookView xWindow="0" yWindow="0" windowWidth="28800" windowHeight="12330" tabRatio="890" firstSheet="4" activeTab="4"/>
  </bookViews>
  <sheets>
    <sheet name="SGV" sheetId="56" state="hidden" r:id="rId1"/>
    <sheet name="THQY" sheetId="62" state="hidden" r:id="rId2"/>
    <sheet name="CTQT" sheetId="61" state="hidden" r:id="rId3"/>
    <sheet name="KL QLDA" sheetId="63" state="hidden" r:id="rId4"/>
    <sheet name="2a" sheetId="73" r:id="rId5"/>
    <sheet name="3a XL" sheetId="67" r:id="rId6"/>
    <sheet name="ĐNTT" sheetId="80" r:id="rId7"/>
    <sheet name="GTQT" sheetId="75" state="hidden" r:id="rId8"/>
    <sheet name="dght" sheetId="78" state="hidden" r:id="rId9"/>
    <sheet name="dgctht" sheetId="79" state="hidden" r:id="rId10"/>
    <sheet name="dien giai" sheetId="70" state="hidden" r:id="rId11"/>
    <sheet name="dg2" sheetId="72" state="hidden" r:id="rId12"/>
    <sheet name="Diễn giai" sheetId="64" state="hidden" r:id="rId13"/>
    <sheet name="Công trình" sheetId="1" state="hidden" r:id="rId14"/>
    <sheet name="Giá tháng" sheetId="2" state="hidden" r:id="rId15"/>
    <sheet name="Đầu vào" sheetId="3" state="hidden" r:id="rId16"/>
    <sheet name="Nhân công" sheetId="4" state="hidden" r:id="rId17"/>
    <sheet name="Máy" sheetId="5" state="hidden" r:id="rId18"/>
    <sheet name="HaoPhiVatTu" sheetId="6" state="hidden" r:id="rId19"/>
    <sheet name="Tổng hợp VT" sheetId="7" state="hidden" r:id="rId20"/>
    <sheet name="THVT gộp" sheetId="8" state="hidden" r:id="rId21"/>
    <sheet name="Cước VC" sheetId="9" state="hidden" r:id="rId22"/>
    <sheet name="Cước bộ" sheetId="10" state="hidden" r:id="rId23"/>
    <sheet name="Đơn giá chi tiết" sheetId="11" state="hidden" r:id="rId24"/>
    <sheet name="Giá tổng hợp" sheetId="12" state="hidden" r:id="rId25"/>
    <sheet name="THKP hạng mục" sheetId="13" state="hidden" r:id="rId26"/>
    <sheet name="TH chi phí XD" sheetId="14" state="hidden" r:id="rId27"/>
    <sheet name="TH chi phí TB" sheetId="15" state="hidden" r:id="rId28"/>
    <sheet name="HM chung" sheetId="16" state="hidden" r:id="rId29"/>
    <sheet name="Dự phòng" sheetId="17" state="hidden" r:id="rId30"/>
    <sheet name="TH kinh phí" sheetId="18" state="hidden" r:id="rId31"/>
    <sheet name="Chi tiết KL" sheetId="19" state="hidden" r:id="rId32"/>
    <sheet name="Luật XD" sheetId="20" state="hidden" r:id="rId33"/>
    <sheet name="Công trình TL" sheetId="21" state="hidden" r:id="rId34"/>
    <sheet name="Chiết tính" sheetId="22" state="hidden" r:id="rId35"/>
    <sheet name="Hệ số" sheetId="23" state="hidden" r:id="rId36"/>
    <sheet name="Đơn giá TH" sheetId="24" state="hidden" r:id="rId37"/>
    <sheet name="TTHD" sheetId="58" state="hidden" r:id="rId38"/>
    <sheet name="Dự thầu" sheetId="25" state="hidden" r:id="rId39"/>
    <sheet name="plhd" sheetId="57" state="hidden" r:id="rId40"/>
    <sheet name="HM chung thầu" sheetId="26" state="hidden" r:id="rId41"/>
    <sheet name="Dự phòng thầu" sheetId="27" state="hidden" r:id="rId42"/>
    <sheet name="Dự toán gói thầu" sheetId="28" state="hidden" r:id="rId43"/>
    <sheet name="Phân tích VT" sheetId="29" state="hidden" r:id="rId44"/>
    <sheet name="Bìa" sheetId="30" state="hidden" r:id="rId45"/>
    <sheet name="NhiênLiệu" sheetId="31" state="hidden" r:id="rId46"/>
    <sheet name="Thẩm định" sheetId="32" state="hidden" r:id="rId47"/>
    <sheet name="TH chi phí tư vấn" sheetId="33" state="hidden" r:id="rId48"/>
    <sheet name="Thép" sheetId="34" state="hidden" r:id="rId49"/>
    <sheet name="HSXL" sheetId="35" state="hidden" r:id="rId50"/>
    <sheet name="Định mức tư vấn" sheetId="36" state="hidden" r:id="rId51"/>
    <sheet name="Quyết toán" sheetId="37" state="hidden" r:id="rId52"/>
    <sheet name="Giá tháng QT" sheetId="38" state="hidden" r:id="rId53"/>
    <sheet name="Đầu vào QT" sheetId="39" state="hidden" r:id="rId54"/>
    <sheet name="Nhân công QT" sheetId="40" state="hidden" r:id="rId55"/>
    <sheet name="Máy QT" sheetId="41" state="hidden" r:id="rId56"/>
    <sheet name="HaoPhiVatTu QT" sheetId="42" state="hidden" r:id="rId57"/>
    <sheet name="Tổng hợp VT QT" sheetId="43" state="hidden" r:id="rId58"/>
    <sheet name="Cước VC QT" sheetId="44" state="hidden" r:id="rId59"/>
    <sheet name="Cước bộ QT" sheetId="45" state="hidden" r:id="rId60"/>
    <sheet name="NhiênLiệu QT" sheetId="46" state="hidden" r:id="rId61"/>
    <sheet name="Chiết tính QT" sheetId="47" state="hidden" r:id="rId62"/>
    <sheet name="Dự thầu QT" sheetId="48" state="hidden" r:id="rId63"/>
    <sheet name="Hệ số QT" sheetId="49" state="hidden" r:id="rId64"/>
    <sheet name="HSXLQT" sheetId="50" state="hidden" r:id="rId65"/>
    <sheet name="KL hoàn thành" sheetId="51" state="hidden" r:id="rId66"/>
    <sheet name="KL phát sinh" sheetId="52" state="hidden" r:id="rId67"/>
    <sheet name="Hệ số Pn" sheetId="53" state="hidden" r:id="rId68"/>
    <sheet name="Tổng hợp QT" sheetId="54" state="hidden" r:id="rId69"/>
    <sheet name="Cấu hình" sheetId="55" state="hidden" r:id="rId70"/>
  </sheets>
  <externalReferences>
    <externalReference r:id="rId71"/>
  </externalReferences>
  <definedNames>
    <definedName name="_xlnm._FilterDatabase" localSheetId="23" hidden="1">'Đơn giá chi tiết'!$A$4:$H$599</definedName>
    <definedName name="_xlnm._FilterDatabase" localSheetId="18" hidden="1">HaoPhiVatTu!$A$4:$S$5</definedName>
    <definedName name="_xlnm.Print_Area" localSheetId="4">'2a'!$A$1:$G$62</definedName>
    <definedName name="_xlnm.Print_Area" localSheetId="5">'3a XL'!$A$1:$J$42</definedName>
    <definedName name="_xlnm.Print_Area" localSheetId="44">Bìa!$A$1:$IU$65535</definedName>
    <definedName name="_xlnm.Print_Area" localSheetId="31">'Chi tiết KL'!$A$1:$IU$65535</definedName>
    <definedName name="_xlnm.Print_Area" localSheetId="34">'Chiết tính'!$A$1:$H$1339</definedName>
    <definedName name="_xlnm.Print_Area" localSheetId="61">'Chiết tính QT'!$A$1:$IU$65535</definedName>
    <definedName name="_xlnm.Print_Area" localSheetId="13">'Công trình'!$A$1:$X$181</definedName>
    <definedName name="_xlnm.Print_Area" localSheetId="33">'Công trình TL'!$A$1:$O$5</definedName>
    <definedName name="_xlnm.Print_Area" localSheetId="2">CTQT!$A$1:$L$91</definedName>
    <definedName name="_xlnm.Print_Area" localSheetId="22">'Cước bộ'!$A$1:$AA$44</definedName>
    <definedName name="_xlnm.Print_Area" localSheetId="59">'Cước bộ QT'!$A$1:$IU$65535</definedName>
    <definedName name="_xlnm.Print_Area" localSheetId="21">'Cước VC'!$A$1:$AY$44</definedName>
    <definedName name="_xlnm.Print_Area" localSheetId="58">'Cước VC QT'!$A$1:$IU$65535</definedName>
    <definedName name="_xlnm.Print_Area" localSheetId="15">'Đầu vào'!$A$1:$D$47</definedName>
    <definedName name="_xlnm.Print_Area" localSheetId="53">'Đầu vào QT'!$A$1:$IU$65535</definedName>
    <definedName name="_xlnm.Print_Area" localSheetId="11">'dg2'!$A$1:$L$76</definedName>
    <definedName name="_xlnm.Print_Area" localSheetId="8">dght!$A$1:$F$33</definedName>
    <definedName name="_xlnm.Print_Area" localSheetId="12">'Diễn giai'!$A$1:$E$399</definedName>
    <definedName name="_xlnm.Print_Area" localSheetId="50">'Định mức tư vấn'!$A$1:$IU$9</definedName>
    <definedName name="_xlnm.Print_Area" localSheetId="6">ĐNTT!$A$1:$J$23</definedName>
    <definedName name="_xlnm.Print_Area" localSheetId="23">'Đơn giá chi tiết'!$A$1:$H$599</definedName>
    <definedName name="_xlnm.Print_Area" localSheetId="36">'Đơn giá TH'!$A$1:$O$5</definedName>
    <definedName name="_xlnm.Print_Area" localSheetId="29">'Dự phòng'!$A$1:$I$16</definedName>
    <definedName name="_xlnm.Print_Area" localSheetId="41">'Dự phòng thầu'!$A$1:$I$16</definedName>
    <definedName name="_xlnm.Print_Area" localSheetId="38">'Dự thầu'!$A$1:$L$102</definedName>
    <definedName name="_xlnm.Print_Area" localSheetId="62">'Dự thầu QT'!$A$1:$IU$65535</definedName>
    <definedName name="_xlnm.Print_Area" localSheetId="42">'Dự toán gói thầu'!$A$1:$F$19</definedName>
    <definedName name="_xlnm.Print_Area" localSheetId="14">'Giá tháng'!$A$1:$G$80</definedName>
    <definedName name="_xlnm.Print_Area" localSheetId="52">'Giá tháng QT'!$A$1:$IU$65535</definedName>
    <definedName name="_xlnm.Print_Area" localSheetId="24">'Giá tổng hợp'!$A$1:$L$174</definedName>
    <definedName name="_xlnm.Print_Area" localSheetId="7">GTQT!$B$1:$L$48</definedName>
    <definedName name="_xlnm.Print_Area" localSheetId="18">HaoPhiVatTu!$A$1:$L$521</definedName>
    <definedName name="_xlnm.Print_Area" localSheetId="56">'HaoPhiVatTu QT'!$A$1:$IU$65535</definedName>
    <definedName name="_xlnm.Print_Area" localSheetId="35">'Hệ số'!$A$1:$H$4</definedName>
    <definedName name="_xlnm.Print_Area" localSheetId="67">'Hệ số Pn'!$A$1:$IU$65535</definedName>
    <definedName name="_xlnm.Print_Area" localSheetId="63">'Hệ số QT'!$A$1:$IU$65535</definedName>
    <definedName name="_xlnm.Print_Area" localSheetId="28">'HM chung'!$A$1:$IU$65535</definedName>
    <definedName name="_xlnm.Print_Area" localSheetId="40">'HM chung thầu'!$A$1:$IU$65535</definedName>
    <definedName name="_xlnm.Print_Area" localSheetId="49">HSXL!$A$1:$IU$19</definedName>
    <definedName name="_xlnm.Print_Area" localSheetId="64">HSXLQT!$A$1:$IU$65535</definedName>
    <definedName name="_xlnm.Print_Area" localSheetId="65">'KL hoàn thành'!$A$1:$IU$65535</definedName>
    <definedName name="_xlnm.Print_Area" localSheetId="66">'KL phát sinh'!$A$1:$IU$65535</definedName>
    <definedName name="_xlnm.Print_Area" localSheetId="3">'KL QLDA'!$A$1:$G$103</definedName>
    <definedName name="_xlnm.Print_Area" localSheetId="32">'Luật XD'!$A$1:$IU$65535</definedName>
    <definedName name="_xlnm.Print_Area" localSheetId="17">Máy!$A$1:$K$244</definedName>
    <definedName name="_xlnm.Print_Area" localSheetId="55">'Máy QT'!$A$1:$IU$65535</definedName>
    <definedName name="_xlnm.Print_Area" localSheetId="16">'Nhân công'!$A$1:$T$12</definedName>
    <definedName name="_xlnm.Print_Area" localSheetId="54">'Nhân công QT'!$A$1:$IU$65535</definedName>
    <definedName name="_xlnm.Print_Area" localSheetId="45">NhiênLiệu!$A$1:$IU$65535</definedName>
    <definedName name="_xlnm.Print_Area" localSheetId="60">'NhiênLiệu QT'!$A$1:$IU$65535</definedName>
    <definedName name="_xlnm.Print_Area" localSheetId="43">'Phân tích VT'!$A$1:$IU$65535</definedName>
    <definedName name="_xlnm.Print_Area" localSheetId="39">plhd!$A$1:$I$103</definedName>
    <definedName name="_xlnm.Print_Area" localSheetId="51">'Quyết toán'!$A$1:$IU$65535</definedName>
    <definedName name="_xlnm.Print_Area" localSheetId="27">'TH chi phí TB'!$A$1:$I$21</definedName>
    <definedName name="_xlnm.Print_Area" localSheetId="47">'TH chi phí tư vấn'!$A$1:$IU$65535</definedName>
    <definedName name="_xlnm.Print_Area" localSheetId="26">'TH chi phí XD'!$A$1:$G$8</definedName>
    <definedName name="_xlnm.Print_Area" localSheetId="30">'TH kinh phí'!$A$1:$I$92</definedName>
    <definedName name="_xlnm.Print_Area" localSheetId="46">'Thẩm định'!$A$1:$IU$65535</definedName>
    <definedName name="_xlnm.Print_Area" localSheetId="48">Thép!$A$1:$IU$65535</definedName>
    <definedName name="_xlnm.Print_Area" localSheetId="25">'THKP hạng mục'!$A$1:$H$27</definedName>
    <definedName name="_xlnm.Print_Area" localSheetId="20">'THVT gộp'!$A$1:$IU$65535</definedName>
    <definedName name="_xlnm.Print_Area" localSheetId="68">'Tổng hợp QT'!$A$1:$IU$65535</definedName>
    <definedName name="_xlnm.Print_Area" localSheetId="19">'Tổng hợp VT'!$A$1:$R$90</definedName>
    <definedName name="_xlnm.Print_Area" localSheetId="57">'Tổng hợp VT QT'!$A$1:$IU$65535</definedName>
    <definedName name="_xlnm.Print_Area" localSheetId="37">TTHD!$A$1:$I$103</definedName>
    <definedName name="_xlnm.Print_Titles" localSheetId="4">'2a'!$6:$7</definedName>
    <definedName name="_xlnm.Print_Titles" localSheetId="34">'TH chi phí TB'!$4:$4</definedName>
    <definedName name="_xlnm.Print_Titles" localSheetId="13">'Công trình'!$4:$5</definedName>
    <definedName name="_xlnm.Print_Titles" localSheetId="2">CTQT!$10:$12</definedName>
    <definedName name="_xlnm.Print_Titles" localSheetId="22">'Đơn giá chi tiết'!$4:$5</definedName>
    <definedName name="_xlnm.Print_Titles" localSheetId="21">'Tổng hợp VT'!$4:$5</definedName>
    <definedName name="_xlnm.Print_Titles" localSheetId="11">'dg2'!$2:$3</definedName>
    <definedName name="_xlnm.Print_Titles" localSheetId="9">dgctht!$2:$3</definedName>
    <definedName name="_xlnm.Print_Titles" localSheetId="12">'Diễn giai'!$4:$5</definedName>
    <definedName name="_xlnm.Print_Titles" localSheetId="23">HSXL!$4:$4</definedName>
    <definedName name="_xlnm.Print_Titles" localSheetId="38">'Chi tiết KL'!$4:$4</definedName>
    <definedName name="_xlnm.Print_Titles" localSheetId="42">'Hệ số'!$7:$8</definedName>
    <definedName name="_xlnm.Print_Titles" localSheetId="14">'Nhân công'!$4:$4</definedName>
    <definedName name="_xlnm.Print_Titles" localSheetId="24">'THKP hạng mục'!$4:$5</definedName>
    <definedName name="_xlnm.Print_Titles" localSheetId="7">GTQT!$9:$11</definedName>
    <definedName name="_xlnm.Print_Titles" localSheetId="18">'Cước VC'!$4:$5</definedName>
    <definedName name="_xlnm.Print_Titles" localSheetId="35">'HM chung'!$4:$4</definedName>
    <definedName name="_xlnm.Print_Titles" localSheetId="3">'KL QLDA'!$9:$11</definedName>
    <definedName name="_xlnm.Print_Titles" localSheetId="39">plhd!$4:$4</definedName>
    <definedName name="_xlnm.Print_Titles" localSheetId="27">'Định mức tư vấn'!$4:$5</definedName>
    <definedName name="_xlnm.Print_Titles" localSheetId="26">'TH chi phí XD'!$4:$4</definedName>
    <definedName name="_xlnm.Print_Titles" localSheetId="25">'TH kinh phí'!$4:$4</definedName>
    <definedName name="_xlnm.Print_Titles" localSheetId="19">'Cước bộ'!$4:$4</definedName>
    <definedName name="_xlnm.Print_Titles" localSheetId="37">TTHD!$4:$4</definedName>
  </definedNames>
  <calcPr calcId="162913" iterateCount="1"/>
</workbook>
</file>

<file path=xl/calcChain.xml><?xml version="1.0" encoding="utf-8"?>
<calcChain xmlns="http://schemas.openxmlformats.org/spreadsheetml/2006/main">
  <c r="C17" i="67" l="1"/>
  <c r="D16" i="67" l="1"/>
  <c r="G16" i="67"/>
  <c r="H16" i="67"/>
  <c r="C16" i="67"/>
  <c r="E17" i="67"/>
  <c r="F17" i="67" s="1"/>
  <c r="I17" i="67" l="1"/>
  <c r="I16" i="67" s="1"/>
  <c r="F16" i="67"/>
  <c r="E16" i="67"/>
  <c r="G14" i="80"/>
  <c r="G11" i="80" l="1"/>
  <c r="G30" i="67" l="1"/>
  <c r="G13" i="80"/>
  <c r="G24" i="67"/>
  <c r="F25" i="75"/>
  <c r="F12" i="78"/>
  <c r="I43" i="75" l="1"/>
  <c r="M26" i="75"/>
  <c r="M27" i="75"/>
  <c r="M28" i="75"/>
  <c r="M29" i="75"/>
  <c r="M33" i="75"/>
  <c r="M34" i="75"/>
  <c r="M39" i="75"/>
  <c r="M40" i="75"/>
  <c r="M41" i="75"/>
  <c r="I67" i="79" l="1"/>
  <c r="H67" i="79"/>
  <c r="G67" i="79"/>
  <c r="I65" i="79"/>
  <c r="H65" i="79"/>
  <c r="G65" i="79"/>
  <c r="I63" i="79"/>
  <c r="H63" i="79"/>
  <c r="G63" i="79"/>
  <c r="I61" i="79"/>
  <c r="H61" i="79"/>
  <c r="G61" i="79"/>
  <c r="I59" i="79"/>
  <c r="H59" i="79"/>
  <c r="G59" i="79"/>
  <c r="I57" i="79"/>
  <c r="H57" i="79"/>
  <c r="G57" i="79"/>
  <c r="I55" i="79"/>
  <c r="H55" i="79"/>
  <c r="G55" i="79"/>
  <c r="I53" i="79"/>
  <c r="H53" i="79"/>
  <c r="G53" i="79"/>
  <c r="I51" i="79"/>
  <c r="H51" i="79"/>
  <c r="G51" i="79"/>
  <c r="I49" i="79"/>
  <c r="H49" i="79"/>
  <c r="G49" i="79"/>
  <c r="I47" i="79"/>
  <c r="H47" i="79"/>
  <c r="G47" i="79"/>
  <c r="I45" i="79"/>
  <c r="H45" i="79"/>
  <c r="G45" i="79"/>
  <c r="I43" i="79"/>
  <c r="H43" i="79"/>
  <c r="G43" i="79"/>
  <c r="I41" i="79"/>
  <c r="H41" i="79"/>
  <c r="G41" i="79"/>
  <c r="I39" i="79"/>
  <c r="H39" i="79"/>
  <c r="G39" i="79"/>
  <c r="I37" i="79"/>
  <c r="H37" i="79"/>
  <c r="G37" i="79"/>
  <c r="I35" i="79"/>
  <c r="H35" i="79"/>
  <c r="G35" i="79"/>
  <c r="I33" i="79"/>
  <c r="H33" i="79"/>
  <c r="G33" i="79"/>
  <c r="I31" i="79"/>
  <c r="H31" i="79"/>
  <c r="G31" i="79"/>
  <c r="I29" i="79"/>
  <c r="H29" i="79"/>
  <c r="G29" i="79"/>
  <c r="I27" i="79"/>
  <c r="H27" i="79"/>
  <c r="G27" i="79"/>
  <c r="I25" i="79"/>
  <c r="H25" i="79"/>
  <c r="G25" i="79"/>
  <c r="I23" i="79"/>
  <c r="H23" i="79"/>
  <c r="G23" i="79"/>
  <c r="I21" i="79"/>
  <c r="H21" i="79"/>
  <c r="G21" i="79"/>
  <c r="I19" i="79"/>
  <c r="H19" i="79"/>
  <c r="G19" i="79"/>
  <c r="I17" i="79"/>
  <c r="H17" i="79"/>
  <c r="G17" i="79"/>
  <c r="I15" i="79"/>
  <c r="H15" i="79"/>
  <c r="G15" i="79"/>
  <c r="I13" i="79"/>
  <c r="H13" i="79"/>
  <c r="G13" i="79"/>
  <c r="I11" i="79"/>
  <c r="H11" i="79"/>
  <c r="G11" i="79"/>
  <c r="I9" i="79"/>
  <c r="H9" i="79"/>
  <c r="G9" i="79"/>
  <c r="I7" i="79"/>
  <c r="H7" i="79"/>
  <c r="G7" i="79"/>
  <c r="I5" i="79"/>
  <c r="I69" i="79" s="1"/>
  <c r="H5" i="79"/>
  <c r="H69" i="79" s="1"/>
  <c r="G5" i="79"/>
  <c r="G69" i="79" s="1"/>
  <c r="F25" i="78"/>
  <c r="F20" i="78"/>
  <c r="F4" i="78"/>
  <c r="F5" i="78" s="1"/>
  <c r="D15" i="72" l="1"/>
  <c r="N6" i="72" l="1"/>
  <c r="N7" i="72"/>
  <c r="N8" i="72"/>
  <c r="N9" i="72"/>
  <c r="N10" i="72"/>
  <c r="N11" i="72"/>
  <c r="N12" i="72"/>
  <c r="N13" i="72"/>
  <c r="N14" i="72"/>
  <c r="N15" i="72"/>
  <c r="N16" i="72"/>
  <c r="N17" i="72"/>
  <c r="N18" i="72"/>
  <c r="N19" i="72"/>
  <c r="N20" i="72"/>
  <c r="N21" i="72"/>
  <c r="N22" i="72"/>
  <c r="N23" i="72"/>
  <c r="N24" i="72"/>
  <c r="N25" i="72"/>
  <c r="N26" i="72"/>
  <c r="N27" i="72"/>
  <c r="N28" i="72"/>
  <c r="N29" i="72"/>
  <c r="N30" i="72"/>
  <c r="N31" i="72"/>
  <c r="N32" i="72"/>
  <c r="N33" i="72"/>
  <c r="N34" i="72"/>
  <c r="N35" i="72"/>
  <c r="N36" i="72"/>
  <c r="N37" i="72"/>
  <c r="N38" i="72"/>
  <c r="N39" i="72"/>
  <c r="N40" i="72"/>
  <c r="N41" i="72"/>
  <c r="N42" i="72"/>
  <c r="N43" i="72"/>
  <c r="N44" i="72"/>
  <c r="N45" i="72"/>
  <c r="N46" i="72"/>
  <c r="N47" i="72"/>
  <c r="N48" i="72"/>
  <c r="N49" i="72"/>
  <c r="N50" i="72"/>
  <c r="N51" i="72"/>
  <c r="N52" i="72"/>
  <c r="N53" i="72"/>
  <c r="N54" i="72"/>
  <c r="N55" i="72"/>
  <c r="N56" i="72"/>
  <c r="N57" i="72"/>
  <c r="N58" i="72"/>
  <c r="N59" i="72"/>
  <c r="N60" i="72"/>
  <c r="N61" i="72"/>
  <c r="N62" i="72"/>
  <c r="N63" i="72"/>
  <c r="N64" i="72"/>
  <c r="N65" i="72"/>
  <c r="N66" i="72"/>
  <c r="N67" i="72"/>
  <c r="N5" i="72"/>
  <c r="J5" i="72"/>
  <c r="J7" i="72"/>
  <c r="J9" i="72"/>
  <c r="J11" i="72"/>
  <c r="J13" i="72"/>
  <c r="J15" i="72"/>
  <c r="J17" i="72"/>
  <c r="J19" i="72"/>
  <c r="J21" i="72"/>
  <c r="J23" i="72"/>
  <c r="J25" i="72"/>
  <c r="J27" i="72"/>
  <c r="J29" i="72"/>
  <c r="J31" i="72"/>
  <c r="J33" i="72"/>
  <c r="J35" i="72"/>
  <c r="J37" i="72"/>
  <c r="J39" i="72"/>
  <c r="J41" i="72"/>
  <c r="J43" i="72"/>
  <c r="J45" i="72"/>
  <c r="J47" i="72"/>
  <c r="J49" i="72"/>
  <c r="J51" i="72"/>
  <c r="J53" i="72"/>
  <c r="J55" i="72"/>
  <c r="J57" i="72"/>
  <c r="J59" i="72"/>
  <c r="J61" i="72"/>
  <c r="J63" i="72"/>
  <c r="J65" i="72"/>
  <c r="J67" i="72"/>
  <c r="G40" i="75" l="1"/>
  <c r="F11" i="75"/>
  <c r="G11" i="75"/>
  <c r="H11" i="75" s="1"/>
  <c r="I11" i="75" s="1"/>
  <c r="J11" i="75" s="1"/>
  <c r="K11" i="75" s="1"/>
  <c r="L11" i="75" s="1"/>
  <c r="I41" i="75"/>
  <c r="J41" i="75"/>
  <c r="K41" i="75" s="1"/>
  <c r="I40" i="75"/>
  <c r="J40" i="75"/>
  <c r="K40" i="75" s="1"/>
  <c r="I39" i="75"/>
  <c r="J39" i="75"/>
  <c r="K39" i="75" s="1"/>
  <c r="I38" i="75"/>
  <c r="I37" i="75"/>
  <c r="I36" i="75"/>
  <c r="I35" i="75"/>
  <c r="I33" i="75"/>
  <c r="G33" i="75"/>
  <c r="I32" i="75"/>
  <c r="I31" i="75"/>
  <c r="I30" i="75"/>
  <c r="I28" i="75"/>
  <c r="J28" i="75"/>
  <c r="K28" i="75" s="1"/>
  <c r="I27" i="75"/>
  <c r="G27" i="75"/>
  <c r="I26" i="75"/>
  <c r="J26" i="75"/>
  <c r="K26" i="75" s="1"/>
  <c r="I25" i="75"/>
  <c r="G25" i="75"/>
  <c r="I24" i="75"/>
  <c r="I23" i="75"/>
  <c r="I22" i="75"/>
  <c r="I21" i="75"/>
  <c r="I20" i="75"/>
  <c r="F20" i="75"/>
  <c r="J20" i="75" s="1"/>
  <c r="I19" i="75"/>
  <c r="F19" i="75"/>
  <c r="G19" i="75" s="1"/>
  <c r="I18" i="75"/>
  <c r="F18" i="75"/>
  <c r="J18" i="75" s="1"/>
  <c r="I17" i="75"/>
  <c r="F17" i="75"/>
  <c r="G17" i="75" s="1"/>
  <c r="I16" i="75"/>
  <c r="F16" i="75"/>
  <c r="J16" i="75" s="1"/>
  <c r="I15" i="75"/>
  <c r="F15" i="75"/>
  <c r="G15" i="75" s="1"/>
  <c r="I14" i="75"/>
  <c r="F14" i="75"/>
  <c r="J14" i="75" s="1"/>
  <c r="I13" i="75"/>
  <c r="C11" i="75"/>
  <c r="D11" i="75" s="1"/>
  <c r="E11" i="75" s="1"/>
  <c r="K14" i="75" l="1"/>
  <c r="M14" i="75"/>
  <c r="K18" i="75"/>
  <c r="M18" i="75"/>
  <c r="K16" i="75"/>
  <c r="M16" i="75"/>
  <c r="K20" i="75"/>
  <c r="M20" i="75"/>
  <c r="G16" i="75"/>
  <c r="G41" i="75"/>
  <c r="G14" i="75"/>
  <c r="G39" i="75"/>
  <c r="G28" i="75"/>
  <c r="G20" i="75"/>
  <c r="G26" i="75"/>
  <c r="G18" i="75"/>
  <c r="J25" i="75"/>
  <c r="J19" i="75"/>
  <c r="M19" i="75" s="1"/>
  <c r="J17" i="75"/>
  <c r="M17" i="75" s="1"/>
  <c r="J27" i="75"/>
  <c r="I42" i="75"/>
  <c r="J33" i="75"/>
  <c r="J15" i="75"/>
  <c r="M15" i="75" s="1"/>
  <c r="K25" i="75" l="1"/>
  <c r="M25" i="75"/>
  <c r="K15" i="75"/>
  <c r="K17" i="75"/>
  <c r="K33" i="75"/>
  <c r="K19" i="75"/>
  <c r="K27" i="75"/>
  <c r="F13" i="75" l="1"/>
  <c r="F23" i="75" l="1"/>
  <c r="F21" i="75"/>
  <c r="J13" i="75"/>
  <c r="M13" i="75" s="1"/>
  <c r="G13" i="75"/>
  <c r="F24" i="75"/>
  <c r="F22" i="75"/>
  <c r="I9" i="72"/>
  <c r="I11" i="72"/>
  <c r="I13" i="72"/>
  <c r="I15" i="72"/>
  <c r="I17" i="72"/>
  <c r="I19" i="72"/>
  <c r="I21" i="72"/>
  <c r="I23" i="72"/>
  <c r="I25" i="72"/>
  <c r="I27" i="72"/>
  <c r="I29" i="72"/>
  <c r="I31" i="72"/>
  <c r="I33" i="72"/>
  <c r="I35" i="72"/>
  <c r="I37" i="72"/>
  <c r="I39" i="72"/>
  <c r="I41" i="72"/>
  <c r="I43" i="72"/>
  <c r="I45" i="72"/>
  <c r="I47" i="72"/>
  <c r="I49" i="72"/>
  <c r="I51" i="72"/>
  <c r="I53" i="72"/>
  <c r="I55" i="72"/>
  <c r="I57" i="72"/>
  <c r="I59" i="72"/>
  <c r="I61" i="72"/>
  <c r="I63" i="72"/>
  <c r="I65" i="72"/>
  <c r="I67" i="72"/>
  <c r="I7" i="72"/>
  <c r="M2" i="72"/>
  <c r="I5" i="72"/>
  <c r="J21" i="75" l="1"/>
  <c r="G21" i="75"/>
  <c r="K13" i="75"/>
  <c r="J24" i="75"/>
  <c r="G24" i="75"/>
  <c r="G23" i="75"/>
  <c r="J23" i="75"/>
  <c r="M23" i="75" s="1"/>
  <c r="J22" i="75"/>
  <c r="G22" i="75"/>
  <c r="D67" i="72"/>
  <c r="D65" i="72"/>
  <c r="D63" i="72"/>
  <c r="D61" i="72"/>
  <c r="D59" i="72"/>
  <c r="D57" i="72"/>
  <c r="D55" i="72"/>
  <c r="D53" i="72"/>
  <c r="D51" i="72"/>
  <c r="D49" i="72"/>
  <c r="D47" i="72"/>
  <c r="D45" i="72"/>
  <c r="D43" i="72"/>
  <c r="D41" i="72"/>
  <c r="D39" i="72"/>
  <c r="D37" i="72"/>
  <c r="D35" i="72"/>
  <c r="D33" i="72"/>
  <c r="D31" i="72"/>
  <c r="D29" i="72"/>
  <c r="D27" i="72"/>
  <c r="D25" i="72"/>
  <c r="D23" i="72"/>
  <c r="D21" i="72"/>
  <c r="D19" i="72"/>
  <c r="D17" i="72"/>
  <c r="D13" i="72"/>
  <c r="D11" i="72"/>
  <c r="D9" i="72"/>
  <c r="D7" i="72"/>
  <c r="K22" i="75" l="1"/>
  <c r="M22" i="75"/>
  <c r="K24" i="75"/>
  <c r="M24" i="75"/>
  <c r="K21" i="75"/>
  <c r="M21" i="75"/>
  <c r="K23" i="75"/>
  <c r="F35" i="75" l="1"/>
  <c r="F30" i="75"/>
  <c r="F36" i="75"/>
  <c r="F37" i="75"/>
  <c r="F31" i="75"/>
  <c r="F32" i="75"/>
  <c r="N69" i="72"/>
  <c r="G32" i="75" l="1"/>
  <c r="J32" i="75"/>
  <c r="M32" i="75" s="1"/>
  <c r="J30" i="75"/>
  <c r="M30" i="75" s="1"/>
  <c r="G30" i="75"/>
  <c r="J31" i="75"/>
  <c r="G31" i="75"/>
  <c r="G35" i="75"/>
  <c r="J35" i="75"/>
  <c r="M35" i="75" s="1"/>
  <c r="G37" i="75"/>
  <c r="J37" i="75"/>
  <c r="M37" i="75" s="1"/>
  <c r="J36" i="75"/>
  <c r="G36" i="75"/>
  <c r="K31" i="75" l="1"/>
  <c r="M31" i="75"/>
  <c r="K36" i="75"/>
  <c r="M36" i="75"/>
  <c r="K35" i="75"/>
  <c r="K30" i="75"/>
  <c r="K37" i="75"/>
  <c r="K32" i="75"/>
  <c r="L67" i="72"/>
  <c r="K67" i="72"/>
  <c r="L65" i="72"/>
  <c r="K65" i="72"/>
  <c r="L63" i="72"/>
  <c r="K63" i="72"/>
  <c r="L61" i="72"/>
  <c r="K61" i="72"/>
  <c r="L59" i="72"/>
  <c r="K59" i="72"/>
  <c r="L57" i="72"/>
  <c r="K57" i="72"/>
  <c r="L55" i="72"/>
  <c r="K55" i="72"/>
  <c r="L53" i="72"/>
  <c r="K53" i="72"/>
  <c r="L51" i="72"/>
  <c r="K51" i="72"/>
  <c r="L49" i="72"/>
  <c r="K49" i="72"/>
  <c r="L47" i="72"/>
  <c r="K47" i="72"/>
  <c r="L45" i="72"/>
  <c r="K45" i="72"/>
  <c r="L43" i="72"/>
  <c r="K43" i="72"/>
  <c r="L41" i="72"/>
  <c r="K41" i="72"/>
  <c r="L39" i="72"/>
  <c r="K39" i="72"/>
  <c r="L37" i="72"/>
  <c r="K37" i="72"/>
  <c r="L35" i="72"/>
  <c r="K35" i="72"/>
  <c r="L33" i="72"/>
  <c r="K33" i="72"/>
  <c r="L31" i="72"/>
  <c r="K31" i="72"/>
  <c r="L29" i="72"/>
  <c r="K29" i="72"/>
  <c r="L27" i="72"/>
  <c r="K27" i="72"/>
  <c r="L25" i="72"/>
  <c r="K25" i="72"/>
  <c r="L23" i="72"/>
  <c r="K23" i="72"/>
  <c r="L21" i="72"/>
  <c r="K21" i="72"/>
  <c r="L19" i="72"/>
  <c r="K19" i="72"/>
  <c r="L17" i="72"/>
  <c r="K17" i="72"/>
  <c r="L15" i="72"/>
  <c r="K15" i="72"/>
  <c r="L13" i="72"/>
  <c r="K13" i="72"/>
  <c r="L11" i="72"/>
  <c r="K11" i="72"/>
  <c r="L9" i="72"/>
  <c r="K9" i="72"/>
  <c r="L7" i="72"/>
  <c r="K7" i="72"/>
  <c r="L5" i="72"/>
  <c r="K5" i="72"/>
  <c r="J69" i="72" l="1"/>
  <c r="K69" i="72"/>
  <c r="L69" i="72"/>
  <c r="F38" i="75" l="1"/>
  <c r="F919" i="70"/>
  <c r="E919" i="70"/>
  <c r="N841" i="70"/>
  <c r="V218" i="70"/>
  <c r="V212" i="70"/>
  <c r="T212" i="70"/>
  <c r="T213" i="70" s="1"/>
  <c r="T214" i="70" s="1"/>
  <c r="T215" i="70" s="1"/>
  <c r="T216" i="70" s="1"/>
  <c r="V211" i="70"/>
  <c r="V213" i="70" s="1"/>
  <c r="V214" i="70" s="1"/>
  <c r="V215" i="70" s="1"/>
  <c r="V216" i="70" s="1"/>
  <c r="V220" i="70" s="1"/>
  <c r="T211" i="70"/>
  <c r="J38" i="75" l="1"/>
  <c r="M38" i="75" s="1"/>
  <c r="G38" i="75"/>
  <c r="U217" i="70"/>
  <c r="K38" i="75" l="1"/>
  <c r="J42" i="75"/>
  <c r="J43" i="75" s="1"/>
  <c r="G35" i="67"/>
  <c r="G29" i="67"/>
  <c r="G26" i="67" s="1"/>
  <c r="G15" i="80" s="1"/>
  <c r="G21" i="67"/>
  <c r="G20" i="67" s="1"/>
  <c r="G12" i="80" s="1"/>
  <c r="K42" i="75" l="1"/>
  <c r="K43" i="75"/>
  <c r="M44" i="75" s="1"/>
  <c r="G37" i="67"/>
  <c r="G36" i="67" s="1"/>
  <c r="G33" i="67" s="1"/>
  <c r="E10" i="64" l="1"/>
  <c r="F221" i="64" l="1"/>
  <c r="F211" i="64" l="1"/>
  <c r="F210" i="64"/>
  <c r="F209" i="64"/>
  <c r="F208" i="64"/>
  <c r="F206" i="64"/>
  <c r="F207" i="64" s="1"/>
  <c r="F205" i="64"/>
  <c r="F204" i="64"/>
  <c r="F201" i="64"/>
  <c r="F200" i="64"/>
  <c r="F199" i="64"/>
  <c r="F198" i="64"/>
  <c r="F196" i="64"/>
  <c r="F197" i="64" s="1"/>
  <c r="F195" i="64"/>
  <c r="F194" i="64"/>
  <c r="I15" i="61" l="1"/>
  <c r="I16" i="61"/>
  <c r="I17" i="61"/>
  <c r="I18" i="61"/>
  <c r="I19" i="61"/>
  <c r="I20" i="61"/>
  <c r="I21" i="61"/>
  <c r="I22" i="61"/>
  <c r="I23" i="61"/>
  <c r="I24" i="61"/>
  <c r="I25" i="61"/>
  <c r="I26" i="61"/>
  <c r="I27" i="61"/>
  <c r="I28" i="61"/>
  <c r="I29" i="61"/>
  <c r="I30" i="61"/>
  <c r="I31" i="61"/>
  <c r="I32" i="61"/>
  <c r="I33" i="61"/>
  <c r="I34" i="61"/>
  <c r="I35" i="61"/>
  <c r="I36" i="61"/>
  <c r="I37" i="61"/>
  <c r="I38" i="61"/>
  <c r="I39" i="61"/>
  <c r="I40" i="61"/>
  <c r="I41" i="61"/>
  <c r="I42" i="61"/>
  <c r="I43" i="61"/>
  <c r="I44" i="61"/>
  <c r="I45" i="61"/>
  <c r="I46" i="61"/>
  <c r="I47" i="61"/>
  <c r="I48" i="61"/>
  <c r="I49" i="61"/>
  <c r="I50" i="61"/>
  <c r="I51" i="61"/>
  <c r="I52" i="61"/>
  <c r="I53" i="61"/>
  <c r="I54" i="61"/>
  <c r="I55" i="61"/>
  <c r="I56" i="61"/>
  <c r="I57" i="61"/>
  <c r="I58" i="61"/>
  <c r="I59" i="61"/>
  <c r="I60" i="61"/>
  <c r="I61" i="61"/>
  <c r="I62" i="61"/>
  <c r="I63" i="61"/>
  <c r="I64" i="61"/>
  <c r="I65" i="61"/>
  <c r="I66" i="61"/>
  <c r="I67" i="61"/>
  <c r="I68" i="61"/>
  <c r="I69" i="61"/>
  <c r="I70" i="61"/>
  <c r="I71" i="61"/>
  <c r="I72" i="61"/>
  <c r="I73" i="61"/>
  <c r="I74" i="61"/>
  <c r="I75" i="61"/>
  <c r="I76" i="61"/>
  <c r="I77" i="61"/>
  <c r="I78" i="61"/>
  <c r="I79" i="61"/>
  <c r="I80" i="61"/>
  <c r="I81" i="61"/>
  <c r="I82" i="61"/>
  <c r="I83" i="61"/>
  <c r="I84" i="61"/>
  <c r="I85" i="61"/>
  <c r="I14" i="61"/>
  <c r="I86" i="61"/>
  <c r="F19" i="63"/>
  <c r="F20" i="63"/>
  <c r="F21" i="63"/>
  <c r="F22" i="63"/>
  <c r="F23" i="63"/>
  <c r="F24" i="63"/>
  <c r="F25" i="63"/>
  <c r="F26" i="63"/>
  <c r="F27" i="63"/>
  <c r="F28" i="63"/>
  <c r="F29" i="63"/>
  <c r="F30" i="63"/>
  <c r="F31" i="63"/>
  <c r="F32" i="63"/>
  <c r="F33" i="63"/>
  <c r="F34" i="63"/>
  <c r="F39" i="63"/>
  <c r="F40" i="63"/>
  <c r="F41" i="63"/>
  <c r="F42" i="63"/>
  <c r="F43" i="63"/>
  <c r="F44" i="63"/>
  <c r="F45" i="63"/>
  <c r="F46" i="63"/>
  <c r="F47" i="63"/>
  <c r="F48" i="63"/>
  <c r="F49" i="63"/>
  <c r="F50" i="63"/>
  <c r="F51" i="63"/>
  <c r="F52" i="63"/>
  <c r="F53" i="63"/>
  <c r="F54" i="63"/>
  <c r="F55" i="63"/>
  <c r="F56" i="63"/>
  <c r="F57" i="63"/>
  <c r="F58" i="63"/>
  <c r="F59" i="63"/>
  <c r="F60" i="63"/>
  <c r="F61" i="63"/>
  <c r="F62" i="63"/>
  <c r="F63" i="63"/>
  <c r="F64" i="63"/>
  <c r="F65" i="63"/>
  <c r="F66" i="63"/>
  <c r="F67" i="63"/>
  <c r="F68" i="63"/>
  <c r="F69" i="63"/>
  <c r="F70" i="63"/>
  <c r="F71" i="63"/>
  <c r="F72" i="63"/>
  <c r="F73" i="63"/>
  <c r="F74" i="63"/>
  <c r="F75" i="63"/>
  <c r="F76" i="63"/>
  <c r="F77" i="63"/>
  <c r="F78" i="63"/>
  <c r="F79" i="63"/>
  <c r="F80" i="63"/>
  <c r="F81" i="63"/>
  <c r="F82" i="63"/>
  <c r="F83" i="63"/>
  <c r="F84" i="63"/>
  <c r="E38" i="63"/>
  <c r="F38" i="63"/>
  <c r="E37" i="63"/>
  <c r="F37" i="63"/>
  <c r="E36" i="63"/>
  <c r="F36" i="63"/>
  <c r="E35" i="63"/>
  <c r="F35" i="63"/>
  <c r="F14" i="63"/>
  <c r="F15" i="63"/>
  <c r="F16" i="63"/>
  <c r="F17" i="63"/>
  <c r="F18" i="63"/>
  <c r="F13" i="63"/>
  <c r="H10" i="62"/>
  <c r="F10" i="62"/>
  <c r="D10" i="62" s="1"/>
  <c r="D9" i="62" s="1"/>
  <c r="G26" i="62"/>
  <c r="D11" i="62"/>
  <c r="E11" i="62" s="1"/>
  <c r="D14" i="62"/>
  <c r="E14" i="62"/>
  <c r="D15" i="62"/>
  <c r="E15" i="62"/>
  <c r="D16" i="62"/>
  <c r="E16" i="62"/>
  <c r="D17" i="62"/>
  <c r="E17" i="62"/>
  <c r="D18" i="62"/>
  <c r="E18" i="62"/>
  <c r="D19" i="62"/>
  <c r="E19" i="62"/>
  <c r="D20" i="62"/>
  <c r="E20" i="62"/>
  <c r="D21" i="62"/>
  <c r="E21" i="62"/>
  <c r="D13" i="62"/>
  <c r="D12" i="62" s="1"/>
  <c r="F25" i="62"/>
  <c r="F24" i="62"/>
  <c r="F23" i="62"/>
  <c r="F22" i="62" s="1"/>
  <c r="D22" i="62"/>
  <c r="C12" i="61"/>
  <c r="D12" i="61"/>
  <c r="E12" i="61"/>
  <c r="F12" i="61"/>
  <c r="G12" i="61" s="1"/>
  <c r="H12" i="61" s="1"/>
  <c r="I12" i="61" s="1"/>
  <c r="J12" i="61" s="1"/>
  <c r="K12" i="61" s="1"/>
  <c r="L12" i="61" s="1"/>
  <c r="F98" i="58"/>
  <c r="E98" i="58"/>
  <c r="C98" i="58"/>
  <c r="B98" i="58"/>
  <c r="A98" i="58"/>
  <c r="F97" i="58"/>
  <c r="E97" i="58"/>
  <c r="C97" i="58"/>
  <c r="B97" i="58"/>
  <c r="A97" i="58"/>
  <c r="C95" i="58"/>
  <c r="B95" i="58"/>
  <c r="C94" i="58"/>
  <c r="B94" i="58"/>
  <c r="C93" i="58"/>
  <c r="B93" i="58"/>
  <c r="G92" i="58"/>
  <c r="C92" i="58"/>
  <c r="B92" i="58"/>
  <c r="C91" i="58"/>
  <c r="B91" i="58"/>
  <c r="C90" i="58"/>
  <c r="B90" i="58"/>
  <c r="G89" i="58"/>
  <c r="C89" i="58"/>
  <c r="B89" i="58"/>
  <c r="G88" i="58"/>
  <c r="C88" i="58"/>
  <c r="B88" i="58"/>
  <c r="G87" i="58"/>
  <c r="C87" i="58"/>
  <c r="B87" i="58"/>
  <c r="G86" i="58"/>
  <c r="E86" i="58"/>
  <c r="C86" i="58"/>
  <c r="B86" i="58"/>
  <c r="G85" i="58"/>
  <c r="C85" i="58"/>
  <c r="B85" i="58"/>
  <c r="G84" i="58"/>
  <c r="E84" i="58"/>
  <c r="C84" i="58"/>
  <c r="B84" i="58"/>
  <c r="E83" i="58"/>
  <c r="C83" i="58"/>
  <c r="B83" i="58"/>
  <c r="B82" i="58"/>
  <c r="E81" i="58"/>
  <c r="C81" i="58"/>
  <c r="B81" i="58"/>
  <c r="F80" i="58"/>
  <c r="E80" i="58"/>
  <c r="C80" i="58"/>
  <c r="B80" i="58"/>
  <c r="C79" i="58"/>
  <c r="B79" i="58"/>
  <c r="E78" i="58"/>
  <c r="C78" i="58"/>
  <c r="B78" i="58"/>
  <c r="G77" i="58"/>
  <c r="F77" i="58"/>
  <c r="C77" i="58"/>
  <c r="B77" i="58"/>
  <c r="C76" i="58"/>
  <c r="B76" i="58"/>
  <c r="G75" i="58"/>
  <c r="F75" i="58"/>
  <c r="C75" i="58"/>
  <c r="B75" i="58"/>
  <c r="E74" i="58"/>
  <c r="C74" i="58"/>
  <c r="B74" i="58"/>
  <c r="B73" i="58"/>
  <c r="G72" i="58"/>
  <c r="C72" i="58"/>
  <c r="B72" i="58"/>
  <c r="G71" i="58"/>
  <c r="C71" i="58"/>
  <c r="B71" i="58"/>
  <c r="G70" i="58"/>
  <c r="C70" i="58"/>
  <c r="B70" i="58"/>
  <c r="C69" i="58"/>
  <c r="B69" i="58"/>
  <c r="G68" i="58"/>
  <c r="C68" i="58"/>
  <c r="B68" i="58"/>
  <c r="F67" i="58"/>
  <c r="E67" i="58"/>
  <c r="C67" i="58"/>
  <c r="B67" i="58"/>
  <c r="E66" i="58"/>
  <c r="C66" i="58"/>
  <c r="B66" i="58"/>
  <c r="G65" i="58"/>
  <c r="E65" i="58"/>
  <c r="C65" i="58"/>
  <c r="B65" i="58"/>
  <c r="A65" i="58"/>
  <c r="E64" i="58"/>
  <c r="C64" i="58"/>
  <c r="C63" i="58"/>
  <c r="B64" i="58"/>
  <c r="A64" i="58"/>
  <c r="B62" i="58"/>
  <c r="G61" i="58"/>
  <c r="F61" i="58"/>
  <c r="C61" i="58"/>
  <c r="B61" i="58"/>
  <c r="C60" i="58"/>
  <c r="B60" i="58"/>
  <c r="G59" i="58"/>
  <c r="C59" i="58"/>
  <c r="B59" i="58"/>
  <c r="C58" i="58"/>
  <c r="B58" i="58"/>
  <c r="C57" i="58"/>
  <c r="B57" i="58"/>
  <c r="B56" i="58"/>
  <c r="E55" i="58"/>
  <c r="C55" i="58"/>
  <c r="B55" i="58"/>
  <c r="C54" i="58"/>
  <c r="B54" i="58"/>
  <c r="C53" i="58"/>
  <c r="B53" i="58"/>
  <c r="G52" i="58"/>
  <c r="C52" i="58"/>
  <c r="B52" i="58"/>
  <c r="B51" i="58"/>
  <c r="B50" i="58"/>
  <c r="E49" i="58"/>
  <c r="C49" i="58"/>
  <c r="B49" i="58"/>
  <c r="C48" i="58"/>
  <c r="B48" i="58"/>
  <c r="C47" i="58"/>
  <c r="B47" i="58"/>
  <c r="B46" i="58"/>
  <c r="C45" i="58"/>
  <c r="B45" i="58"/>
  <c r="C44" i="58"/>
  <c r="B44" i="58"/>
  <c r="C43" i="58"/>
  <c r="B43" i="58"/>
  <c r="G42" i="58"/>
  <c r="C42" i="58"/>
  <c r="B42" i="58"/>
  <c r="C41" i="58"/>
  <c r="B41" i="58"/>
  <c r="C40" i="58"/>
  <c r="B40" i="58"/>
  <c r="C39" i="58"/>
  <c r="B39" i="58"/>
  <c r="C38" i="58"/>
  <c r="B38" i="58"/>
  <c r="G37" i="58"/>
  <c r="C37" i="58"/>
  <c r="B37" i="58"/>
  <c r="G36" i="58"/>
  <c r="C36" i="58"/>
  <c r="B36" i="58"/>
  <c r="F35" i="58"/>
  <c r="E35" i="58"/>
  <c r="C35" i="58"/>
  <c r="B35" i="58"/>
  <c r="A35" i="58"/>
  <c r="F34" i="58"/>
  <c r="E34" i="58"/>
  <c r="C34" i="58"/>
  <c r="B34" i="58"/>
  <c r="A34" i="58"/>
  <c r="E32" i="58"/>
  <c r="C32" i="58"/>
  <c r="B32" i="58"/>
  <c r="G31" i="58"/>
  <c r="E31" i="58"/>
  <c r="D31" i="58"/>
  <c r="C31" i="58"/>
  <c r="B31" i="58"/>
  <c r="A31" i="58"/>
  <c r="E30" i="58"/>
  <c r="C30" i="58"/>
  <c r="C29" i="58"/>
  <c r="B30" i="58"/>
  <c r="A30" i="58"/>
  <c r="B28" i="58"/>
  <c r="B27" i="58"/>
  <c r="B26" i="58"/>
  <c r="B99" i="58"/>
  <c r="C24" i="58"/>
  <c r="B24" i="58"/>
  <c r="C23" i="58"/>
  <c r="B23" i="58"/>
  <c r="C22" i="58"/>
  <c r="B22" i="58"/>
  <c r="C21" i="58"/>
  <c r="B21" i="58"/>
  <c r="C20" i="58"/>
  <c r="B20" i="58"/>
  <c r="G19" i="58"/>
  <c r="C19" i="58"/>
  <c r="B19" i="58"/>
  <c r="B18" i="58"/>
  <c r="F17" i="58"/>
  <c r="E17" i="58"/>
  <c r="C17" i="58"/>
  <c r="B17" i="58"/>
  <c r="A17" i="58"/>
  <c r="F16" i="58"/>
  <c r="E16" i="58"/>
  <c r="C16" i="58"/>
  <c r="B16" i="58"/>
  <c r="A16" i="58"/>
  <c r="F14" i="58"/>
  <c r="E14" i="58"/>
  <c r="C14" i="58"/>
  <c r="B14" i="58"/>
  <c r="A14" i="58"/>
  <c r="F13" i="58"/>
  <c r="E13" i="58"/>
  <c r="C13" i="58"/>
  <c r="B13" i="58"/>
  <c r="A13" i="58"/>
  <c r="C11" i="58"/>
  <c r="B11" i="58"/>
  <c r="G10" i="58"/>
  <c r="F10" i="58"/>
  <c r="C10" i="58"/>
  <c r="B10" i="58"/>
  <c r="E9" i="58"/>
  <c r="C9" i="58"/>
  <c r="B9" i="58"/>
  <c r="E8" i="58"/>
  <c r="C8" i="58"/>
  <c r="B8" i="58"/>
  <c r="E7" i="58"/>
  <c r="C7" i="58"/>
  <c r="B7" i="58"/>
  <c r="B6" i="58"/>
  <c r="B5" i="58"/>
  <c r="B25" i="58"/>
  <c r="I4" i="58"/>
  <c r="H4" i="58"/>
  <c r="G4" i="58"/>
  <c r="F4" i="58"/>
  <c r="E4" i="58"/>
  <c r="A13" i="57"/>
  <c r="B13" i="57"/>
  <c r="C13" i="57"/>
  <c r="E13" i="57"/>
  <c r="F13" i="57"/>
  <c r="A14" i="57"/>
  <c r="B14" i="57"/>
  <c r="C14" i="57"/>
  <c r="E14" i="57"/>
  <c r="F14" i="57"/>
  <c r="A16" i="57"/>
  <c r="B16" i="57"/>
  <c r="C16" i="57"/>
  <c r="E16" i="57"/>
  <c r="F16" i="57"/>
  <c r="A17" i="57"/>
  <c r="B17" i="57"/>
  <c r="C17" i="57"/>
  <c r="E17" i="57"/>
  <c r="F17" i="57"/>
  <c r="B18" i="57"/>
  <c r="B6" i="57"/>
  <c r="B27" i="57"/>
  <c r="B28" i="57"/>
  <c r="A34" i="57"/>
  <c r="B34" i="57"/>
  <c r="C34" i="57"/>
  <c r="E34" i="57"/>
  <c r="F34" i="57"/>
  <c r="A35" i="57"/>
  <c r="B35" i="57"/>
  <c r="C35" i="57"/>
  <c r="E35" i="57"/>
  <c r="F35" i="57"/>
  <c r="A30" i="57"/>
  <c r="B30" i="57"/>
  <c r="C30" i="57"/>
  <c r="C29" i="57"/>
  <c r="E30" i="57"/>
  <c r="E31" i="57"/>
  <c r="G31" i="57"/>
  <c r="F98" i="57"/>
  <c r="E98" i="57"/>
  <c r="C98" i="57"/>
  <c r="B98" i="57"/>
  <c r="A98" i="57"/>
  <c r="F97" i="57"/>
  <c r="E97" i="57"/>
  <c r="C97" i="57"/>
  <c r="B97" i="57"/>
  <c r="A97" i="57"/>
  <c r="C95" i="57"/>
  <c r="B95" i="57"/>
  <c r="C94" i="57"/>
  <c r="B94" i="57"/>
  <c r="C93" i="57"/>
  <c r="B93" i="57"/>
  <c r="G92" i="57"/>
  <c r="C92" i="57"/>
  <c r="B92" i="57"/>
  <c r="C91" i="57"/>
  <c r="B91" i="57"/>
  <c r="C90" i="57"/>
  <c r="B90" i="57"/>
  <c r="G89" i="57"/>
  <c r="C89" i="57"/>
  <c r="B89" i="57"/>
  <c r="G88" i="57"/>
  <c r="C88" i="57"/>
  <c r="B88" i="57"/>
  <c r="G87" i="57"/>
  <c r="C87" i="57"/>
  <c r="B87" i="57"/>
  <c r="G86" i="57"/>
  <c r="E86" i="57"/>
  <c r="C86" i="57"/>
  <c r="B86" i="57"/>
  <c r="G85" i="57"/>
  <c r="C85" i="57"/>
  <c r="B85" i="57"/>
  <c r="G84" i="57"/>
  <c r="E84" i="57"/>
  <c r="C84" i="57"/>
  <c r="B84" i="57"/>
  <c r="E83" i="57"/>
  <c r="C83" i="57"/>
  <c r="B83" i="57"/>
  <c r="B82" i="57"/>
  <c r="E81" i="57"/>
  <c r="C81" i="57"/>
  <c r="B81" i="57"/>
  <c r="F80" i="57"/>
  <c r="E80" i="57"/>
  <c r="C80" i="57"/>
  <c r="B80" i="57"/>
  <c r="C79" i="57"/>
  <c r="B79" i="57"/>
  <c r="E78" i="57"/>
  <c r="C78" i="57"/>
  <c r="B78" i="57"/>
  <c r="G77" i="57"/>
  <c r="F77" i="57"/>
  <c r="C77" i="57"/>
  <c r="B77" i="57"/>
  <c r="C76" i="57"/>
  <c r="B76" i="57"/>
  <c r="G75" i="57"/>
  <c r="F75" i="57"/>
  <c r="C75" i="57"/>
  <c r="B75" i="57"/>
  <c r="E74" i="57"/>
  <c r="C74" i="57"/>
  <c r="B74" i="57"/>
  <c r="B73" i="57"/>
  <c r="G72" i="57"/>
  <c r="C72" i="57"/>
  <c r="B72" i="57"/>
  <c r="G71" i="57"/>
  <c r="C71" i="57"/>
  <c r="B71" i="57"/>
  <c r="G70" i="57"/>
  <c r="C70" i="57"/>
  <c r="B70" i="57"/>
  <c r="C69" i="57"/>
  <c r="B69" i="57"/>
  <c r="G68" i="57"/>
  <c r="C68" i="57"/>
  <c r="B68" i="57"/>
  <c r="F67" i="57"/>
  <c r="E67" i="57"/>
  <c r="C67" i="57"/>
  <c r="B67" i="57"/>
  <c r="E66" i="57"/>
  <c r="C66" i="57"/>
  <c r="B66" i="57"/>
  <c r="G65" i="57"/>
  <c r="E65" i="57"/>
  <c r="C65" i="57"/>
  <c r="B65" i="57"/>
  <c r="A65" i="57"/>
  <c r="E64" i="57"/>
  <c r="C64" i="57"/>
  <c r="C63" i="57"/>
  <c r="B64" i="57"/>
  <c r="A64" i="57"/>
  <c r="B62" i="57"/>
  <c r="G61" i="57"/>
  <c r="F61" i="57"/>
  <c r="C61" i="57"/>
  <c r="B61" i="57"/>
  <c r="C60" i="57"/>
  <c r="B60" i="57"/>
  <c r="G59" i="57"/>
  <c r="C59" i="57"/>
  <c r="B59" i="57"/>
  <c r="C58" i="57"/>
  <c r="B58" i="57"/>
  <c r="C57" i="57"/>
  <c r="B57" i="57"/>
  <c r="B56" i="57"/>
  <c r="E55" i="57"/>
  <c r="C55" i="57"/>
  <c r="B55" i="57"/>
  <c r="C54" i="57"/>
  <c r="B54" i="57"/>
  <c r="C53" i="57"/>
  <c r="B53" i="57"/>
  <c r="G52" i="57"/>
  <c r="C52" i="57"/>
  <c r="B52" i="57"/>
  <c r="B51" i="57"/>
  <c r="B50" i="57"/>
  <c r="E49" i="57"/>
  <c r="C49" i="57"/>
  <c r="B49" i="57"/>
  <c r="C48" i="57"/>
  <c r="B48" i="57"/>
  <c r="C47" i="57"/>
  <c r="B47" i="57"/>
  <c r="B46" i="57"/>
  <c r="C45" i="57"/>
  <c r="B45" i="57"/>
  <c r="C44" i="57"/>
  <c r="B44" i="57"/>
  <c r="C43" i="57"/>
  <c r="B43" i="57"/>
  <c r="G42" i="57"/>
  <c r="C42" i="57"/>
  <c r="B42" i="57"/>
  <c r="C41" i="57"/>
  <c r="B41" i="57"/>
  <c r="C40" i="57"/>
  <c r="B40" i="57"/>
  <c r="C39" i="57"/>
  <c r="B39" i="57"/>
  <c r="C38" i="57"/>
  <c r="B38" i="57"/>
  <c r="G37" i="57"/>
  <c r="C37" i="57"/>
  <c r="B37" i="57"/>
  <c r="G36" i="57"/>
  <c r="C36" i="57"/>
  <c r="B36" i="57"/>
  <c r="E32" i="57"/>
  <c r="C32" i="57"/>
  <c r="B32" i="57"/>
  <c r="B26" i="57"/>
  <c r="B99" i="57" s="1"/>
  <c r="C24" i="57"/>
  <c r="B24" i="57"/>
  <c r="C23" i="57"/>
  <c r="B23" i="57"/>
  <c r="C22" i="57"/>
  <c r="B22" i="57"/>
  <c r="C21" i="57"/>
  <c r="B21" i="57"/>
  <c r="C20" i="57"/>
  <c r="B20" i="57"/>
  <c r="G19" i="57"/>
  <c r="C19" i="57"/>
  <c r="B19" i="57"/>
  <c r="C11" i="57"/>
  <c r="B11" i="57"/>
  <c r="G10" i="57"/>
  <c r="F10" i="57"/>
  <c r="C10" i="57"/>
  <c r="B10" i="57"/>
  <c r="E9" i="57"/>
  <c r="C9" i="57"/>
  <c r="B9" i="57"/>
  <c r="E8" i="57"/>
  <c r="C8" i="57"/>
  <c r="B8" i="57"/>
  <c r="E7" i="57"/>
  <c r="C7" i="57"/>
  <c r="B7" i="57"/>
  <c r="B5" i="57"/>
  <c r="B25" i="57"/>
  <c r="I4" i="57"/>
  <c r="H4" i="57"/>
  <c r="G4" i="57"/>
  <c r="F4" i="57"/>
  <c r="E4" i="57"/>
  <c r="P122" i="25"/>
  <c r="S40" i="25"/>
  <c r="K72" i="18"/>
  <c r="K70" i="18"/>
  <c r="Q4" i="1"/>
  <c r="U4" i="1"/>
  <c r="P9" i="1"/>
  <c r="U9" i="1"/>
  <c r="P11" i="1"/>
  <c r="E10" i="12" s="1"/>
  <c r="P13" i="1"/>
  <c r="P15" i="1"/>
  <c r="P17" i="1"/>
  <c r="P19" i="1"/>
  <c r="P22" i="1"/>
  <c r="V22" i="1"/>
  <c r="T22" i="1"/>
  <c r="P24" i="1"/>
  <c r="D16" i="58" s="1"/>
  <c r="P27" i="1"/>
  <c r="T27" i="1"/>
  <c r="P30" i="1"/>
  <c r="P32" i="1"/>
  <c r="X32" i="1"/>
  <c r="P34" i="1"/>
  <c r="P37" i="1"/>
  <c r="P39" i="1"/>
  <c r="E88" i="6"/>
  <c r="P41" i="1"/>
  <c r="D30" i="58"/>
  <c r="D29" i="58" s="1"/>
  <c r="P48" i="1"/>
  <c r="P50" i="1"/>
  <c r="V50" i="1" s="1"/>
  <c r="P52" i="1"/>
  <c r="T52" i="1"/>
  <c r="P54" i="1"/>
  <c r="D36" i="57"/>
  <c r="P56" i="1"/>
  <c r="D37" i="57"/>
  <c r="P58" i="1"/>
  <c r="P60" i="1"/>
  <c r="D39" i="57" s="1"/>
  <c r="P62" i="1"/>
  <c r="P64" i="1"/>
  <c r="D41" i="57"/>
  <c r="P66" i="1"/>
  <c r="D42" i="58"/>
  <c r="P68" i="1"/>
  <c r="D43" i="58" s="1"/>
  <c r="P70" i="1"/>
  <c r="E216" i="6"/>
  <c r="P72" i="1"/>
  <c r="X72" i="1"/>
  <c r="P75" i="1"/>
  <c r="U75" i="1"/>
  <c r="P78" i="1"/>
  <c r="U78" i="1" s="1"/>
  <c r="P80" i="1"/>
  <c r="D49" i="58"/>
  <c r="P84" i="1"/>
  <c r="X84" i="1"/>
  <c r="P86" i="1"/>
  <c r="P88" i="1"/>
  <c r="U88" i="1" s="1"/>
  <c r="P90" i="1"/>
  <c r="V90" i="1" s="1"/>
  <c r="P93" i="1"/>
  <c r="E297" i="6"/>
  <c r="P95" i="1"/>
  <c r="W95" i="1" s="1"/>
  <c r="P97" i="1"/>
  <c r="V97" i="1" s="1"/>
  <c r="P99" i="1"/>
  <c r="U99" i="1"/>
  <c r="P101" i="1"/>
  <c r="D61" i="58"/>
  <c r="W104" i="1"/>
  <c r="P106" i="1"/>
  <c r="E344" i="6" s="1"/>
  <c r="P108" i="1"/>
  <c r="W108" i="1" s="1"/>
  <c r="P110" i="1"/>
  <c r="P112" i="1"/>
  <c r="X112" i="1"/>
  <c r="P114" i="1"/>
  <c r="P116" i="1"/>
  <c r="U116" i="1" s="1"/>
  <c r="P118" i="1"/>
  <c r="X118" i="1" s="1"/>
  <c r="P120" i="1"/>
  <c r="D72" i="58"/>
  <c r="P123" i="1"/>
  <c r="P125" i="1"/>
  <c r="X125" i="1"/>
  <c r="P127" i="1"/>
  <c r="P129" i="1"/>
  <c r="P131" i="1"/>
  <c r="W131" i="1"/>
  <c r="P133" i="1"/>
  <c r="X133" i="1"/>
  <c r="P135" i="1"/>
  <c r="W135" i="1"/>
  <c r="U135" i="1"/>
  <c r="P137" i="1"/>
  <c r="D81" i="58" s="1"/>
  <c r="P140" i="1"/>
  <c r="P142" i="1"/>
  <c r="X142" i="1"/>
  <c r="P144" i="1"/>
  <c r="U144" i="1"/>
  <c r="P146" i="1"/>
  <c r="D86" i="58" s="1"/>
  <c r="P148" i="1"/>
  <c r="P150" i="1"/>
  <c r="X150" i="1"/>
  <c r="P152" i="1"/>
  <c r="D89" i="57" s="1"/>
  <c r="P154" i="1"/>
  <c r="D90" i="58" s="1"/>
  <c r="P156" i="1"/>
  <c r="D91" i="57" s="1"/>
  <c r="P158" i="1"/>
  <c r="X158" i="1"/>
  <c r="P160" i="1"/>
  <c r="P162" i="1"/>
  <c r="D94" i="58"/>
  <c r="P164" i="1"/>
  <c r="P166" i="1"/>
  <c r="P168" i="1"/>
  <c r="V168" i="1"/>
  <c r="T168" i="1"/>
  <c r="A2" i="2"/>
  <c r="E4" i="2"/>
  <c r="F4" i="2"/>
  <c r="I4" i="2"/>
  <c r="J77" i="2"/>
  <c r="A2" i="3"/>
  <c r="D22" i="3"/>
  <c r="E39" i="3"/>
  <c r="K76" i="5" s="1"/>
  <c r="E40" i="3"/>
  <c r="K11" i="5" s="1"/>
  <c r="A3" i="4"/>
  <c r="A4" i="4"/>
  <c r="I5" i="4"/>
  <c r="I6" i="4"/>
  <c r="J6" i="4"/>
  <c r="K6" i="4"/>
  <c r="L6" i="4"/>
  <c r="M6" i="4"/>
  <c r="N6" i="4"/>
  <c r="O6" i="4"/>
  <c r="P6" i="4"/>
  <c r="Q6" i="4"/>
  <c r="R6" i="4"/>
  <c r="I7" i="4"/>
  <c r="J7" i="4"/>
  <c r="K7" i="4"/>
  <c r="L7" i="4"/>
  <c r="M7" i="4"/>
  <c r="N7" i="4"/>
  <c r="O7" i="4"/>
  <c r="P7" i="4"/>
  <c r="Q7" i="4"/>
  <c r="R7" i="4"/>
  <c r="B8" i="4"/>
  <c r="C8" i="4"/>
  <c r="D8" i="4"/>
  <c r="E8" i="4"/>
  <c r="H8" i="4"/>
  <c r="B9" i="4"/>
  <c r="C9" i="4"/>
  <c r="D9" i="4"/>
  <c r="E9" i="4"/>
  <c r="H9" i="4" s="1"/>
  <c r="B10" i="4"/>
  <c r="C10" i="4"/>
  <c r="D10" i="4"/>
  <c r="E10" i="4"/>
  <c r="H10" i="4"/>
  <c r="O10" i="4" s="1"/>
  <c r="B11" i="4"/>
  <c r="C11" i="4"/>
  <c r="D11" i="4"/>
  <c r="E11" i="4"/>
  <c r="H11" i="4" s="1"/>
  <c r="B12" i="4"/>
  <c r="C12" i="4"/>
  <c r="D12" i="4"/>
  <c r="E12" i="4"/>
  <c r="H12" i="4"/>
  <c r="A3" i="5"/>
  <c r="A4" i="5"/>
  <c r="E5" i="5"/>
  <c r="H5" i="5"/>
  <c r="K5" i="5"/>
  <c r="B6" i="5"/>
  <c r="C6" i="5"/>
  <c r="D6" i="5"/>
  <c r="C8" i="5"/>
  <c r="D8" i="5"/>
  <c r="H8" i="5"/>
  <c r="I8" i="5"/>
  <c r="K8" i="5" s="1"/>
  <c r="K7" i="5" s="1"/>
  <c r="H15" i="5"/>
  <c r="I15" i="5"/>
  <c r="H16" i="5"/>
  <c r="K16" i="5" s="1"/>
  <c r="H17" i="5"/>
  <c r="B18" i="5"/>
  <c r="C18" i="5"/>
  <c r="D18" i="5"/>
  <c r="C20" i="5"/>
  <c r="D20" i="5"/>
  <c r="H20" i="5"/>
  <c r="I20" i="5"/>
  <c r="H25" i="5"/>
  <c r="I25" i="5"/>
  <c r="K25" i="5" s="1"/>
  <c r="H26" i="5"/>
  <c r="H27" i="5"/>
  <c r="K27" i="5" s="1"/>
  <c r="B28" i="5"/>
  <c r="C28" i="5"/>
  <c r="D28" i="5"/>
  <c r="C30" i="5"/>
  <c r="D30" i="5"/>
  <c r="H30" i="5"/>
  <c r="I30" i="5"/>
  <c r="H35" i="5"/>
  <c r="K35" i="5" s="1"/>
  <c r="I35" i="5"/>
  <c r="H36" i="5"/>
  <c r="K36" i="5"/>
  <c r="H37" i="5"/>
  <c r="K37" i="5" s="1"/>
  <c r="B38" i="5"/>
  <c r="C38" i="5"/>
  <c r="D38" i="5"/>
  <c r="C40" i="5"/>
  <c r="D40" i="5"/>
  <c r="H40" i="5"/>
  <c r="K40" i="5"/>
  <c r="K39" i="5" s="1"/>
  <c r="I40" i="5"/>
  <c r="H45" i="5"/>
  <c r="K45" i="5" s="1"/>
  <c r="I45" i="5"/>
  <c r="H46" i="5"/>
  <c r="K46" i="5"/>
  <c r="H47" i="5"/>
  <c r="B48" i="5"/>
  <c r="C48" i="5"/>
  <c r="D48" i="5"/>
  <c r="C50" i="5"/>
  <c r="D50" i="5"/>
  <c r="H50" i="5"/>
  <c r="K50" i="5"/>
  <c r="K49" i="5"/>
  <c r="I50" i="5"/>
  <c r="H55" i="5"/>
  <c r="K55" i="5" s="1"/>
  <c r="I55" i="5"/>
  <c r="H56" i="5"/>
  <c r="K56" i="5"/>
  <c r="H57" i="5"/>
  <c r="K57" i="5" s="1"/>
  <c r="B58" i="5"/>
  <c r="C58" i="5"/>
  <c r="D58" i="5"/>
  <c r="C60" i="5"/>
  <c r="D60" i="5"/>
  <c r="H60" i="5"/>
  <c r="I60" i="5"/>
  <c r="H65" i="5"/>
  <c r="I65" i="5"/>
  <c r="K65" i="5" s="1"/>
  <c r="H66" i="5"/>
  <c r="K66" i="5" s="1"/>
  <c r="H67" i="5"/>
  <c r="K67" i="5"/>
  <c r="B68" i="5"/>
  <c r="C68" i="5"/>
  <c r="D68" i="5"/>
  <c r="C70" i="5"/>
  <c r="D70" i="5"/>
  <c r="H70" i="5"/>
  <c r="I70" i="5"/>
  <c r="K70" i="5" s="1"/>
  <c r="K69" i="5" s="1"/>
  <c r="H75" i="5"/>
  <c r="I75" i="5"/>
  <c r="H76" i="5"/>
  <c r="H77" i="5"/>
  <c r="B78" i="5"/>
  <c r="C78" i="5"/>
  <c r="D78" i="5"/>
  <c r="C80" i="5"/>
  <c r="D80" i="5"/>
  <c r="H80" i="5"/>
  <c r="K80" i="5" s="1"/>
  <c r="K79" i="5" s="1"/>
  <c r="I80" i="5"/>
  <c r="H85" i="5"/>
  <c r="K85" i="5" s="1"/>
  <c r="I85" i="5"/>
  <c r="H86" i="5"/>
  <c r="H87" i="5"/>
  <c r="B88" i="5"/>
  <c r="C88" i="5"/>
  <c r="D88" i="5"/>
  <c r="C90" i="5"/>
  <c r="D90" i="5"/>
  <c r="H90" i="5"/>
  <c r="I90" i="5"/>
  <c r="H95" i="5"/>
  <c r="I95" i="5"/>
  <c r="K95" i="5" s="1"/>
  <c r="H96" i="5"/>
  <c r="K96" i="5"/>
  <c r="H97" i="5"/>
  <c r="B98" i="5"/>
  <c r="C98" i="5"/>
  <c r="D98" i="5"/>
  <c r="C100" i="5"/>
  <c r="D100" i="5"/>
  <c r="H100" i="5"/>
  <c r="I100" i="5"/>
  <c r="H105" i="5"/>
  <c r="I105" i="5"/>
  <c r="K105" i="5" s="1"/>
  <c r="H106" i="5"/>
  <c r="H107" i="5"/>
  <c r="K107" i="5"/>
  <c r="B108" i="5"/>
  <c r="C108" i="5"/>
  <c r="D108" i="5"/>
  <c r="C110" i="5"/>
  <c r="D110" i="5"/>
  <c r="H110" i="5"/>
  <c r="K110" i="5" s="1"/>
  <c r="K109" i="5" s="1"/>
  <c r="I110" i="5"/>
  <c r="H112" i="5"/>
  <c r="I112" i="5"/>
  <c r="H113" i="5"/>
  <c r="K113" i="5" s="1"/>
  <c r="H114" i="5"/>
  <c r="K114" i="5" s="1"/>
  <c r="B115" i="5"/>
  <c r="C115" i="5"/>
  <c r="D115" i="5"/>
  <c r="C117" i="5"/>
  <c r="D117" i="5"/>
  <c r="H117" i="5"/>
  <c r="I117" i="5"/>
  <c r="K117" i="5" s="1"/>
  <c r="K116" i="5" s="1"/>
  <c r="H122" i="5"/>
  <c r="I122" i="5"/>
  <c r="H123" i="5"/>
  <c r="K123" i="5" s="1"/>
  <c r="H124" i="5"/>
  <c r="B125" i="5"/>
  <c r="C125" i="5"/>
  <c r="D125" i="5"/>
  <c r="C127" i="5"/>
  <c r="D127" i="5"/>
  <c r="H127" i="5"/>
  <c r="K127" i="5" s="1"/>
  <c r="K126" i="5" s="1"/>
  <c r="I127" i="5"/>
  <c r="H132" i="5"/>
  <c r="I132" i="5"/>
  <c r="K132" i="5"/>
  <c r="K131" i="5"/>
  <c r="H133" i="5"/>
  <c r="K133" i="5" s="1"/>
  <c r="H134" i="5"/>
  <c r="K134" i="5" s="1"/>
  <c r="B135" i="5"/>
  <c r="C135" i="5"/>
  <c r="D135" i="5"/>
  <c r="C137" i="5"/>
  <c r="D137" i="5"/>
  <c r="H137" i="5"/>
  <c r="K137" i="5" s="1"/>
  <c r="K136" i="5" s="1"/>
  <c r="I137" i="5"/>
  <c r="H142" i="5"/>
  <c r="I142" i="5"/>
  <c r="K142" i="5" s="1"/>
  <c r="H143" i="5"/>
  <c r="K143" i="5" s="1"/>
  <c r="H144" i="5"/>
  <c r="K144" i="5" s="1"/>
  <c r="B145" i="5"/>
  <c r="C145" i="5"/>
  <c r="D145" i="5"/>
  <c r="C147" i="5"/>
  <c r="D147" i="5"/>
  <c r="H147" i="5"/>
  <c r="I147" i="5"/>
  <c r="H152" i="5"/>
  <c r="I152" i="5"/>
  <c r="K152" i="5"/>
  <c r="H153" i="5"/>
  <c r="K153" i="5"/>
  <c r="H154" i="5"/>
  <c r="K154" i="5" s="1"/>
  <c r="B155" i="5"/>
  <c r="C155" i="5"/>
  <c r="D155" i="5"/>
  <c r="C157" i="5"/>
  <c r="D157" i="5"/>
  <c r="H157" i="5"/>
  <c r="K157" i="5" s="1"/>
  <c r="K156" i="5" s="1"/>
  <c r="I157" i="5"/>
  <c r="H162" i="5"/>
  <c r="I162" i="5"/>
  <c r="K162" i="5"/>
  <c r="H163" i="5"/>
  <c r="K163" i="5"/>
  <c r="H164" i="5"/>
  <c r="K164" i="5" s="1"/>
  <c r="B165" i="5"/>
  <c r="C165" i="5"/>
  <c r="D165" i="5"/>
  <c r="C167" i="5"/>
  <c r="D167" i="5"/>
  <c r="H167" i="5"/>
  <c r="K167" i="5" s="1"/>
  <c r="K166" i="5" s="1"/>
  <c r="I167" i="5"/>
  <c r="H169" i="5"/>
  <c r="I169" i="5"/>
  <c r="H170" i="5"/>
  <c r="K170" i="5"/>
  <c r="H171" i="5"/>
  <c r="K171" i="5" s="1"/>
  <c r="B172" i="5"/>
  <c r="C172" i="5"/>
  <c r="D172" i="5"/>
  <c r="C174" i="5"/>
  <c r="D174" i="5"/>
  <c r="H174" i="5"/>
  <c r="I174" i="5"/>
  <c r="H179" i="5"/>
  <c r="I179" i="5"/>
  <c r="H180" i="5"/>
  <c r="K180" i="5" s="1"/>
  <c r="H181" i="5"/>
  <c r="K181" i="5"/>
  <c r="B182" i="5"/>
  <c r="C182" i="5"/>
  <c r="D182" i="5"/>
  <c r="C184" i="5"/>
  <c r="D184" i="5"/>
  <c r="H184" i="5"/>
  <c r="I184" i="5"/>
  <c r="K184" i="5"/>
  <c r="K183" i="5"/>
  <c r="K187" i="5"/>
  <c r="H191" i="5"/>
  <c r="I191" i="5"/>
  <c r="H192" i="5"/>
  <c r="K192" i="5" s="1"/>
  <c r="H193" i="5"/>
  <c r="K193" i="5"/>
  <c r="B194" i="5"/>
  <c r="C194" i="5"/>
  <c r="D194" i="5"/>
  <c r="C196" i="5"/>
  <c r="D196" i="5"/>
  <c r="H196" i="5"/>
  <c r="I196" i="5"/>
  <c r="H201" i="5"/>
  <c r="I201" i="5"/>
  <c r="H202" i="5"/>
  <c r="K202" i="5" s="1"/>
  <c r="H203" i="5"/>
  <c r="K203" i="5"/>
  <c r="B204" i="5"/>
  <c r="C204" i="5"/>
  <c r="D204" i="5"/>
  <c r="C206" i="5"/>
  <c r="D206" i="5"/>
  <c r="H206" i="5"/>
  <c r="K206" i="5" s="1"/>
  <c r="K205" i="5" s="1"/>
  <c r="I206" i="5"/>
  <c r="H211" i="5"/>
  <c r="I211" i="5"/>
  <c r="H212" i="5"/>
  <c r="K212" i="5"/>
  <c r="H213" i="5"/>
  <c r="K213" i="5" s="1"/>
  <c r="B214" i="5"/>
  <c r="C214" i="5"/>
  <c r="D214" i="5"/>
  <c r="C216" i="5"/>
  <c r="D216" i="5"/>
  <c r="H216" i="5"/>
  <c r="K216" i="5" s="1"/>
  <c r="K215" i="5" s="1"/>
  <c r="I216" i="5"/>
  <c r="H221" i="5"/>
  <c r="I221" i="5"/>
  <c r="K221" i="5" s="1"/>
  <c r="H222" i="5"/>
  <c r="K222" i="5"/>
  <c r="H223" i="5"/>
  <c r="K223" i="5" s="1"/>
  <c r="B224" i="5"/>
  <c r="C224" i="5"/>
  <c r="D224" i="5"/>
  <c r="B225" i="5"/>
  <c r="C225" i="5"/>
  <c r="D225" i="5"/>
  <c r="C227" i="5"/>
  <c r="D227" i="5"/>
  <c r="H227" i="5"/>
  <c r="I227" i="5"/>
  <c r="K227" i="5"/>
  <c r="K226" i="5" s="1"/>
  <c r="H232" i="5"/>
  <c r="K232" i="5"/>
  <c r="I232" i="5"/>
  <c r="H233" i="5"/>
  <c r="K233" i="5"/>
  <c r="H234" i="5"/>
  <c r="K234" i="5"/>
  <c r="B235" i="5"/>
  <c r="C235" i="5"/>
  <c r="D235" i="5"/>
  <c r="C237" i="5"/>
  <c r="D237" i="5"/>
  <c r="H237" i="5"/>
  <c r="I237" i="5"/>
  <c r="K237" i="5"/>
  <c r="K236" i="5" s="1"/>
  <c r="H242" i="5"/>
  <c r="K242" i="5"/>
  <c r="I242" i="5"/>
  <c r="H243" i="5"/>
  <c r="K243" i="5"/>
  <c r="H244" i="5"/>
  <c r="K244" i="5"/>
  <c r="A2" i="6"/>
  <c r="A3" i="6"/>
  <c r="B6" i="6"/>
  <c r="C6" i="6"/>
  <c r="C115" i="6" s="1"/>
  <c r="D6" i="6"/>
  <c r="E6" i="6"/>
  <c r="A7" i="6"/>
  <c r="B7" i="6"/>
  <c r="C7" i="6"/>
  <c r="D7" i="6"/>
  <c r="E7" i="6"/>
  <c r="B9" i="6"/>
  <c r="C9" i="6"/>
  <c r="D9" i="6"/>
  <c r="I9" i="6"/>
  <c r="B11" i="6"/>
  <c r="C11" i="6"/>
  <c r="D11" i="6"/>
  <c r="I11" i="6"/>
  <c r="A12" i="6"/>
  <c r="B12" i="6"/>
  <c r="C12" i="6"/>
  <c r="D12" i="6"/>
  <c r="B14" i="6"/>
  <c r="C14" i="6"/>
  <c r="D14" i="6"/>
  <c r="I14" i="6"/>
  <c r="B16" i="6"/>
  <c r="C16" i="6"/>
  <c r="D16" i="6"/>
  <c r="I16" i="6"/>
  <c r="B17" i="6"/>
  <c r="C17" i="6"/>
  <c r="D17" i="6"/>
  <c r="I17" i="6"/>
  <c r="A18" i="6"/>
  <c r="B18" i="6"/>
  <c r="C18" i="6"/>
  <c r="D18" i="6"/>
  <c r="E18" i="6"/>
  <c r="B20" i="6"/>
  <c r="C20" i="6"/>
  <c r="D20" i="6"/>
  <c r="I20" i="6"/>
  <c r="B22" i="6"/>
  <c r="C22" i="6"/>
  <c r="D22" i="6"/>
  <c r="I22" i="6"/>
  <c r="B23" i="6"/>
  <c r="C23" i="6"/>
  <c r="D23" i="6"/>
  <c r="I23" i="6"/>
  <c r="A25" i="6"/>
  <c r="B25" i="6"/>
  <c r="C25" i="6"/>
  <c r="D25" i="6"/>
  <c r="B27" i="6"/>
  <c r="C27" i="6"/>
  <c r="D27" i="6"/>
  <c r="I27" i="6"/>
  <c r="B29" i="6"/>
  <c r="C29" i="6"/>
  <c r="D29" i="6"/>
  <c r="I29" i="6"/>
  <c r="B31" i="6"/>
  <c r="C31" i="6"/>
  <c r="D31" i="6"/>
  <c r="I31" i="6"/>
  <c r="B32" i="6"/>
  <c r="C32" i="6"/>
  <c r="D32" i="6"/>
  <c r="I32" i="6"/>
  <c r="B33" i="6"/>
  <c r="C33" i="6"/>
  <c r="D33" i="6"/>
  <c r="I33" i="6"/>
  <c r="B34" i="6"/>
  <c r="C34" i="6"/>
  <c r="D34" i="6"/>
  <c r="I34" i="6"/>
  <c r="B35" i="6"/>
  <c r="C35" i="6"/>
  <c r="D35" i="6"/>
  <c r="I35" i="6"/>
  <c r="A37" i="6"/>
  <c r="B37" i="6"/>
  <c r="C37" i="6"/>
  <c r="D37" i="6"/>
  <c r="B39" i="6"/>
  <c r="C39" i="6"/>
  <c r="D39" i="6"/>
  <c r="I39" i="6"/>
  <c r="A40" i="6"/>
  <c r="B40" i="6"/>
  <c r="C40" i="6"/>
  <c r="D40" i="6"/>
  <c r="E40" i="6"/>
  <c r="B42" i="6"/>
  <c r="C42" i="6"/>
  <c r="D42" i="6"/>
  <c r="I42" i="6"/>
  <c r="A43" i="6"/>
  <c r="B43" i="6"/>
  <c r="C43" i="6"/>
  <c r="D43" i="6"/>
  <c r="B45" i="6"/>
  <c r="C45" i="6"/>
  <c r="D45" i="6"/>
  <c r="I45" i="6"/>
  <c r="A46" i="6"/>
  <c r="B46" i="6"/>
  <c r="C46" i="6"/>
  <c r="D46" i="6"/>
  <c r="B48" i="6"/>
  <c r="C48" i="6"/>
  <c r="D48" i="6"/>
  <c r="I48" i="6"/>
  <c r="A49" i="6"/>
  <c r="B49" i="6"/>
  <c r="C49" i="6"/>
  <c r="D49" i="6"/>
  <c r="E49" i="6"/>
  <c r="B51" i="6"/>
  <c r="C51" i="6"/>
  <c r="D51" i="6"/>
  <c r="I51" i="6"/>
  <c r="B54" i="6"/>
  <c r="C54" i="6"/>
  <c r="D54" i="6"/>
  <c r="I54" i="6"/>
  <c r="A55" i="6"/>
  <c r="B55" i="6"/>
  <c r="C55" i="6"/>
  <c r="D55" i="6"/>
  <c r="E55" i="6"/>
  <c r="B57" i="6"/>
  <c r="C57" i="6"/>
  <c r="D57" i="6"/>
  <c r="I57" i="6"/>
  <c r="B58" i="6"/>
  <c r="C58" i="6"/>
  <c r="D58" i="6"/>
  <c r="I58" i="6"/>
  <c r="B61" i="6"/>
  <c r="C61" i="6"/>
  <c r="D61" i="6"/>
  <c r="I61" i="6"/>
  <c r="B63" i="6"/>
  <c r="C63" i="6"/>
  <c r="D63" i="6"/>
  <c r="I63" i="6"/>
  <c r="A65" i="6"/>
  <c r="B65" i="6"/>
  <c r="C65" i="6"/>
  <c r="D65" i="6"/>
  <c r="E65" i="6"/>
  <c r="B67" i="6"/>
  <c r="C67" i="6"/>
  <c r="D67" i="6"/>
  <c r="I67" i="6"/>
  <c r="B68" i="6"/>
  <c r="C68" i="6"/>
  <c r="D68" i="6"/>
  <c r="I68" i="6"/>
  <c r="B69" i="6"/>
  <c r="C69" i="6"/>
  <c r="D69" i="6"/>
  <c r="I69" i="6"/>
  <c r="B70" i="6"/>
  <c r="C70" i="6"/>
  <c r="D70" i="6"/>
  <c r="I70" i="6"/>
  <c r="B73" i="6"/>
  <c r="C73" i="6"/>
  <c r="D73" i="6"/>
  <c r="I73" i="6"/>
  <c r="B75" i="6"/>
  <c r="C75" i="6"/>
  <c r="D75" i="6"/>
  <c r="I75" i="6"/>
  <c r="B76" i="6"/>
  <c r="C76" i="6"/>
  <c r="D76" i="6"/>
  <c r="I76" i="6"/>
  <c r="B77" i="6"/>
  <c r="C77" i="6"/>
  <c r="D77" i="6"/>
  <c r="I77" i="6"/>
  <c r="A79" i="6"/>
  <c r="B79" i="6"/>
  <c r="C79" i="6"/>
  <c r="D79" i="6"/>
  <c r="B81" i="6"/>
  <c r="C81" i="6"/>
  <c r="D81" i="6"/>
  <c r="I81" i="6"/>
  <c r="B82" i="6"/>
  <c r="C82" i="6"/>
  <c r="D82" i="6"/>
  <c r="I82" i="6"/>
  <c r="B83" i="6"/>
  <c r="C83" i="6"/>
  <c r="D83" i="6"/>
  <c r="I83" i="6"/>
  <c r="B85" i="6"/>
  <c r="C85" i="6"/>
  <c r="D85" i="6"/>
  <c r="I85" i="6"/>
  <c r="B87" i="6"/>
  <c r="C87" i="6"/>
  <c r="D87" i="6"/>
  <c r="I87" i="6"/>
  <c r="A88" i="6"/>
  <c r="B88" i="6"/>
  <c r="C88" i="6"/>
  <c r="D88" i="6"/>
  <c r="B90" i="6"/>
  <c r="C90" i="6"/>
  <c r="D90" i="6"/>
  <c r="I90" i="6"/>
  <c r="B91" i="6"/>
  <c r="C91" i="6"/>
  <c r="D91" i="6"/>
  <c r="I91" i="6"/>
  <c r="B92" i="6"/>
  <c r="C92" i="6"/>
  <c r="D92" i="6"/>
  <c r="I92" i="6"/>
  <c r="B95" i="6"/>
  <c r="C95" i="6"/>
  <c r="D95" i="6"/>
  <c r="I95" i="6"/>
  <c r="B97" i="6"/>
  <c r="C97" i="6"/>
  <c r="D97" i="6"/>
  <c r="I97" i="6"/>
  <c r="B98" i="6"/>
  <c r="C98" i="6"/>
  <c r="D98" i="6"/>
  <c r="I98" i="6"/>
  <c r="A100" i="6"/>
  <c r="B100" i="6"/>
  <c r="C100" i="6"/>
  <c r="D100" i="6"/>
  <c r="B102" i="6"/>
  <c r="C102" i="6"/>
  <c r="D102" i="6"/>
  <c r="I102" i="6"/>
  <c r="B103" i="6"/>
  <c r="C103" i="6"/>
  <c r="D103" i="6"/>
  <c r="I103" i="6"/>
  <c r="B104" i="6"/>
  <c r="C104" i="6"/>
  <c r="D104" i="6"/>
  <c r="I104" i="6"/>
  <c r="B105" i="6"/>
  <c r="C105" i="6"/>
  <c r="D105" i="6"/>
  <c r="I105" i="6"/>
  <c r="B106" i="6"/>
  <c r="C106" i="6"/>
  <c r="D106" i="6"/>
  <c r="I106" i="6"/>
  <c r="B107" i="6"/>
  <c r="C107" i="6"/>
  <c r="D107" i="6"/>
  <c r="I107" i="6"/>
  <c r="B110" i="6"/>
  <c r="C110" i="6"/>
  <c r="D110" i="6"/>
  <c r="I110" i="6"/>
  <c r="B112" i="6"/>
  <c r="C112" i="6"/>
  <c r="D112" i="6"/>
  <c r="I112" i="6"/>
  <c r="B113" i="6"/>
  <c r="C113" i="6"/>
  <c r="D113" i="6"/>
  <c r="I113" i="6"/>
  <c r="B116" i="6"/>
  <c r="C116" i="6"/>
  <c r="C521" i="6" s="1"/>
  <c r="D116" i="6"/>
  <c r="E116" i="6"/>
  <c r="A117" i="6"/>
  <c r="B117" i="6"/>
  <c r="C117" i="6"/>
  <c r="D117" i="6"/>
  <c r="E117" i="6"/>
  <c r="B119" i="6"/>
  <c r="C119" i="6"/>
  <c r="D119" i="6"/>
  <c r="I119" i="6"/>
  <c r="B121" i="6"/>
  <c r="C121" i="6"/>
  <c r="D121" i="6"/>
  <c r="I121" i="6"/>
  <c r="A122" i="6"/>
  <c r="B122" i="6"/>
  <c r="C122" i="6"/>
  <c r="D122" i="6"/>
  <c r="E122" i="6"/>
  <c r="B124" i="6"/>
  <c r="C124" i="6"/>
  <c r="D124" i="6"/>
  <c r="I124" i="6"/>
  <c r="A125" i="6"/>
  <c r="B125" i="6"/>
  <c r="C125" i="6"/>
  <c r="D125" i="6"/>
  <c r="B127" i="6"/>
  <c r="C127" i="6"/>
  <c r="D127" i="6"/>
  <c r="I127" i="6"/>
  <c r="B129" i="6"/>
  <c r="C129" i="6"/>
  <c r="D129" i="6"/>
  <c r="I129" i="6"/>
  <c r="B130" i="6"/>
  <c r="C130" i="6"/>
  <c r="D130" i="6"/>
  <c r="I130" i="6"/>
  <c r="A132" i="6"/>
  <c r="B132" i="6"/>
  <c r="C132" i="6"/>
  <c r="D132" i="6"/>
  <c r="E132" i="6"/>
  <c r="B134" i="6"/>
  <c r="C134" i="6"/>
  <c r="D134" i="6"/>
  <c r="I134" i="6"/>
  <c r="A135" i="6"/>
  <c r="B135" i="6"/>
  <c r="C135" i="6"/>
  <c r="D135" i="6"/>
  <c r="E135" i="6"/>
  <c r="B137" i="6"/>
  <c r="C137" i="6"/>
  <c r="D137" i="6"/>
  <c r="I137" i="6"/>
  <c r="A138" i="6"/>
  <c r="B138" i="6"/>
  <c r="C138" i="6"/>
  <c r="D138" i="6"/>
  <c r="E138" i="6"/>
  <c r="B140" i="6"/>
  <c r="C140" i="6"/>
  <c r="D140" i="6"/>
  <c r="I140" i="6"/>
  <c r="B141" i="6"/>
  <c r="C141" i="6"/>
  <c r="D141" i="6"/>
  <c r="I141" i="6"/>
  <c r="B143" i="6"/>
  <c r="C143" i="6"/>
  <c r="D143" i="6"/>
  <c r="I143" i="6"/>
  <c r="A144" i="6"/>
  <c r="B144" i="6"/>
  <c r="C144" i="6"/>
  <c r="D144" i="6"/>
  <c r="B146" i="6"/>
  <c r="C146" i="6"/>
  <c r="D146" i="6"/>
  <c r="I146" i="6"/>
  <c r="B147" i="6"/>
  <c r="C147" i="6"/>
  <c r="D147" i="6"/>
  <c r="I147" i="6"/>
  <c r="B148" i="6"/>
  <c r="C148" i="6"/>
  <c r="D148" i="6"/>
  <c r="I148" i="6"/>
  <c r="B149" i="6"/>
  <c r="C149" i="6"/>
  <c r="D149" i="6"/>
  <c r="I149" i="6"/>
  <c r="B152" i="6"/>
  <c r="C152" i="6"/>
  <c r="D152" i="6"/>
  <c r="I152" i="6"/>
  <c r="A153" i="6"/>
  <c r="B153" i="6"/>
  <c r="C153" i="6"/>
  <c r="D153" i="6"/>
  <c r="B155" i="6"/>
  <c r="C155" i="6"/>
  <c r="D155" i="6"/>
  <c r="I155" i="6"/>
  <c r="B156" i="6"/>
  <c r="C156" i="6"/>
  <c r="D156" i="6"/>
  <c r="I156" i="6"/>
  <c r="B157" i="6"/>
  <c r="C157" i="6"/>
  <c r="D157" i="6"/>
  <c r="I157" i="6"/>
  <c r="B158" i="6"/>
  <c r="C158" i="6"/>
  <c r="D158" i="6"/>
  <c r="I158" i="6"/>
  <c r="B161" i="6"/>
  <c r="C161" i="6"/>
  <c r="D161" i="6"/>
  <c r="I161" i="6"/>
  <c r="B163" i="6"/>
  <c r="C163" i="6"/>
  <c r="D163" i="6"/>
  <c r="I163" i="6"/>
  <c r="B164" i="6"/>
  <c r="C164" i="6"/>
  <c r="D164" i="6"/>
  <c r="I164" i="6"/>
  <c r="A165" i="6"/>
  <c r="B165" i="6"/>
  <c r="C165" i="6"/>
  <c r="D165" i="6"/>
  <c r="E165" i="6"/>
  <c r="B167" i="6"/>
  <c r="C167" i="6"/>
  <c r="D167" i="6"/>
  <c r="I167" i="6"/>
  <c r="B168" i="6"/>
  <c r="C168" i="6"/>
  <c r="D168" i="6"/>
  <c r="I168" i="6"/>
  <c r="B169" i="6"/>
  <c r="C169" i="6"/>
  <c r="D169" i="6"/>
  <c r="I169" i="6"/>
  <c r="B170" i="6"/>
  <c r="C170" i="6"/>
  <c r="D170" i="6"/>
  <c r="I170" i="6"/>
  <c r="B173" i="6"/>
  <c r="C173" i="6"/>
  <c r="D173" i="6"/>
  <c r="I173" i="6"/>
  <c r="B175" i="6"/>
  <c r="C175" i="6"/>
  <c r="D175" i="6"/>
  <c r="I175" i="6"/>
  <c r="A176" i="6"/>
  <c r="B176" i="6"/>
  <c r="C176" i="6"/>
  <c r="D176" i="6"/>
  <c r="B178" i="6"/>
  <c r="C178" i="6"/>
  <c r="D178" i="6"/>
  <c r="I178" i="6"/>
  <c r="B179" i="6"/>
  <c r="C179" i="6"/>
  <c r="D179" i="6"/>
  <c r="I179" i="6"/>
  <c r="B180" i="6"/>
  <c r="C180" i="6"/>
  <c r="D180" i="6"/>
  <c r="I180" i="6"/>
  <c r="B183" i="6"/>
  <c r="C183" i="6"/>
  <c r="D183" i="6"/>
  <c r="I183" i="6"/>
  <c r="B185" i="6"/>
  <c r="C185" i="6"/>
  <c r="D185" i="6"/>
  <c r="I185" i="6"/>
  <c r="A186" i="6"/>
  <c r="B186" i="6"/>
  <c r="C186" i="6"/>
  <c r="D186" i="6"/>
  <c r="E186" i="6"/>
  <c r="B188" i="6"/>
  <c r="C188" i="6"/>
  <c r="D188" i="6"/>
  <c r="I188" i="6"/>
  <c r="B189" i="6"/>
  <c r="C189" i="6"/>
  <c r="D189" i="6"/>
  <c r="I189" i="6"/>
  <c r="B190" i="6"/>
  <c r="C190" i="6"/>
  <c r="D190" i="6"/>
  <c r="I190" i="6"/>
  <c r="B192" i="6"/>
  <c r="C192" i="6"/>
  <c r="D192" i="6"/>
  <c r="I192" i="6"/>
  <c r="B194" i="6"/>
  <c r="C194" i="6"/>
  <c r="D194" i="6"/>
  <c r="I194" i="6"/>
  <c r="A195" i="6"/>
  <c r="B195" i="6"/>
  <c r="C195" i="6"/>
  <c r="D195" i="6"/>
  <c r="E195" i="6"/>
  <c r="B197" i="6"/>
  <c r="C197" i="6"/>
  <c r="D197" i="6"/>
  <c r="I197" i="6"/>
  <c r="B198" i="6"/>
  <c r="C198" i="6"/>
  <c r="D198" i="6"/>
  <c r="I198" i="6"/>
  <c r="B199" i="6"/>
  <c r="C199" i="6"/>
  <c r="D199" i="6"/>
  <c r="I199" i="6"/>
  <c r="B200" i="6"/>
  <c r="C200" i="6"/>
  <c r="D200" i="6"/>
  <c r="I200" i="6"/>
  <c r="B203" i="6"/>
  <c r="C203" i="6"/>
  <c r="D203" i="6"/>
  <c r="I203" i="6"/>
  <c r="A204" i="6"/>
  <c r="B204" i="6"/>
  <c r="C204" i="6"/>
  <c r="D204" i="6"/>
  <c r="E204" i="6"/>
  <c r="B206" i="6"/>
  <c r="C206" i="6"/>
  <c r="D206" i="6"/>
  <c r="I206" i="6"/>
  <c r="B207" i="6"/>
  <c r="C207" i="6"/>
  <c r="D207" i="6"/>
  <c r="I207" i="6"/>
  <c r="B208" i="6"/>
  <c r="C208" i="6"/>
  <c r="D208" i="6"/>
  <c r="I208" i="6"/>
  <c r="B209" i="6"/>
  <c r="C209" i="6"/>
  <c r="D209" i="6"/>
  <c r="I209" i="6"/>
  <c r="B212" i="6"/>
  <c r="C212" i="6"/>
  <c r="D212" i="6"/>
  <c r="I212" i="6"/>
  <c r="B214" i="6"/>
  <c r="C214" i="6"/>
  <c r="D214" i="6"/>
  <c r="I214" i="6"/>
  <c r="B215" i="6"/>
  <c r="C215" i="6"/>
  <c r="D215" i="6"/>
  <c r="I215" i="6"/>
  <c r="A216" i="6"/>
  <c r="B216" i="6"/>
  <c r="C216" i="6"/>
  <c r="D216" i="6"/>
  <c r="B218" i="6"/>
  <c r="C218" i="6"/>
  <c r="D218" i="6"/>
  <c r="I218" i="6"/>
  <c r="B219" i="6"/>
  <c r="C219" i="6"/>
  <c r="D219" i="6"/>
  <c r="I219" i="6"/>
  <c r="B220" i="6"/>
  <c r="C220" i="6"/>
  <c r="D220" i="6"/>
  <c r="I220" i="6"/>
  <c r="B222" i="6"/>
  <c r="C222" i="6"/>
  <c r="D222" i="6"/>
  <c r="I222" i="6"/>
  <c r="B224" i="6"/>
  <c r="C224" i="6"/>
  <c r="D224" i="6"/>
  <c r="I224" i="6"/>
  <c r="B225" i="6"/>
  <c r="C225" i="6"/>
  <c r="D225" i="6"/>
  <c r="I225" i="6"/>
  <c r="A226" i="6"/>
  <c r="B226" i="6"/>
  <c r="C226" i="6"/>
  <c r="D226" i="6"/>
  <c r="B228" i="6"/>
  <c r="C228" i="6"/>
  <c r="D228" i="6"/>
  <c r="I228" i="6"/>
  <c r="B229" i="6"/>
  <c r="C229" i="6"/>
  <c r="D229" i="6"/>
  <c r="I229" i="6"/>
  <c r="B230" i="6"/>
  <c r="C230" i="6"/>
  <c r="D230" i="6"/>
  <c r="I230" i="6"/>
  <c r="B231" i="6"/>
  <c r="C231" i="6"/>
  <c r="D231" i="6"/>
  <c r="I231" i="6"/>
  <c r="B232" i="6"/>
  <c r="C232" i="6"/>
  <c r="D232" i="6"/>
  <c r="I232" i="6"/>
  <c r="B233" i="6"/>
  <c r="C233" i="6"/>
  <c r="D233" i="6"/>
  <c r="I233" i="6"/>
  <c r="B236" i="6"/>
  <c r="C236" i="6"/>
  <c r="D236" i="6"/>
  <c r="I236" i="6"/>
  <c r="B238" i="6"/>
  <c r="C238" i="6"/>
  <c r="D238" i="6"/>
  <c r="I238" i="6"/>
  <c r="B239" i="6"/>
  <c r="C239" i="6"/>
  <c r="D239" i="6"/>
  <c r="I239" i="6"/>
  <c r="B240" i="6"/>
  <c r="C240" i="6"/>
  <c r="D240" i="6"/>
  <c r="I240" i="6"/>
  <c r="A242" i="6"/>
  <c r="B242" i="6"/>
  <c r="C242" i="6"/>
  <c r="D242" i="6"/>
  <c r="E242" i="6"/>
  <c r="B244" i="6"/>
  <c r="C244" i="6"/>
  <c r="D244" i="6"/>
  <c r="I244" i="6"/>
  <c r="B245" i="6"/>
  <c r="C245" i="6"/>
  <c r="D245" i="6"/>
  <c r="I245" i="6"/>
  <c r="B247" i="6"/>
  <c r="C247" i="6"/>
  <c r="D247" i="6"/>
  <c r="I247" i="6"/>
  <c r="B249" i="6"/>
  <c r="C249" i="6"/>
  <c r="D249" i="6"/>
  <c r="I249" i="6"/>
  <c r="A250" i="6"/>
  <c r="B250" i="6"/>
  <c r="C250" i="6"/>
  <c r="D250" i="6"/>
  <c r="E250" i="6"/>
  <c r="B252" i="6"/>
  <c r="C252" i="6"/>
  <c r="D252" i="6"/>
  <c r="I252" i="6"/>
  <c r="B253" i="6"/>
  <c r="C253" i="6"/>
  <c r="D253" i="6"/>
  <c r="I253" i="6"/>
  <c r="B254" i="6"/>
  <c r="C254" i="6"/>
  <c r="D254" i="6"/>
  <c r="I254" i="6"/>
  <c r="B255" i="6"/>
  <c r="C255" i="6"/>
  <c r="D255" i="6"/>
  <c r="I255" i="6"/>
  <c r="B258" i="6"/>
  <c r="C258" i="6"/>
  <c r="D258" i="6"/>
  <c r="I258" i="6"/>
  <c r="B260" i="6"/>
  <c r="C260" i="6"/>
  <c r="D260" i="6"/>
  <c r="I260" i="6"/>
  <c r="A261" i="6"/>
  <c r="B261" i="6"/>
  <c r="C261" i="6"/>
  <c r="D261" i="6"/>
  <c r="E261" i="6"/>
  <c r="B263" i="6"/>
  <c r="C263" i="6"/>
  <c r="D263" i="6"/>
  <c r="I263" i="6"/>
  <c r="B265" i="6"/>
  <c r="C265" i="6"/>
  <c r="D265" i="6"/>
  <c r="I265" i="6"/>
  <c r="A266" i="6"/>
  <c r="B266" i="6"/>
  <c r="C266" i="6"/>
  <c r="D266" i="6"/>
  <c r="E266" i="6"/>
  <c r="B268" i="6"/>
  <c r="C268" i="6"/>
  <c r="D268" i="6"/>
  <c r="I268" i="6"/>
  <c r="B269" i="6"/>
  <c r="C269" i="6"/>
  <c r="D269" i="6"/>
  <c r="I269" i="6"/>
  <c r="B272" i="6"/>
  <c r="C272" i="6"/>
  <c r="D272" i="6"/>
  <c r="I272" i="6"/>
  <c r="A273" i="6"/>
  <c r="B273" i="6"/>
  <c r="C273" i="6"/>
  <c r="D273" i="6"/>
  <c r="B275" i="6"/>
  <c r="C275" i="6"/>
  <c r="D275" i="6"/>
  <c r="I275" i="6"/>
  <c r="B276" i="6"/>
  <c r="C276" i="6"/>
  <c r="D276" i="6"/>
  <c r="I276" i="6"/>
  <c r="B278" i="6"/>
  <c r="C278" i="6"/>
  <c r="D278" i="6"/>
  <c r="I278" i="6"/>
  <c r="B280" i="6"/>
  <c r="C280" i="6"/>
  <c r="D280" i="6"/>
  <c r="I280" i="6"/>
  <c r="A281" i="6"/>
  <c r="B281" i="6"/>
  <c r="C281" i="6"/>
  <c r="D281" i="6"/>
  <c r="B283" i="6"/>
  <c r="C283" i="6"/>
  <c r="D283" i="6"/>
  <c r="I283" i="6"/>
  <c r="B284" i="6"/>
  <c r="C284" i="6"/>
  <c r="D284" i="6"/>
  <c r="I284" i="6"/>
  <c r="B285" i="6"/>
  <c r="C285" i="6"/>
  <c r="D285" i="6"/>
  <c r="I285" i="6"/>
  <c r="B286" i="6"/>
  <c r="C286" i="6"/>
  <c r="D286" i="6"/>
  <c r="I286" i="6"/>
  <c r="B289" i="6"/>
  <c r="C289" i="6"/>
  <c r="D289" i="6"/>
  <c r="I289" i="6"/>
  <c r="B291" i="6"/>
  <c r="C291" i="6"/>
  <c r="D291" i="6"/>
  <c r="I291" i="6"/>
  <c r="A292" i="6"/>
  <c r="B292" i="6"/>
  <c r="C292" i="6"/>
  <c r="D292" i="6"/>
  <c r="B294" i="6"/>
  <c r="C294" i="6"/>
  <c r="D294" i="6"/>
  <c r="I294" i="6"/>
  <c r="B296" i="6"/>
  <c r="C296" i="6"/>
  <c r="D296" i="6"/>
  <c r="I296" i="6"/>
  <c r="A297" i="6"/>
  <c r="B297" i="6"/>
  <c r="C297" i="6"/>
  <c r="D297" i="6"/>
  <c r="B299" i="6"/>
  <c r="C299" i="6"/>
  <c r="D299" i="6"/>
  <c r="I299" i="6"/>
  <c r="B300" i="6"/>
  <c r="C300" i="6"/>
  <c r="D300" i="6"/>
  <c r="I300" i="6"/>
  <c r="B301" i="6"/>
  <c r="C301" i="6"/>
  <c r="D301" i="6"/>
  <c r="I301" i="6"/>
  <c r="B302" i="6"/>
  <c r="C302" i="6"/>
  <c r="D302" i="6"/>
  <c r="I302" i="6"/>
  <c r="B305" i="6"/>
  <c r="C305" i="6"/>
  <c r="D305" i="6"/>
  <c r="I305" i="6"/>
  <c r="B307" i="6"/>
  <c r="C307" i="6"/>
  <c r="D307" i="6"/>
  <c r="I307" i="6"/>
  <c r="A308" i="6"/>
  <c r="B308" i="6"/>
  <c r="C308" i="6"/>
  <c r="D308" i="6"/>
  <c r="E308" i="6"/>
  <c r="B310" i="6"/>
  <c r="C310" i="6"/>
  <c r="D310" i="6"/>
  <c r="I310" i="6"/>
  <c r="J310" i="6"/>
  <c r="B311" i="6"/>
  <c r="C311" i="6"/>
  <c r="D311" i="6"/>
  <c r="I311" i="6"/>
  <c r="B312" i="6"/>
  <c r="C312" i="6"/>
  <c r="D312" i="6"/>
  <c r="I312" i="6"/>
  <c r="J312" i="6"/>
  <c r="B315" i="6"/>
  <c r="C315" i="6"/>
  <c r="D315" i="6"/>
  <c r="I315" i="6"/>
  <c r="B317" i="6"/>
  <c r="C317" i="6"/>
  <c r="D317" i="6"/>
  <c r="I317" i="6"/>
  <c r="A318" i="6"/>
  <c r="B318" i="6"/>
  <c r="C318" i="6"/>
  <c r="D318" i="6"/>
  <c r="E318" i="6"/>
  <c r="B320" i="6"/>
  <c r="C320" i="6"/>
  <c r="D320" i="6"/>
  <c r="I320" i="6"/>
  <c r="B321" i="6"/>
  <c r="C321" i="6"/>
  <c r="D321" i="6"/>
  <c r="I321" i="6"/>
  <c r="B322" i="6"/>
  <c r="C322" i="6"/>
  <c r="D322" i="6"/>
  <c r="I322" i="6"/>
  <c r="B323" i="6"/>
  <c r="C323" i="6"/>
  <c r="D323" i="6"/>
  <c r="I323" i="6"/>
  <c r="B326" i="6"/>
  <c r="C326" i="6"/>
  <c r="D326" i="6"/>
  <c r="I326" i="6"/>
  <c r="A327" i="6"/>
  <c r="B327" i="6"/>
  <c r="C327" i="6"/>
  <c r="D327" i="6"/>
  <c r="E327" i="6"/>
  <c r="K335" i="6"/>
  <c r="B329" i="6"/>
  <c r="C329" i="6"/>
  <c r="D329" i="6"/>
  <c r="I329" i="6"/>
  <c r="B330" i="6"/>
  <c r="C330" i="6"/>
  <c r="D330" i="6"/>
  <c r="I330" i="6"/>
  <c r="B331" i="6"/>
  <c r="C331" i="6"/>
  <c r="D331" i="6"/>
  <c r="I331" i="6"/>
  <c r="B332" i="6"/>
  <c r="C332" i="6"/>
  <c r="D332" i="6"/>
  <c r="I332" i="6"/>
  <c r="B335" i="6"/>
  <c r="C335" i="6"/>
  <c r="D335" i="6"/>
  <c r="I335" i="6"/>
  <c r="B337" i="6"/>
  <c r="C337" i="6"/>
  <c r="D337" i="6"/>
  <c r="I337" i="6"/>
  <c r="B338" i="6"/>
  <c r="C338" i="6"/>
  <c r="D338" i="6"/>
  <c r="I338" i="6"/>
  <c r="A339" i="6"/>
  <c r="B339" i="6"/>
  <c r="C339" i="6"/>
  <c r="D339" i="6"/>
  <c r="E339" i="6"/>
  <c r="B341" i="6"/>
  <c r="C341" i="6"/>
  <c r="D341" i="6"/>
  <c r="I341" i="6"/>
  <c r="B343" i="6"/>
  <c r="C343" i="6"/>
  <c r="D343" i="6"/>
  <c r="I343" i="6"/>
  <c r="A344" i="6"/>
  <c r="B344" i="6"/>
  <c r="C344" i="6"/>
  <c r="D344" i="6"/>
  <c r="B346" i="6"/>
  <c r="C346" i="6"/>
  <c r="D346" i="6"/>
  <c r="I346" i="6"/>
  <c r="A347" i="6"/>
  <c r="B347" i="6"/>
  <c r="C347" i="6"/>
  <c r="D347" i="6"/>
  <c r="E347" i="6"/>
  <c r="B349" i="6"/>
  <c r="C349" i="6"/>
  <c r="D349" i="6"/>
  <c r="I349" i="6"/>
  <c r="B351" i="6"/>
  <c r="C351" i="6"/>
  <c r="D351" i="6"/>
  <c r="I351" i="6"/>
  <c r="B352" i="6"/>
  <c r="C352" i="6"/>
  <c r="D352" i="6"/>
  <c r="I352" i="6"/>
  <c r="A354" i="6"/>
  <c r="B354" i="6"/>
  <c r="C354" i="6"/>
  <c r="D354" i="6"/>
  <c r="E354" i="6"/>
  <c r="B356" i="6"/>
  <c r="C356" i="6"/>
  <c r="D356" i="6"/>
  <c r="I356" i="6"/>
  <c r="A357" i="6"/>
  <c r="B357" i="6"/>
  <c r="C357" i="6"/>
  <c r="D357" i="6"/>
  <c r="E357" i="6"/>
  <c r="B359" i="6"/>
  <c r="C359" i="6"/>
  <c r="D359" i="6"/>
  <c r="I359" i="6"/>
  <c r="B360" i="6"/>
  <c r="C360" i="6"/>
  <c r="D360" i="6"/>
  <c r="I360" i="6"/>
  <c r="B362" i="6"/>
  <c r="C362" i="6"/>
  <c r="D362" i="6"/>
  <c r="I362" i="6"/>
  <c r="A363" i="6"/>
  <c r="B363" i="6"/>
  <c r="C363" i="6"/>
  <c r="D363" i="6"/>
  <c r="E363" i="6"/>
  <c r="B365" i="6"/>
  <c r="C365" i="6"/>
  <c r="D365" i="6"/>
  <c r="I365" i="6"/>
  <c r="B368" i="6"/>
  <c r="C368" i="6"/>
  <c r="D368" i="6"/>
  <c r="I368" i="6"/>
  <c r="B370" i="6"/>
  <c r="C370" i="6"/>
  <c r="D370" i="6"/>
  <c r="I370" i="6"/>
  <c r="A372" i="6"/>
  <c r="B372" i="6"/>
  <c r="C372" i="6"/>
  <c r="D372" i="6"/>
  <c r="B374" i="6"/>
  <c r="C374" i="6"/>
  <c r="D374" i="6"/>
  <c r="I374" i="6"/>
  <c r="B375" i="6"/>
  <c r="C375" i="6"/>
  <c r="D375" i="6"/>
  <c r="I375" i="6"/>
  <c r="B377" i="6"/>
  <c r="C377" i="6"/>
  <c r="D377" i="6"/>
  <c r="I377" i="6"/>
  <c r="A378" i="6"/>
  <c r="B378" i="6"/>
  <c r="C378" i="6"/>
  <c r="D378" i="6"/>
  <c r="B380" i="6"/>
  <c r="C380" i="6"/>
  <c r="D380" i="6"/>
  <c r="I380" i="6"/>
  <c r="B381" i="6"/>
  <c r="C381" i="6"/>
  <c r="D381" i="6"/>
  <c r="I381" i="6"/>
  <c r="B382" i="6"/>
  <c r="C382" i="6"/>
  <c r="D382" i="6"/>
  <c r="I382" i="6"/>
  <c r="B384" i="6"/>
  <c r="C384" i="6"/>
  <c r="D384" i="6"/>
  <c r="I384" i="6"/>
  <c r="A385" i="6"/>
  <c r="B385" i="6"/>
  <c r="C385" i="6"/>
  <c r="D385" i="6"/>
  <c r="B387" i="6"/>
  <c r="C387" i="6"/>
  <c r="D387" i="6"/>
  <c r="I387" i="6"/>
  <c r="B389" i="6"/>
  <c r="C389" i="6"/>
  <c r="D389" i="6"/>
  <c r="I389" i="6"/>
  <c r="B390" i="6"/>
  <c r="C390" i="6"/>
  <c r="D390" i="6"/>
  <c r="I390" i="6"/>
  <c r="A391" i="6"/>
  <c r="B391" i="6"/>
  <c r="C391" i="6"/>
  <c r="D391" i="6"/>
  <c r="E391" i="6"/>
  <c r="B393" i="6"/>
  <c r="C393" i="6"/>
  <c r="D393" i="6"/>
  <c r="I393" i="6"/>
  <c r="B395" i="6"/>
  <c r="C395" i="6"/>
  <c r="D395" i="6"/>
  <c r="I395" i="6"/>
  <c r="B397" i="6"/>
  <c r="C397" i="6"/>
  <c r="D397" i="6"/>
  <c r="I397" i="6"/>
  <c r="A398" i="6"/>
  <c r="B398" i="6"/>
  <c r="C398" i="6"/>
  <c r="D398" i="6"/>
  <c r="E398" i="6"/>
  <c r="B400" i="6"/>
  <c r="C400" i="6"/>
  <c r="D400" i="6"/>
  <c r="I400" i="6"/>
  <c r="B402" i="6"/>
  <c r="C402" i="6"/>
  <c r="D402" i="6"/>
  <c r="I402" i="6"/>
  <c r="B403" i="6"/>
  <c r="C403" i="6"/>
  <c r="D403" i="6"/>
  <c r="I403" i="6"/>
  <c r="A404" i="6"/>
  <c r="B404" i="6"/>
  <c r="C404" i="6"/>
  <c r="D404" i="6"/>
  <c r="E404" i="6"/>
  <c r="B406" i="6"/>
  <c r="C406" i="6"/>
  <c r="D406" i="6"/>
  <c r="I406" i="6"/>
  <c r="B408" i="6"/>
  <c r="C408" i="6"/>
  <c r="D408" i="6"/>
  <c r="I408" i="6"/>
  <c r="B410" i="6"/>
  <c r="C410" i="6"/>
  <c r="D410" i="6"/>
  <c r="I410" i="6"/>
  <c r="A411" i="6"/>
  <c r="B411" i="6"/>
  <c r="C411" i="6"/>
  <c r="D411" i="6"/>
  <c r="E411" i="6"/>
  <c r="B413" i="6"/>
  <c r="C413" i="6"/>
  <c r="D413" i="6"/>
  <c r="I413" i="6"/>
  <c r="A414" i="6"/>
  <c r="B414" i="6"/>
  <c r="C414" i="6"/>
  <c r="D414" i="6"/>
  <c r="B416" i="6"/>
  <c r="C416" i="6"/>
  <c r="D416" i="6"/>
  <c r="I416" i="6"/>
  <c r="B418" i="6"/>
  <c r="C418" i="6"/>
  <c r="D418" i="6"/>
  <c r="I418" i="6"/>
  <c r="A419" i="6"/>
  <c r="B419" i="6"/>
  <c r="C419" i="6"/>
  <c r="D419" i="6"/>
  <c r="B421" i="6"/>
  <c r="C421" i="6"/>
  <c r="D421" i="6"/>
  <c r="I421" i="6"/>
  <c r="A422" i="6"/>
  <c r="B422" i="6"/>
  <c r="C422" i="6"/>
  <c r="D422" i="6"/>
  <c r="E422" i="6"/>
  <c r="B424" i="6"/>
  <c r="C424" i="6"/>
  <c r="D424" i="6"/>
  <c r="I424" i="6"/>
  <c r="B425" i="6"/>
  <c r="C425" i="6"/>
  <c r="D425" i="6"/>
  <c r="I425" i="6"/>
  <c r="B426" i="6"/>
  <c r="C426" i="6"/>
  <c r="D426" i="6"/>
  <c r="I426" i="6"/>
  <c r="B429" i="6"/>
  <c r="C429" i="6"/>
  <c r="D429" i="6"/>
  <c r="I429" i="6"/>
  <c r="A430" i="6"/>
  <c r="B430" i="6"/>
  <c r="C430" i="6"/>
  <c r="D430" i="6"/>
  <c r="E430" i="6"/>
  <c r="B432" i="6"/>
  <c r="C432" i="6"/>
  <c r="D432" i="6"/>
  <c r="I432" i="6"/>
  <c r="A433" i="6"/>
  <c r="B433" i="6"/>
  <c r="C433" i="6"/>
  <c r="D433" i="6"/>
  <c r="B435" i="6"/>
  <c r="C435" i="6"/>
  <c r="D435" i="6"/>
  <c r="I435" i="6"/>
  <c r="B438" i="6"/>
  <c r="C438" i="6"/>
  <c r="D438" i="6"/>
  <c r="I438" i="6"/>
  <c r="A439" i="6"/>
  <c r="B439" i="6"/>
  <c r="C439" i="6"/>
  <c r="D439" i="6"/>
  <c r="B441" i="6"/>
  <c r="C441" i="6"/>
  <c r="D441" i="6"/>
  <c r="I441" i="6"/>
  <c r="B442" i="6"/>
  <c r="C442" i="6"/>
  <c r="D442" i="6"/>
  <c r="I442" i="6"/>
  <c r="B444" i="6"/>
  <c r="C444" i="6"/>
  <c r="D444" i="6"/>
  <c r="I444" i="6"/>
  <c r="A445" i="6"/>
  <c r="B445" i="6"/>
  <c r="C445" i="6"/>
  <c r="D445" i="6"/>
  <c r="E445" i="6"/>
  <c r="B447" i="6"/>
  <c r="C447" i="6"/>
  <c r="D447" i="6"/>
  <c r="I447" i="6"/>
  <c r="B448" i="6"/>
  <c r="C448" i="6"/>
  <c r="D448" i="6"/>
  <c r="I448" i="6"/>
  <c r="B449" i="6"/>
  <c r="C449" i="6"/>
  <c r="D449" i="6"/>
  <c r="I449" i="6"/>
  <c r="B450" i="6"/>
  <c r="C450" i="6"/>
  <c r="D450" i="6"/>
  <c r="I450" i="6"/>
  <c r="B453" i="6"/>
  <c r="C453" i="6"/>
  <c r="D453" i="6"/>
  <c r="I453" i="6"/>
  <c r="A454" i="6"/>
  <c r="B454" i="6"/>
  <c r="C454" i="6"/>
  <c r="D454" i="6"/>
  <c r="E454" i="6"/>
  <c r="B456" i="6"/>
  <c r="C456" i="6"/>
  <c r="D456" i="6"/>
  <c r="I456" i="6"/>
  <c r="B457" i="6"/>
  <c r="C457" i="6"/>
  <c r="D457" i="6"/>
  <c r="I457" i="6"/>
  <c r="B458" i="6"/>
  <c r="C458" i="6"/>
  <c r="D458" i="6"/>
  <c r="I458" i="6"/>
  <c r="B459" i="6"/>
  <c r="C459" i="6"/>
  <c r="D459" i="6"/>
  <c r="I459" i="6"/>
  <c r="B462" i="6"/>
  <c r="C462" i="6"/>
  <c r="D462" i="6"/>
  <c r="I462" i="6"/>
  <c r="B464" i="6"/>
  <c r="C464" i="6"/>
  <c r="D464" i="6"/>
  <c r="I464" i="6"/>
  <c r="B465" i="6"/>
  <c r="C465" i="6"/>
  <c r="D465" i="6"/>
  <c r="I465" i="6"/>
  <c r="A466" i="6"/>
  <c r="B466" i="6"/>
  <c r="C466" i="6"/>
  <c r="D466" i="6"/>
  <c r="B468" i="6"/>
  <c r="C468" i="6"/>
  <c r="D468" i="6"/>
  <c r="I468" i="6"/>
  <c r="B469" i="6"/>
  <c r="C469" i="6"/>
  <c r="D469" i="6"/>
  <c r="I469" i="6"/>
  <c r="B470" i="6"/>
  <c r="C470" i="6"/>
  <c r="D470" i="6"/>
  <c r="I470" i="6"/>
  <c r="B473" i="6"/>
  <c r="C473" i="6"/>
  <c r="D473" i="6"/>
  <c r="I473" i="6"/>
  <c r="B475" i="6"/>
  <c r="C475" i="6"/>
  <c r="D475" i="6"/>
  <c r="I475" i="6"/>
  <c r="A476" i="6"/>
  <c r="B476" i="6"/>
  <c r="C476" i="6"/>
  <c r="D476" i="6"/>
  <c r="B478" i="6"/>
  <c r="C478" i="6"/>
  <c r="D478" i="6"/>
  <c r="I478" i="6"/>
  <c r="B479" i="6"/>
  <c r="C479" i="6"/>
  <c r="D479" i="6"/>
  <c r="I479" i="6"/>
  <c r="B480" i="6"/>
  <c r="C480" i="6"/>
  <c r="D480" i="6"/>
  <c r="I480" i="6"/>
  <c r="B481" i="6"/>
  <c r="C481" i="6"/>
  <c r="D481" i="6"/>
  <c r="I481" i="6"/>
  <c r="B484" i="6"/>
  <c r="C484" i="6"/>
  <c r="D484" i="6"/>
  <c r="I484" i="6"/>
  <c r="A485" i="6"/>
  <c r="B485" i="6"/>
  <c r="C485" i="6"/>
  <c r="D485" i="6"/>
  <c r="E485" i="6"/>
  <c r="B487" i="6"/>
  <c r="C487" i="6"/>
  <c r="D487" i="6"/>
  <c r="I487" i="6"/>
  <c r="B488" i="6"/>
  <c r="C488" i="6"/>
  <c r="D488" i="6"/>
  <c r="I488" i="6"/>
  <c r="B489" i="6"/>
  <c r="C489" i="6"/>
  <c r="D489" i="6"/>
  <c r="I489" i="6"/>
  <c r="B490" i="6"/>
  <c r="C490" i="6"/>
  <c r="D490" i="6"/>
  <c r="I490" i="6"/>
  <c r="B493" i="6"/>
  <c r="C493" i="6"/>
  <c r="D493" i="6"/>
  <c r="I493" i="6"/>
  <c r="B495" i="6"/>
  <c r="C495" i="6"/>
  <c r="D495" i="6"/>
  <c r="I495" i="6"/>
  <c r="B496" i="6"/>
  <c r="C496" i="6"/>
  <c r="D496" i="6"/>
  <c r="I496" i="6"/>
  <c r="A497" i="6"/>
  <c r="B497" i="6"/>
  <c r="C497" i="6"/>
  <c r="D497" i="6"/>
  <c r="E497" i="6"/>
  <c r="B499" i="6"/>
  <c r="C499" i="6"/>
  <c r="D499" i="6"/>
  <c r="I499" i="6"/>
  <c r="J499" i="6"/>
  <c r="B500" i="6"/>
  <c r="C500" i="6"/>
  <c r="D500" i="6"/>
  <c r="I500" i="6"/>
  <c r="B502" i="6"/>
  <c r="C502" i="6"/>
  <c r="D502" i="6"/>
  <c r="I502" i="6"/>
  <c r="B504" i="6"/>
  <c r="C504" i="6"/>
  <c r="D504" i="6"/>
  <c r="I504" i="6"/>
  <c r="A505" i="6"/>
  <c r="B505" i="6"/>
  <c r="C505" i="6"/>
  <c r="D505" i="6"/>
  <c r="B507" i="6"/>
  <c r="C507" i="6"/>
  <c r="D507" i="6"/>
  <c r="I507" i="6"/>
  <c r="B508" i="6"/>
  <c r="C508" i="6"/>
  <c r="D508" i="6"/>
  <c r="I508" i="6"/>
  <c r="B509" i="6"/>
  <c r="C509" i="6"/>
  <c r="D509" i="6"/>
  <c r="I509" i="6"/>
  <c r="B511" i="6"/>
  <c r="C511" i="6"/>
  <c r="D511" i="6"/>
  <c r="I511" i="6"/>
  <c r="B513" i="6"/>
  <c r="C513" i="6"/>
  <c r="D513" i="6"/>
  <c r="I513" i="6"/>
  <c r="B514" i="6"/>
  <c r="C514" i="6"/>
  <c r="D514" i="6"/>
  <c r="I514" i="6"/>
  <c r="A515" i="6"/>
  <c r="B515" i="6"/>
  <c r="C515" i="6"/>
  <c r="D515" i="6"/>
  <c r="B517" i="6"/>
  <c r="C517" i="6"/>
  <c r="D517" i="6"/>
  <c r="I517" i="6"/>
  <c r="A518" i="6"/>
  <c r="B518" i="6"/>
  <c r="C518" i="6"/>
  <c r="D518" i="6"/>
  <c r="E518" i="6"/>
  <c r="B520" i="6"/>
  <c r="C520" i="6"/>
  <c r="D520" i="6"/>
  <c r="I520" i="6"/>
  <c r="A2" i="7"/>
  <c r="A3" i="7"/>
  <c r="F4" i="7"/>
  <c r="G4" i="7"/>
  <c r="H4" i="7"/>
  <c r="I4" i="7"/>
  <c r="K4" i="7"/>
  <c r="L4" i="7"/>
  <c r="M4" i="7"/>
  <c r="N4" i="7"/>
  <c r="O4" i="7"/>
  <c r="P4" i="7"/>
  <c r="Q4" i="7"/>
  <c r="R4" i="7"/>
  <c r="B6" i="7"/>
  <c r="C6" i="7"/>
  <c r="D6" i="7"/>
  <c r="F6" i="7"/>
  <c r="H6" i="7"/>
  <c r="M6" i="7"/>
  <c r="B7" i="7"/>
  <c r="C7" i="7"/>
  <c r="D7" i="7"/>
  <c r="F7" i="7"/>
  <c r="H7" i="7"/>
  <c r="M7" i="7"/>
  <c r="B8" i="7"/>
  <c r="C8" i="7"/>
  <c r="D8" i="7"/>
  <c r="E8" i="7"/>
  <c r="F8" i="7"/>
  <c r="G8" i="7"/>
  <c r="H8" i="7"/>
  <c r="O8" i="7" s="1"/>
  <c r="F420" i="11" s="1"/>
  <c r="H420" i="11" s="1"/>
  <c r="M8" i="7"/>
  <c r="B9" i="7"/>
  <c r="C9" i="7"/>
  <c r="D9" i="7"/>
  <c r="E9" i="7"/>
  <c r="F9" i="7"/>
  <c r="H9" i="7"/>
  <c r="O9" i="7" s="1"/>
  <c r="M9" i="7"/>
  <c r="B10" i="7"/>
  <c r="C10" i="7"/>
  <c r="D10" i="7"/>
  <c r="E10" i="7"/>
  <c r="G10" i="7" s="1"/>
  <c r="F10" i="7"/>
  <c r="H10" i="7"/>
  <c r="K10" i="7" s="1"/>
  <c r="M10" i="7"/>
  <c r="B11" i="7"/>
  <c r="C11" i="7"/>
  <c r="D11" i="7"/>
  <c r="F11" i="7"/>
  <c r="H11" i="7"/>
  <c r="B12" i="7"/>
  <c r="C12" i="7"/>
  <c r="D12" i="7"/>
  <c r="F12" i="7"/>
  <c r="H12" i="7"/>
  <c r="B13" i="7"/>
  <c r="C13" i="7"/>
  <c r="D13" i="7"/>
  <c r="F13" i="7"/>
  <c r="H13" i="7"/>
  <c r="K13" i="7"/>
  <c r="B14" i="7"/>
  <c r="C14" i="7"/>
  <c r="D14" i="7"/>
  <c r="F14" i="7"/>
  <c r="H14" i="7"/>
  <c r="K14" i="7" s="1"/>
  <c r="B15" i="7"/>
  <c r="C15" i="7"/>
  <c r="D15" i="7"/>
  <c r="F15" i="7"/>
  <c r="H15" i="7"/>
  <c r="B16" i="7"/>
  <c r="C16" i="7"/>
  <c r="D16" i="7"/>
  <c r="F16" i="7"/>
  <c r="H16" i="7"/>
  <c r="K16" i="7"/>
  <c r="B17" i="7"/>
  <c r="C17" i="7"/>
  <c r="D17" i="7"/>
  <c r="F17" i="7"/>
  <c r="H17" i="7"/>
  <c r="B18" i="7"/>
  <c r="C18" i="7"/>
  <c r="D18" i="7"/>
  <c r="F18" i="7"/>
  <c r="H18" i="7"/>
  <c r="K18" i="7" s="1"/>
  <c r="B19" i="7"/>
  <c r="C19" i="7"/>
  <c r="D19" i="7"/>
  <c r="F19" i="7"/>
  <c r="H19" i="7"/>
  <c r="B20" i="7"/>
  <c r="C20" i="7"/>
  <c r="D20" i="7"/>
  <c r="F20" i="7"/>
  <c r="H20" i="7"/>
  <c r="K20" i="7" s="1"/>
  <c r="B21" i="7"/>
  <c r="C21" i="7"/>
  <c r="D21" i="7"/>
  <c r="F21" i="7"/>
  <c r="H21" i="7"/>
  <c r="K21" i="7" s="1"/>
  <c r="B22" i="7"/>
  <c r="C22" i="7"/>
  <c r="D22" i="7"/>
  <c r="F22" i="7"/>
  <c r="H22" i="7"/>
  <c r="K22" i="7"/>
  <c r="B23" i="7"/>
  <c r="C23" i="7"/>
  <c r="D23" i="7"/>
  <c r="F23" i="7"/>
  <c r="H23" i="7"/>
  <c r="K23" i="7"/>
  <c r="AW18" i="9" s="1"/>
  <c r="AO18" i="9" s="1"/>
  <c r="B24" i="7"/>
  <c r="C24" i="7"/>
  <c r="D24" i="7"/>
  <c r="F24" i="7"/>
  <c r="H24" i="7"/>
  <c r="K24" i="7"/>
  <c r="Y19" i="10" s="1"/>
  <c r="B25" i="7"/>
  <c r="C25" i="7"/>
  <c r="D25" i="7"/>
  <c r="F25" i="7"/>
  <c r="H25" i="7"/>
  <c r="B26" i="7"/>
  <c r="C26" i="7"/>
  <c r="D26" i="7"/>
  <c r="F26" i="7"/>
  <c r="H26" i="7"/>
  <c r="K26" i="7" s="1"/>
  <c r="B27" i="7"/>
  <c r="C27" i="7"/>
  <c r="D27" i="7"/>
  <c r="F27" i="7"/>
  <c r="H27" i="7"/>
  <c r="B28" i="7"/>
  <c r="C28" i="7"/>
  <c r="D28" i="7"/>
  <c r="F28" i="7"/>
  <c r="H28" i="7"/>
  <c r="K28" i="7"/>
  <c r="B29" i="7"/>
  <c r="C29" i="7"/>
  <c r="D29" i="7"/>
  <c r="F29" i="7"/>
  <c r="H29" i="7"/>
  <c r="B30" i="7"/>
  <c r="C30" i="7"/>
  <c r="D30" i="7"/>
  <c r="F30" i="7"/>
  <c r="H30" i="7"/>
  <c r="K30" i="7" s="1"/>
  <c r="B31" i="7"/>
  <c r="C31" i="7"/>
  <c r="D31" i="7"/>
  <c r="F31" i="7"/>
  <c r="H31" i="7"/>
  <c r="B32" i="7"/>
  <c r="C32" i="7"/>
  <c r="D32" i="7"/>
  <c r="F32" i="7"/>
  <c r="H32" i="7"/>
  <c r="K32" i="7" s="1"/>
  <c r="AW27" i="9" s="1"/>
  <c r="AO27" i="9"/>
  <c r="B33" i="7"/>
  <c r="C33" i="7"/>
  <c r="D33" i="7"/>
  <c r="F33" i="7"/>
  <c r="H33" i="7"/>
  <c r="B34" i="7"/>
  <c r="C34" i="7"/>
  <c r="D34" i="7"/>
  <c r="F34" i="7"/>
  <c r="H34" i="7"/>
  <c r="K34" i="7"/>
  <c r="B35" i="7"/>
  <c r="C35" i="7"/>
  <c r="D35" i="7"/>
  <c r="F35" i="7"/>
  <c r="H35" i="7"/>
  <c r="B36" i="7"/>
  <c r="C36" i="7"/>
  <c r="D36" i="7"/>
  <c r="F36" i="7"/>
  <c r="H36" i="7"/>
  <c r="K36" i="7" s="1"/>
  <c r="B37" i="7"/>
  <c r="C37" i="7"/>
  <c r="D37" i="7"/>
  <c r="F37" i="7"/>
  <c r="H37" i="7"/>
  <c r="B38" i="7"/>
  <c r="C38" i="7"/>
  <c r="D38" i="7"/>
  <c r="F38" i="7"/>
  <c r="H38" i="7"/>
  <c r="K38" i="7"/>
  <c r="B39" i="7"/>
  <c r="C39" i="7"/>
  <c r="D39" i="7"/>
  <c r="F39" i="7"/>
  <c r="H39" i="7"/>
  <c r="K39" i="7" s="1"/>
  <c r="Y33" i="10"/>
  <c r="B40" i="7"/>
  <c r="C40" i="7"/>
  <c r="D40" i="7"/>
  <c r="F40" i="7"/>
  <c r="H40" i="7"/>
  <c r="K40" i="7"/>
  <c r="AW34" i="9"/>
  <c r="AO34" i="9"/>
  <c r="B41" i="7"/>
  <c r="C41" i="7"/>
  <c r="D41" i="7"/>
  <c r="F41" i="7"/>
  <c r="H41" i="7"/>
  <c r="B42" i="7"/>
  <c r="C42" i="7"/>
  <c r="D42" i="7"/>
  <c r="F42" i="7"/>
  <c r="H42" i="7"/>
  <c r="K42" i="7" s="1"/>
  <c r="B43" i="7"/>
  <c r="C43" i="7"/>
  <c r="D43" i="7"/>
  <c r="F43" i="7"/>
  <c r="H43" i="7"/>
  <c r="B44" i="7"/>
  <c r="C44" i="7"/>
  <c r="D44" i="7"/>
  <c r="F44" i="7"/>
  <c r="H44" i="7"/>
  <c r="K44" i="7"/>
  <c r="AW38" i="9"/>
  <c r="AO38" i="9"/>
  <c r="B45" i="7"/>
  <c r="C45" i="7"/>
  <c r="D45" i="7"/>
  <c r="F45" i="7"/>
  <c r="H45" i="7"/>
  <c r="B46" i="7"/>
  <c r="C46" i="7"/>
  <c r="D46" i="7"/>
  <c r="F46" i="7"/>
  <c r="H46" i="7"/>
  <c r="K46" i="7" s="1"/>
  <c r="B47" i="7"/>
  <c r="C47" i="7"/>
  <c r="D47" i="7"/>
  <c r="F47" i="7"/>
  <c r="H47" i="7"/>
  <c r="B48" i="7"/>
  <c r="C48" i="7"/>
  <c r="D48" i="7"/>
  <c r="F48" i="7"/>
  <c r="H48" i="7"/>
  <c r="K48" i="7"/>
  <c r="AW42" i="9" s="1"/>
  <c r="AO42" i="9" s="1"/>
  <c r="B49" i="7"/>
  <c r="C49" i="7"/>
  <c r="D49" i="7"/>
  <c r="F49" i="7"/>
  <c r="H49" i="7"/>
  <c r="B50" i="7"/>
  <c r="C50" i="7"/>
  <c r="D50" i="7"/>
  <c r="F50" i="7"/>
  <c r="H50" i="7"/>
  <c r="K50" i="7" s="1"/>
  <c r="B54" i="7"/>
  <c r="C54" i="7"/>
  <c r="D54" i="7"/>
  <c r="E54" i="7"/>
  <c r="G54" i="7" s="1"/>
  <c r="F54" i="7"/>
  <c r="H54" i="7"/>
  <c r="K54" i="7"/>
  <c r="B55" i="7"/>
  <c r="C55" i="7"/>
  <c r="D55" i="7"/>
  <c r="F55" i="7"/>
  <c r="H55" i="7"/>
  <c r="O55" i="7"/>
  <c r="B56" i="7"/>
  <c r="C56" i="7"/>
  <c r="D56" i="7"/>
  <c r="F56" i="7"/>
  <c r="B57" i="7"/>
  <c r="C57" i="7"/>
  <c r="D57" i="7"/>
  <c r="F57" i="7"/>
  <c r="B58" i="7"/>
  <c r="C58" i="7"/>
  <c r="D58" i="7"/>
  <c r="F58" i="7"/>
  <c r="B59" i="7"/>
  <c r="C59" i="7"/>
  <c r="D59" i="7"/>
  <c r="F59" i="7"/>
  <c r="B60" i="7"/>
  <c r="C60" i="7"/>
  <c r="D60" i="7"/>
  <c r="F60" i="7"/>
  <c r="N61" i="7"/>
  <c r="B63" i="7"/>
  <c r="C63" i="7"/>
  <c r="D63" i="7"/>
  <c r="F63" i="7"/>
  <c r="H63" i="7"/>
  <c r="O63" i="7" s="1"/>
  <c r="B64" i="7"/>
  <c r="C64" i="7"/>
  <c r="D64" i="7"/>
  <c r="F64" i="7"/>
  <c r="B65" i="7"/>
  <c r="C65" i="7"/>
  <c r="D65" i="7"/>
  <c r="F65" i="7"/>
  <c r="B66" i="7"/>
  <c r="C66" i="7"/>
  <c r="D66" i="7"/>
  <c r="F66" i="7"/>
  <c r="B67" i="7"/>
  <c r="C67" i="7"/>
  <c r="D67" i="7"/>
  <c r="F67" i="7"/>
  <c r="B68" i="7"/>
  <c r="C68" i="7"/>
  <c r="D68" i="7"/>
  <c r="F68" i="7"/>
  <c r="B69" i="7"/>
  <c r="C69" i="7"/>
  <c r="D69" i="7"/>
  <c r="F69" i="7"/>
  <c r="B70" i="7"/>
  <c r="C70" i="7"/>
  <c r="D70" i="7"/>
  <c r="F70" i="7"/>
  <c r="B71" i="7"/>
  <c r="C71" i="7"/>
  <c r="D71" i="7"/>
  <c r="F71" i="7"/>
  <c r="B72" i="7"/>
  <c r="C72" i="7"/>
  <c r="D72" i="7"/>
  <c r="F72" i="7"/>
  <c r="B73" i="7"/>
  <c r="C73" i="7"/>
  <c r="D73" i="7"/>
  <c r="F73" i="7"/>
  <c r="B74" i="7"/>
  <c r="C74" i="7"/>
  <c r="D74" i="7"/>
  <c r="F74" i="7"/>
  <c r="B75" i="7"/>
  <c r="C75" i="7"/>
  <c r="D75" i="7"/>
  <c r="F75" i="7"/>
  <c r="B76" i="7"/>
  <c r="C76" i="7"/>
  <c r="D76" i="7"/>
  <c r="F76" i="7"/>
  <c r="B77" i="7"/>
  <c r="C77" i="7"/>
  <c r="D77" i="7"/>
  <c r="F77" i="7"/>
  <c r="B78" i="7"/>
  <c r="C78" i="7"/>
  <c r="D78" i="7"/>
  <c r="F78" i="7"/>
  <c r="B79" i="7"/>
  <c r="C79" i="7"/>
  <c r="D79" i="7"/>
  <c r="F79" i="7"/>
  <c r="B80" i="7"/>
  <c r="C80" i="7"/>
  <c r="D80" i="7"/>
  <c r="F80" i="7"/>
  <c r="B81" i="7"/>
  <c r="C81" i="7"/>
  <c r="D81" i="7"/>
  <c r="F81" i="7"/>
  <c r="B82" i="7"/>
  <c r="C82" i="7"/>
  <c r="D82" i="7"/>
  <c r="F82" i="7"/>
  <c r="B83" i="7"/>
  <c r="C83" i="7"/>
  <c r="D83" i="7"/>
  <c r="F83" i="7"/>
  <c r="B84" i="7"/>
  <c r="C84" i="7"/>
  <c r="D84" i="7"/>
  <c r="F84" i="7"/>
  <c r="B85" i="7"/>
  <c r="C85" i="7"/>
  <c r="D85" i="7"/>
  <c r="F85" i="7"/>
  <c r="B86" i="7"/>
  <c r="C86" i="7"/>
  <c r="D86" i="7"/>
  <c r="F86" i="7"/>
  <c r="H86" i="7"/>
  <c r="K86" i="7"/>
  <c r="B87" i="7"/>
  <c r="C87" i="7"/>
  <c r="D87" i="7"/>
  <c r="F87" i="7"/>
  <c r="B88" i="7"/>
  <c r="C88" i="7"/>
  <c r="D88" i="7"/>
  <c r="F88" i="7"/>
  <c r="A2" i="9"/>
  <c r="N4" i="9"/>
  <c r="O4" i="9"/>
  <c r="P4" i="9"/>
  <c r="Q4" i="9"/>
  <c r="R4" i="9"/>
  <c r="S4" i="9"/>
  <c r="T4" i="9"/>
  <c r="A5" i="9"/>
  <c r="B5" i="9"/>
  <c r="C5" i="9"/>
  <c r="D5" i="9"/>
  <c r="E5" i="9"/>
  <c r="F5" i="9"/>
  <c r="G5" i="9"/>
  <c r="H5" i="9"/>
  <c r="I5" i="9"/>
  <c r="J5" i="9"/>
  <c r="K5" i="9"/>
  <c r="L5" i="9"/>
  <c r="U5" i="9"/>
  <c r="V5" i="9"/>
  <c r="W5" i="9"/>
  <c r="X5" i="9"/>
  <c r="Y5" i="9"/>
  <c r="Z5" i="9"/>
  <c r="AA5" i="9"/>
  <c r="AB5" i="9"/>
  <c r="AC5" i="9"/>
  <c r="AD5" i="9"/>
  <c r="AE5" i="9"/>
  <c r="AF5" i="9"/>
  <c r="AG5" i="9"/>
  <c r="AH5" i="9"/>
  <c r="AI5" i="9"/>
  <c r="AJ5" i="9"/>
  <c r="AK5" i="9"/>
  <c r="AL5" i="9"/>
  <c r="AM5" i="9"/>
  <c r="AN5" i="9"/>
  <c r="AO5" i="9"/>
  <c r="AP5" i="9"/>
  <c r="AQ5" i="9"/>
  <c r="AR5" i="9"/>
  <c r="AS5" i="9"/>
  <c r="AT5" i="9"/>
  <c r="AU5" i="9"/>
  <c r="AV5" i="9"/>
  <c r="AW5" i="9"/>
  <c r="AX5" i="9"/>
  <c r="AY5" i="9"/>
  <c r="AD6" i="9"/>
  <c r="AF6" i="9"/>
  <c r="AH6" i="9"/>
  <c r="AM6" i="9"/>
  <c r="AR6" i="9"/>
  <c r="AD7" i="9"/>
  <c r="AF7" i="9"/>
  <c r="AH7" i="9" s="1"/>
  <c r="AM7" i="9"/>
  <c r="AR7" i="9"/>
  <c r="AD8" i="9"/>
  <c r="AF8" i="9" s="1"/>
  <c r="AH8" i="9" s="1"/>
  <c r="AM8" i="9"/>
  <c r="AR8" i="9"/>
  <c r="AD9" i="9"/>
  <c r="AF9" i="9" s="1"/>
  <c r="AH9" i="9" s="1"/>
  <c r="AM9" i="9"/>
  <c r="AR9" i="9"/>
  <c r="AD10" i="9"/>
  <c r="AF10" i="9"/>
  <c r="AH10" i="9"/>
  <c r="AM10" i="9"/>
  <c r="AR10" i="9"/>
  <c r="AD11" i="9"/>
  <c r="AF11" i="9"/>
  <c r="AH11" i="9" s="1"/>
  <c r="AM11" i="9"/>
  <c r="AR11" i="9"/>
  <c r="AD12" i="9"/>
  <c r="AF12" i="9" s="1"/>
  <c r="AH12" i="9" s="1"/>
  <c r="AM12" i="9"/>
  <c r="AR12" i="9"/>
  <c r="AD13" i="9"/>
  <c r="AF13" i="9"/>
  <c r="AH13" i="9"/>
  <c r="AM13" i="9"/>
  <c r="AR13" i="9"/>
  <c r="AD14" i="9"/>
  <c r="AF14" i="9"/>
  <c r="AH14" i="9"/>
  <c r="AM14" i="9"/>
  <c r="AR14" i="9"/>
  <c r="AD15" i="9"/>
  <c r="AF15" i="9"/>
  <c r="AH15" i="9" s="1"/>
  <c r="AM15" i="9"/>
  <c r="AR15" i="9"/>
  <c r="AD16" i="9"/>
  <c r="AF16" i="9" s="1"/>
  <c r="AH16" i="9" s="1"/>
  <c r="AM16" i="9"/>
  <c r="AR16" i="9"/>
  <c r="AD17" i="9"/>
  <c r="AF17" i="9" s="1"/>
  <c r="AH17" i="9" s="1"/>
  <c r="AM17" i="9"/>
  <c r="AR17" i="9"/>
  <c r="AD18" i="9"/>
  <c r="AF18" i="9"/>
  <c r="AH18" i="9"/>
  <c r="AM18" i="9"/>
  <c r="AR18" i="9"/>
  <c r="AD19" i="9"/>
  <c r="AF19" i="9"/>
  <c r="AH19" i="9" s="1"/>
  <c r="AM19" i="9"/>
  <c r="AR19" i="9"/>
  <c r="AD20" i="9"/>
  <c r="AF20" i="9" s="1"/>
  <c r="AH20" i="9" s="1"/>
  <c r="AM20" i="9"/>
  <c r="AR20" i="9"/>
  <c r="AD21" i="9"/>
  <c r="AF21" i="9"/>
  <c r="AH21" i="9"/>
  <c r="AM21" i="9"/>
  <c r="AR21" i="9"/>
  <c r="AD22" i="9"/>
  <c r="AF22" i="9"/>
  <c r="AH22" i="9"/>
  <c r="AM22" i="9"/>
  <c r="AR22" i="9"/>
  <c r="AD23" i="9"/>
  <c r="AF23" i="9"/>
  <c r="AH23" i="9" s="1"/>
  <c r="AM23" i="9"/>
  <c r="AR23" i="9"/>
  <c r="AD24" i="9"/>
  <c r="AF24" i="9" s="1"/>
  <c r="AH24" i="9" s="1"/>
  <c r="AM24" i="9"/>
  <c r="AR24" i="9"/>
  <c r="AD25" i="9"/>
  <c r="AF25" i="9" s="1"/>
  <c r="AH25" i="9" s="1"/>
  <c r="AM25" i="9"/>
  <c r="AR25" i="9"/>
  <c r="AD26" i="9"/>
  <c r="AF26" i="9"/>
  <c r="AH26" i="9"/>
  <c r="AM26" i="9"/>
  <c r="AR26" i="9"/>
  <c r="AD27" i="9"/>
  <c r="AF27" i="9"/>
  <c r="AH27" i="9" s="1"/>
  <c r="AM27" i="9"/>
  <c r="AR27" i="9"/>
  <c r="AD28" i="9"/>
  <c r="AF28" i="9" s="1"/>
  <c r="AH28" i="9" s="1"/>
  <c r="AM28" i="9"/>
  <c r="AR28" i="9"/>
  <c r="AD29" i="9"/>
  <c r="AF29" i="9"/>
  <c r="AH29" i="9"/>
  <c r="AM29" i="9"/>
  <c r="AR29" i="9"/>
  <c r="AD30" i="9"/>
  <c r="AF30" i="9"/>
  <c r="AH30" i="9" s="1"/>
  <c r="AM30" i="9"/>
  <c r="AR30" i="9"/>
  <c r="AD31" i="9"/>
  <c r="AF31" i="9" s="1"/>
  <c r="AH31" i="9" s="1"/>
  <c r="AM31" i="9"/>
  <c r="AR31" i="9"/>
  <c r="AD32" i="9"/>
  <c r="AF32" i="9"/>
  <c r="AH32" i="9"/>
  <c r="AM32" i="9"/>
  <c r="AR32" i="9"/>
  <c r="AD33" i="9"/>
  <c r="AF33" i="9"/>
  <c r="AH33" i="9"/>
  <c r="AM33" i="9"/>
  <c r="AR33" i="9"/>
  <c r="AD34" i="9"/>
  <c r="AF34" i="9"/>
  <c r="AH34" i="9" s="1"/>
  <c r="AM34" i="9"/>
  <c r="AR34" i="9"/>
  <c r="AD35" i="9"/>
  <c r="AF35" i="9" s="1"/>
  <c r="AH35" i="9" s="1"/>
  <c r="AM35" i="9"/>
  <c r="AR35" i="9"/>
  <c r="AD36" i="9"/>
  <c r="AF36" i="9" s="1"/>
  <c r="AH36" i="9" s="1"/>
  <c r="AM36" i="9"/>
  <c r="AR36" i="9"/>
  <c r="AD37" i="9"/>
  <c r="AF37" i="9"/>
  <c r="AH37" i="9"/>
  <c r="AM37" i="9"/>
  <c r="AR37" i="9"/>
  <c r="AD38" i="9"/>
  <c r="AF38" i="9"/>
  <c r="AH38" i="9" s="1"/>
  <c r="AM38" i="9"/>
  <c r="AR38" i="9"/>
  <c r="AD39" i="9"/>
  <c r="AF39" i="9" s="1"/>
  <c r="AH39" i="9" s="1"/>
  <c r="AM39" i="9"/>
  <c r="AR39" i="9"/>
  <c r="AD40" i="9"/>
  <c r="AF40" i="9"/>
  <c r="AH40" i="9"/>
  <c r="AM40" i="9"/>
  <c r="AR40" i="9"/>
  <c r="AD41" i="9"/>
  <c r="AF41" i="9"/>
  <c r="AH41" i="9"/>
  <c r="AM41" i="9"/>
  <c r="AR41" i="9"/>
  <c r="AD42" i="9"/>
  <c r="AF42" i="9"/>
  <c r="AH42" i="9" s="1"/>
  <c r="AM42" i="9"/>
  <c r="AR42" i="9"/>
  <c r="AD43" i="9"/>
  <c r="AF43" i="9" s="1"/>
  <c r="AH43" i="9" s="1"/>
  <c r="AM43" i="9"/>
  <c r="AR43" i="9"/>
  <c r="AD44" i="9"/>
  <c r="AF44" i="9" s="1"/>
  <c r="AH44" i="9" s="1"/>
  <c r="AM44" i="9"/>
  <c r="AR44" i="9"/>
  <c r="A2" i="10"/>
  <c r="M4" i="10"/>
  <c r="N4" i="10"/>
  <c r="P4" i="10"/>
  <c r="Q4" i="10"/>
  <c r="A5" i="10"/>
  <c r="B5" i="10"/>
  <c r="C5" i="10"/>
  <c r="D5" i="10"/>
  <c r="E5" i="10"/>
  <c r="F5" i="10"/>
  <c r="G5" i="10"/>
  <c r="H5" i="10"/>
  <c r="I5" i="10"/>
  <c r="J5" i="10"/>
  <c r="K5" i="10"/>
  <c r="R5" i="10"/>
  <c r="S5" i="10"/>
  <c r="T5" i="10"/>
  <c r="U5" i="10"/>
  <c r="V5" i="10"/>
  <c r="W5" i="10"/>
  <c r="X5" i="10"/>
  <c r="Y5" i="10"/>
  <c r="Z5" i="10"/>
  <c r="AA5" i="10"/>
  <c r="W6" i="10"/>
  <c r="T11" i="7" s="1"/>
  <c r="W7" i="10"/>
  <c r="R435" i="6"/>
  <c r="W8" i="10"/>
  <c r="W9" i="10"/>
  <c r="W10" i="10"/>
  <c r="W11" i="10"/>
  <c r="W12" i="10"/>
  <c r="R425" i="6" s="1"/>
  <c r="W13" i="10"/>
  <c r="W14" i="10"/>
  <c r="W15" i="10"/>
  <c r="W16" i="10"/>
  <c r="W17" i="10"/>
  <c r="W18" i="10"/>
  <c r="W19" i="10"/>
  <c r="R450" i="6" s="1"/>
  <c r="W20" i="10"/>
  <c r="R167" i="6"/>
  <c r="W21" i="10"/>
  <c r="W22" i="10"/>
  <c r="W23" i="10"/>
  <c r="W24" i="10"/>
  <c r="W25" i="10"/>
  <c r="W26" i="10"/>
  <c r="W27" i="10"/>
  <c r="R90" i="6"/>
  <c r="Y27" i="10"/>
  <c r="W28" i="10"/>
  <c r="W29" i="10"/>
  <c r="W30" i="10"/>
  <c r="W31" i="10"/>
  <c r="W32" i="10"/>
  <c r="W33" i="10"/>
  <c r="Z33" i="10" s="1"/>
  <c r="W34" i="10"/>
  <c r="R365" i="6"/>
  <c r="W35" i="10"/>
  <c r="T41" i="7"/>
  <c r="W36" i="10"/>
  <c r="W37" i="10"/>
  <c r="W38" i="10"/>
  <c r="W39" i="10"/>
  <c r="W40" i="10"/>
  <c r="W41" i="10"/>
  <c r="W42" i="10"/>
  <c r="W43" i="10"/>
  <c r="W44" i="10"/>
  <c r="A2" i="11"/>
  <c r="A3" i="11"/>
  <c r="F4" i="11"/>
  <c r="H4" i="11"/>
  <c r="C5" i="11"/>
  <c r="A6" i="11"/>
  <c r="B6" i="11"/>
  <c r="C6" i="11"/>
  <c r="D6" i="11"/>
  <c r="B8" i="11"/>
  <c r="C8" i="11"/>
  <c r="D8" i="11"/>
  <c r="E8" i="11"/>
  <c r="G8" i="11"/>
  <c r="B10" i="11"/>
  <c r="C10" i="11"/>
  <c r="D10" i="11"/>
  <c r="E10" i="11"/>
  <c r="G10" i="11"/>
  <c r="A11" i="11"/>
  <c r="B11" i="11"/>
  <c r="C11" i="11"/>
  <c r="D11" i="11"/>
  <c r="B13" i="11"/>
  <c r="C13" i="11"/>
  <c r="D13" i="11"/>
  <c r="E13" i="11"/>
  <c r="G13" i="11"/>
  <c r="B15" i="11"/>
  <c r="C15" i="11"/>
  <c r="D15" i="11"/>
  <c r="E15" i="11"/>
  <c r="G15" i="11"/>
  <c r="B16" i="11"/>
  <c r="C16" i="11"/>
  <c r="D16" i="11"/>
  <c r="E16" i="11"/>
  <c r="G16" i="11"/>
  <c r="A18" i="11"/>
  <c r="B18" i="11"/>
  <c r="C18" i="11"/>
  <c r="D18" i="11"/>
  <c r="B20" i="11"/>
  <c r="C20" i="11"/>
  <c r="D20" i="11"/>
  <c r="E20" i="11"/>
  <c r="G20" i="11"/>
  <c r="B22" i="11"/>
  <c r="C22" i="11"/>
  <c r="D22" i="11"/>
  <c r="E22" i="11"/>
  <c r="G22" i="11"/>
  <c r="B23" i="11"/>
  <c r="C23" i="11"/>
  <c r="D23" i="11"/>
  <c r="E23" i="11"/>
  <c r="G23" i="11"/>
  <c r="E24" i="11"/>
  <c r="A26" i="11"/>
  <c r="B26" i="11"/>
  <c r="C26" i="11"/>
  <c r="D26" i="11"/>
  <c r="B28" i="11"/>
  <c r="D28" i="11"/>
  <c r="A29" i="11"/>
  <c r="B29" i="11"/>
  <c r="C29" i="11"/>
  <c r="D29" i="11"/>
  <c r="B31" i="11"/>
  <c r="C31" i="11"/>
  <c r="D31" i="11"/>
  <c r="E31" i="11"/>
  <c r="G31" i="11"/>
  <c r="B33" i="11"/>
  <c r="C33" i="11"/>
  <c r="D33" i="11"/>
  <c r="E33" i="11"/>
  <c r="G33" i="11"/>
  <c r="B35" i="11"/>
  <c r="C35" i="11"/>
  <c r="D35" i="11"/>
  <c r="E35" i="11"/>
  <c r="G35" i="11"/>
  <c r="B36" i="11"/>
  <c r="C36" i="11"/>
  <c r="D36" i="11"/>
  <c r="E36" i="11"/>
  <c r="G36" i="11"/>
  <c r="B37" i="11"/>
  <c r="C37" i="11"/>
  <c r="D37" i="11"/>
  <c r="E37" i="11"/>
  <c r="G37" i="11"/>
  <c r="B38" i="11"/>
  <c r="C38" i="11"/>
  <c r="D38" i="11"/>
  <c r="E38" i="11"/>
  <c r="G38" i="11"/>
  <c r="B39" i="11"/>
  <c r="C39" i="11"/>
  <c r="D39" i="11"/>
  <c r="E39" i="11"/>
  <c r="G39" i="11"/>
  <c r="E40" i="11"/>
  <c r="A42" i="11"/>
  <c r="B42" i="11"/>
  <c r="C42" i="11"/>
  <c r="D42" i="11"/>
  <c r="B44" i="11"/>
  <c r="C44" i="11"/>
  <c r="D44" i="11"/>
  <c r="E44" i="11"/>
  <c r="G44" i="11"/>
  <c r="A45" i="11"/>
  <c r="B45" i="11"/>
  <c r="C45" i="11"/>
  <c r="D45" i="11"/>
  <c r="B47" i="11"/>
  <c r="C47" i="11"/>
  <c r="D47" i="11"/>
  <c r="E47" i="11"/>
  <c r="G47" i="11"/>
  <c r="A48" i="11"/>
  <c r="B48" i="11"/>
  <c r="C48" i="11"/>
  <c r="D48" i="11"/>
  <c r="B50" i="11"/>
  <c r="C50" i="11"/>
  <c r="D50" i="11"/>
  <c r="E50" i="11"/>
  <c r="G50" i="11"/>
  <c r="A51" i="11"/>
  <c r="B51" i="11"/>
  <c r="C51" i="11"/>
  <c r="D51" i="11"/>
  <c r="B53" i="11"/>
  <c r="C53" i="11"/>
  <c r="D53" i="11"/>
  <c r="E53" i="11"/>
  <c r="G53" i="11"/>
  <c r="A54" i="11"/>
  <c r="B54" i="11"/>
  <c r="C54" i="11"/>
  <c r="D54" i="11"/>
  <c r="B56" i="11"/>
  <c r="C56" i="11"/>
  <c r="D56" i="11"/>
  <c r="E56" i="11"/>
  <c r="G56" i="11"/>
  <c r="E57" i="11"/>
  <c r="B60" i="11"/>
  <c r="C60" i="11"/>
  <c r="D60" i="11"/>
  <c r="E60" i="11"/>
  <c r="G60" i="11"/>
  <c r="A61" i="11"/>
  <c r="B61" i="11"/>
  <c r="C61" i="11"/>
  <c r="D61" i="11"/>
  <c r="B63" i="11"/>
  <c r="C63" i="11"/>
  <c r="D63" i="11"/>
  <c r="E63" i="11"/>
  <c r="G63" i="11"/>
  <c r="B64" i="11"/>
  <c r="C64" i="11"/>
  <c r="D64" i="11"/>
  <c r="E64" i="11"/>
  <c r="G64" i="11"/>
  <c r="E65" i="11"/>
  <c r="B68" i="11"/>
  <c r="C68" i="11"/>
  <c r="D68" i="11"/>
  <c r="E68" i="11"/>
  <c r="G68" i="11"/>
  <c r="B70" i="11"/>
  <c r="C70" i="11"/>
  <c r="D70" i="11"/>
  <c r="E70" i="11"/>
  <c r="G70" i="11"/>
  <c r="E71" i="11"/>
  <c r="A73" i="11"/>
  <c r="B73" i="11"/>
  <c r="C73" i="11"/>
  <c r="D73" i="11"/>
  <c r="B75" i="11"/>
  <c r="C75" i="11"/>
  <c r="D75" i="11"/>
  <c r="E75" i="11"/>
  <c r="G75" i="11"/>
  <c r="B76" i="11"/>
  <c r="C76" i="11"/>
  <c r="D76" i="11"/>
  <c r="E76" i="11"/>
  <c r="G76" i="11"/>
  <c r="B77" i="11"/>
  <c r="C77" i="11"/>
  <c r="D77" i="11"/>
  <c r="E77" i="11"/>
  <c r="G77" i="11"/>
  <c r="B78" i="11"/>
  <c r="C78" i="11"/>
  <c r="D78" i="11"/>
  <c r="E78" i="11"/>
  <c r="G78" i="11"/>
  <c r="E79" i="11"/>
  <c r="B82" i="11"/>
  <c r="C82" i="11"/>
  <c r="D82" i="11"/>
  <c r="E82" i="11"/>
  <c r="G82" i="11"/>
  <c r="B84" i="11"/>
  <c r="C84" i="11"/>
  <c r="D84" i="11"/>
  <c r="E84" i="11"/>
  <c r="G84" i="11"/>
  <c r="B85" i="11"/>
  <c r="C85" i="11"/>
  <c r="D85" i="11"/>
  <c r="E85" i="11"/>
  <c r="G85" i="11"/>
  <c r="B86" i="11"/>
  <c r="C86" i="11"/>
  <c r="D86" i="11"/>
  <c r="E86" i="11"/>
  <c r="G86" i="11"/>
  <c r="E87" i="11"/>
  <c r="A89" i="11"/>
  <c r="B89" i="11"/>
  <c r="C89" i="11"/>
  <c r="D89" i="11"/>
  <c r="B91" i="11"/>
  <c r="C91" i="11"/>
  <c r="D91" i="11"/>
  <c r="E91" i="11"/>
  <c r="G91" i="11"/>
  <c r="B92" i="11"/>
  <c r="C92" i="11"/>
  <c r="D92" i="11"/>
  <c r="G92" i="11"/>
  <c r="B93" i="11"/>
  <c r="C93" i="11"/>
  <c r="D93" i="11"/>
  <c r="G93" i="11"/>
  <c r="B96" i="11"/>
  <c r="C96" i="11"/>
  <c r="D96" i="11"/>
  <c r="E96" i="11"/>
  <c r="G96" i="11"/>
  <c r="B98" i="11"/>
  <c r="C98" i="11"/>
  <c r="D98" i="11"/>
  <c r="E98" i="11"/>
  <c r="G98" i="11"/>
  <c r="A99" i="11"/>
  <c r="B99" i="11"/>
  <c r="C99" i="11"/>
  <c r="D99" i="11"/>
  <c r="B101" i="11"/>
  <c r="C101" i="11"/>
  <c r="D101" i="11"/>
  <c r="E101" i="11"/>
  <c r="G101" i="11"/>
  <c r="B102" i="11"/>
  <c r="C102" i="11"/>
  <c r="D102" i="11"/>
  <c r="E102" i="11"/>
  <c r="G102" i="11"/>
  <c r="B103" i="11"/>
  <c r="C103" i="11"/>
  <c r="D103" i="11"/>
  <c r="E103" i="11"/>
  <c r="G103" i="11"/>
  <c r="E104" i="11"/>
  <c r="B107" i="11"/>
  <c r="C107" i="11"/>
  <c r="D107" i="11"/>
  <c r="E107" i="11"/>
  <c r="G107" i="11"/>
  <c r="B109" i="11"/>
  <c r="C109" i="11"/>
  <c r="D109" i="11"/>
  <c r="E109" i="11"/>
  <c r="G109" i="11"/>
  <c r="B110" i="11"/>
  <c r="C110" i="11"/>
  <c r="D110" i="11"/>
  <c r="E110" i="11"/>
  <c r="G110" i="11"/>
  <c r="E111" i="11"/>
  <c r="A113" i="11"/>
  <c r="B113" i="11"/>
  <c r="C113" i="11"/>
  <c r="D113" i="11"/>
  <c r="B115" i="11"/>
  <c r="C115" i="11"/>
  <c r="D115" i="11"/>
  <c r="E115" i="11"/>
  <c r="G115" i="11"/>
  <c r="B116" i="11"/>
  <c r="C116" i="11"/>
  <c r="D116" i="11"/>
  <c r="E116" i="11"/>
  <c r="G116" i="11"/>
  <c r="B117" i="11"/>
  <c r="C117" i="11"/>
  <c r="D117" i="11"/>
  <c r="E117" i="11"/>
  <c r="G117" i="11"/>
  <c r="B118" i="11"/>
  <c r="C118" i="11"/>
  <c r="D118" i="11"/>
  <c r="E118" i="11"/>
  <c r="G118" i="11"/>
  <c r="B119" i="11"/>
  <c r="C119" i="11"/>
  <c r="D119" i="11"/>
  <c r="E119" i="11"/>
  <c r="G119" i="11"/>
  <c r="B120" i="11"/>
  <c r="C120" i="11"/>
  <c r="D120" i="11"/>
  <c r="E120" i="11"/>
  <c r="G120" i="11"/>
  <c r="E121" i="11"/>
  <c r="B124" i="11"/>
  <c r="C124" i="11"/>
  <c r="D124" i="11"/>
  <c r="E124" i="11"/>
  <c r="G124" i="11"/>
  <c r="B126" i="11"/>
  <c r="C126" i="11"/>
  <c r="D126" i="11"/>
  <c r="E126" i="11"/>
  <c r="G126" i="11"/>
  <c r="B127" i="11"/>
  <c r="C127" i="11"/>
  <c r="D127" i="11"/>
  <c r="E127" i="11"/>
  <c r="G127" i="11"/>
  <c r="E128" i="11"/>
  <c r="C130" i="11"/>
  <c r="A131" i="11"/>
  <c r="B131" i="11"/>
  <c r="C131" i="11"/>
  <c r="D131" i="11"/>
  <c r="B133" i="11"/>
  <c r="C133" i="11"/>
  <c r="D133" i="11"/>
  <c r="E133" i="11"/>
  <c r="G133" i="11"/>
  <c r="B135" i="11"/>
  <c r="C135" i="11"/>
  <c r="D135" i="11"/>
  <c r="E135" i="11"/>
  <c r="G135" i="11"/>
  <c r="A136" i="11"/>
  <c r="B136" i="11"/>
  <c r="C136" i="11"/>
  <c r="D136" i="11"/>
  <c r="B138" i="11"/>
  <c r="C138" i="11"/>
  <c r="D138" i="11"/>
  <c r="E138" i="11"/>
  <c r="G138" i="11"/>
  <c r="A139" i="11"/>
  <c r="B139" i="11"/>
  <c r="C139" i="11"/>
  <c r="D139" i="11"/>
  <c r="B141" i="11"/>
  <c r="C141" i="11"/>
  <c r="D141" i="11"/>
  <c r="E141" i="11"/>
  <c r="G141" i="11"/>
  <c r="B143" i="11"/>
  <c r="C143" i="11"/>
  <c r="D143" i="11"/>
  <c r="E143" i="11"/>
  <c r="G143" i="11"/>
  <c r="B144" i="11"/>
  <c r="C144" i="11"/>
  <c r="D144" i="11"/>
  <c r="E144" i="11"/>
  <c r="G144" i="11"/>
  <c r="E145" i="11"/>
  <c r="A147" i="11"/>
  <c r="B147" i="11"/>
  <c r="C147" i="11"/>
  <c r="D147" i="11"/>
  <c r="B149" i="11"/>
  <c r="C149" i="11"/>
  <c r="D149" i="11"/>
  <c r="E149" i="11"/>
  <c r="G149" i="11"/>
  <c r="A150" i="11"/>
  <c r="B150" i="11"/>
  <c r="C150" i="11"/>
  <c r="D150" i="11"/>
  <c r="B152" i="11"/>
  <c r="C152" i="11"/>
  <c r="D152" i="11"/>
  <c r="E152" i="11"/>
  <c r="G152" i="11"/>
  <c r="A153" i="11"/>
  <c r="B153" i="11"/>
  <c r="C153" i="11"/>
  <c r="D153" i="11"/>
  <c r="B155" i="11"/>
  <c r="C155" i="11"/>
  <c r="D155" i="11"/>
  <c r="E155" i="11"/>
  <c r="G155" i="11"/>
  <c r="B156" i="11"/>
  <c r="C156" i="11"/>
  <c r="D156" i="11"/>
  <c r="E156" i="11"/>
  <c r="G156" i="11"/>
  <c r="B159" i="11"/>
  <c r="C159" i="11"/>
  <c r="D159" i="11"/>
  <c r="E159" i="11"/>
  <c r="G159" i="11"/>
  <c r="A160" i="11"/>
  <c r="B160" i="11"/>
  <c r="C160" i="11"/>
  <c r="D160" i="11"/>
  <c r="B162" i="11"/>
  <c r="C162" i="11"/>
  <c r="D162" i="11"/>
  <c r="E162" i="11"/>
  <c r="G162" i="11"/>
  <c r="B163" i="11"/>
  <c r="C163" i="11"/>
  <c r="D163" i="11"/>
  <c r="E163" i="11"/>
  <c r="G163" i="11"/>
  <c r="B164" i="11"/>
  <c r="C164" i="11"/>
  <c r="D164" i="11"/>
  <c r="E164" i="11"/>
  <c r="G164" i="11"/>
  <c r="B165" i="11"/>
  <c r="C165" i="11"/>
  <c r="D165" i="11"/>
  <c r="E165" i="11"/>
  <c r="G165" i="11"/>
  <c r="E166" i="11"/>
  <c r="B169" i="11"/>
  <c r="C169" i="11"/>
  <c r="D169" i="11"/>
  <c r="E169" i="11"/>
  <c r="G169" i="11"/>
  <c r="A170" i="11"/>
  <c r="B170" i="11"/>
  <c r="C170" i="11"/>
  <c r="D170" i="11"/>
  <c r="B172" i="11"/>
  <c r="C172" i="11"/>
  <c r="D172" i="11"/>
  <c r="E172" i="11"/>
  <c r="G172" i="11"/>
  <c r="B173" i="11"/>
  <c r="C173" i="11"/>
  <c r="D173" i="11"/>
  <c r="E173" i="11"/>
  <c r="G173" i="11"/>
  <c r="B174" i="11"/>
  <c r="C174" i="11"/>
  <c r="D174" i="11"/>
  <c r="E174" i="11"/>
  <c r="G174" i="11"/>
  <c r="B175" i="11"/>
  <c r="C175" i="11"/>
  <c r="D175" i="11"/>
  <c r="E175" i="11"/>
  <c r="G175" i="11"/>
  <c r="E176" i="11"/>
  <c r="B179" i="11"/>
  <c r="C179" i="11"/>
  <c r="D179" i="11"/>
  <c r="E179" i="11"/>
  <c r="G179" i="11"/>
  <c r="B181" i="11"/>
  <c r="C181" i="11"/>
  <c r="D181" i="11"/>
  <c r="E181" i="11"/>
  <c r="G181" i="11"/>
  <c r="B182" i="11"/>
  <c r="C182" i="11"/>
  <c r="D182" i="11"/>
  <c r="E182" i="11"/>
  <c r="G182" i="11"/>
  <c r="A184" i="11"/>
  <c r="B184" i="11"/>
  <c r="C184" i="11"/>
  <c r="D184" i="11"/>
  <c r="B186" i="11"/>
  <c r="C186" i="11"/>
  <c r="D186" i="11"/>
  <c r="E186" i="11"/>
  <c r="G186" i="11"/>
  <c r="B187" i="11"/>
  <c r="C187" i="11"/>
  <c r="D187" i="11"/>
  <c r="E187" i="11"/>
  <c r="G187" i="11"/>
  <c r="B188" i="11"/>
  <c r="C188" i="11"/>
  <c r="D188" i="11"/>
  <c r="E188" i="11"/>
  <c r="G188" i="11"/>
  <c r="B189" i="11"/>
  <c r="C189" i="11"/>
  <c r="D189" i="11"/>
  <c r="E189" i="11"/>
  <c r="G189" i="11"/>
  <c r="E190" i="11"/>
  <c r="B193" i="11"/>
  <c r="C193" i="11"/>
  <c r="D193" i="11"/>
  <c r="E193" i="11"/>
  <c r="G193" i="11"/>
  <c r="B195" i="11"/>
  <c r="C195" i="11"/>
  <c r="D195" i="11"/>
  <c r="E195" i="11"/>
  <c r="G195" i="11"/>
  <c r="A196" i="11"/>
  <c r="B196" i="11"/>
  <c r="C196" i="11"/>
  <c r="D196" i="11"/>
  <c r="B198" i="11"/>
  <c r="C198" i="11"/>
  <c r="D198" i="11"/>
  <c r="E198" i="11"/>
  <c r="G198" i="11"/>
  <c r="B199" i="11"/>
  <c r="C199" i="11"/>
  <c r="D199" i="11"/>
  <c r="E199" i="11"/>
  <c r="G199" i="11"/>
  <c r="B200" i="11"/>
  <c r="C200" i="11"/>
  <c r="D200" i="11"/>
  <c r="E200" i="11"/>
  <c r="G200" i="11"/>
  <c r="E201" i="11"/>
  <c r="B204" i="11"/>
  <c r="C204" i="11"/>
  <c r="D204" i="11"/>
  <c r="E204" i="11"/>
  <c r="G204" i="11"/>
  <c r="B206" i="11"/>
  <c r="C206" i="11"/>
  <c r="D206" i="11"/>
  <c r="E206" i="11"/>
  <c r="G206" i="11"/>
  <c r="A207" i="11"/>
  <c r="B207" i="11"/>
  <c r="C207" i="11"/>
  <c r="D207" i="11"/>
  <c r="B209" i="11"/>
  <c r="C209" i="11"/>
  <c r="D209" i="11"/>
  <c r="E209" i="11"/>
  <c r="G209" i="11"/>
  <c r="B210" i="11"/>
  <c r="C210" i="11"/>
  <c r="D210" i="11"/>
  <c r="E210" i="11"/>
  <c r="G210" i="11"/>
  <c r="B211" i="11"/>
  <c r="C211" i="11"/>
  <c r="D211" i="11"/>
  <c r="E211" i="11"/>
  <c r="G211" i="11"/>
  <c r="B214" i="11"/>
  <c r="C214" i="11"/>
  <c r="D214" i="11"/>
  <c r="E214" i="11"/>
  <c r="G214" i="11"/>
  <c r="B216" i="11"/>
  <c r="C216" i="11"/>
  <c r="D216" i="11"/>
  <c r="E216" i="11"/>
  <c r="G216" i="11"/>
  <c r="A217" i="11"/>
  <c r="B217" i="11"/>
  <c r="C217" i="11"/>
  <c r="D217" i="11"/>
  <c r="B219" i="11"/>
  <c r="C219" i="11"/>
  <c r="D219" i="11"/>
  <c r="E219" i="11"/>
  <c r="G219" i="11"/>
  <c r="B220" i="11"/>
  <c r="C220" i="11"/>
  <c r="D220" i="11"/>
  <c r="E220" i="11"/>
  <c r="G220" i="11"/>
  <c r="B221" i="11"/>
  <c r="C221" i="11"/>
  <c r="D221" i="11"/>
  <c r="E221" i="11"/>
  <c r="G221" i="11"/>
  <c r="B222" i="11"/>
  <c r="C222" i="11"/>
  <c r="D222" i="11"/>
  <c r="E222" i="11"/>
  <c r="G222" i="11"/>
  <c r="E223" i="11"/>
  <c r="B226" i="11"/>
  <c r="C226" i="11"/>
  <c r="D226" i="11"/>
  <c r="E226" i="11"/>
  <c r="G226" i="11"/>
  <c r="A227" i="11"/>
  <c r="B227" i="11"/>
  <c r="C227" i="11"/>
  <c r="D227" i="11"/>
  <c r="B229" i="11"/>
  <c r="C229" i="11"/>
  <c r="D229" i="11"/>
  <c r="E229" i="11"/>
  <c r="G229" i="11"/>
  <c r="B230" i="11"/>
  <c r="C230" i="11"/>
  <c r="D230" i="11"/>
  <c r="E230" i="11"/>
  <c r="G230" i="11"/>
  <c r="B231" i="11"/>
  <c r="C231" i="11"/>
  <c r="D231" i="11"/>
  <c r="E231" i="11"/>
  <c r="G231" i="11"/>
  <c r="B232" i="11"/>
  <c r="C232" i="11"/>
  <c r="D232" i="11"/>
  <c r="E232" i="11"/>
  <c r="G232" i="11"/>
  <c r="E233" i="11"/>
  <c r="B236" i="11"/>
  <c r="C236" i="11"/>
  <c r="D236" i="11"/>
  <c r="E236" i="11"/>
  <c r="G236" i="11"/>
  <c r="B238" i="11"/>
  <c r="C238" i="11"/>
  <c r="D238" i="11"/>
  <c r="E238" i="11"/>
  <c r="G238" i="11"/>
  <c r="B239" i="11"/>
  <c r="C239" i="11"/>
  <c r="D239" i="11"/>
  <c r="E239" i="11"/>
  <c r="G239" i="11"/>
  <c r="A241" i="11"/>
  <c r="B241" i="11"/>
  <c r="C241" i="11"/>
  <c r="D241" i="11"/>
  <c r="B243" i="11"/>
  <c r="C243" i="11"/>
  <c r="D243" i="11"/>
  <c r="E243" i="11"/>
  <c r="G243" i="11"/>
  <c r="B244" i="11"/>
  <c r="C244" i="11"/>
  <c r="D244" i="11"/>
  <c r="E244" i="11"/>
  <c r="G244" i="11"/>
  <c r="B245" i="11"/>
  <c r="C245" i="11"/>
  <c r="D245" i="11"/>
  <c r="E245" i="11"/>
  <c r="G245" i="11"/>
  <c r="B248" i="11"/>
  <c r="C248" i="11"/>
  <c r="D248" i="11"/>
  <c r="E248" i="11"/>
  <c r="G248" i="11"/>
  <c r="B250" i="11"/>
  <c r="C250" i="11"/>
  <c r="D250" i="11"/>
  <c r="E250" i="11"/>
  <c r="G250" i="11"/>
  <c r="B251" i="11"/>
  <c r="C251" i="11"/>
  <c r="D251" i="11"/>
  <c r="E251" i="11"/>
  <c r="G251" i="11"/>
  <c r="A253" i="11"/>
  <c r="B253" i="11"/>
  <c r="C253" i="11"/>
  <c r="D253" i="11"/>
  <c r="B255" i="11"/>
  <c r="C255" i="11"/>
  <c r="D255" i="11"/>
  <c r="E255" i="11"/>
  <c r="G255" i="11"/>
  <c r="B256" i="11"/>
  <c r="C256" i="11"/>
  <c r="D256" i="11"/>
  <c r="E256" i="11"/>
  <c r="G256" i="11"/>
  <c r="B257" i="11"/>
  <c r="C257" i="11"/>
  <c r="D257" i="11"/>
  <c r="E257" i="11"/>
  <c r="G257" i="11"/>
  <c r="B258" i="11"/>
  <c r="C258" i="11"/>
  <c r="D258" i="11"/>
  <c r="E258" i="11"/>
  <c r="G258" i="11"/>
  <c r="B259" i="11"/>
  <c r="C259" i="11"/>
  <c r="D259" i="11"/>
  <c r="E259" i="11"/>
  <c r="G259" i="11"/>
  <c r="B260" i="11"/>
  <c r="C260" i="11"/>
  <c r="D260" i="11"/>
  <c r="E260" i="11"/>
  <c r="G260" i="11"/>
  <c r="E261" i="11"/>
  <c r="B264" i="11"/>
  <c r="C264" i="11"/>
  <c r="D264" i="11"/>
  <c r="E264" i="11"/>
  <c r="G264" i="11"/>
  <c r="B266" i="11"/>
  <c r="C266" i="11"/>
  <c r="D266" i="11"/>
  <c r="E266" i="11"/>
  <c r="G266" i="11"/>
  <c r="B267" i="11"/>
  <c r="C267" i="11"/>
  <c r="D267" i="11"/>
  <c r="E267" i="11"/>
  <c r="G267" i="11"/>
  <c r="B268" i="11"/>
  <c r="C268" i="11"/>
  <c r="D268" i="11"/>
  <c r="E268" i="11"/>
  <c r="G268" i="11"/>
  <c r="E269" i="11"/>
  <c r="A271" i="11"/>
  <c r="B271" i="11"/>
  <c r="C271" i="11"/>
  <c r="D271" i="11"/>
  <c r="B273" i="11"/>
  <c r="C273" i="11"/>
  <c r="D273" i="11"/>
  <c r="E273" i="11"/>
  <c r="G273" i="11"/>
  <c r="B274" i="11"/>
  <c r="C274" i="11"/>
  <c r="D274" i="11"/>
  <c r="E274" i="11"/>
  <c r="G274" i="11"/>
  <c r="B277" i="11"/>
  <c r="C277" i="11"/>
  <c r="D277" i="11"/>
  <c r="E277" i="11"/>
  <c r="G277" i="11"/>
  <c r="B279" i="11"/>
  <c r="C279" i="11"/>
  <c r="D279" i="11"/>
  <c r="E279" i="11"/>
  <c r="G279" i="11"/>
  <c r="A280" i="11"/>
  <c r="B280" i="11"/>
  <c r="C280" i="11"/>
  <c r="D280" i="11"/>
  <c r="B282" i="11"/>
  <c r="C282" i="11"/>
  <c r="D282" i="11"/>
  <c r="E282" i="11"/>
  <c r="G282" i="11"/>
  <c r="B283" i="11"/>
  <c r="C283" i="11"/>
  <c r="D283" i="11"/>
  <c r="E283" i="11"/>
  <c r="G283" i="11"/>
  <c r="B284" i="11"/>
  <c r="C284" i="11"/>
  <c r="D284" i="11"/>
  <c r="E284" i="11"/>
  <c r="G284" i="11"/>
  <c r="B285" i="11"/>
  <c r="C285" i="11"/>
  <c r="D285" i="11"/>
  <c r="E285" i="11"/>
  <c r="G285" i="11"/>
  <c r="E286" i="11"/>
  <c r="B289" i="11"/>
  <c r="C289" i="11"/>
  <c r="D289" i="11"/>
  <c r="E289" i="11"/>
  <c r="G289" i="11"/>
  <c r="B291" i="11"/>
  <c r="C291" i="11"/>
  <c r="D291" i="11"/>
  <c r="E291" i="11"/>
  <c r="G291" i="11"/>
  <c r="A292" i="11"/>
  <c r="B292" i="11"/>
  <c r="C292" i="11"/>
  <c r="D292" i="11"/>
  <c r="B294" i="11"/>
  <c r="C294" i="11"/>
  <c r="D294" i="11"/>
  <c r="E294" i="11"/>
  <c r="G294" i="11"/>
  <c r="B296" i="11"/>
  <c r="C296" i="11"/>
  <c r="D296" i="11"/>
  <c r="E296" i="11"/>
  <c r="G296" i="11"/>
  <c r="A297" i="11"/>
  <c r="B297" i="11"/>
  <c r="C297" i="11"/>
  <c r="D297" i="11"/>
  <c r="B299" i="11"/>
  <c r="C299" i="11"/>
  <c r="D299" i="11"/>
  <c r="E299" i="11"/>
  <c r="G299" i="11"/>
  <c r="B300" i="11"/>
  <c r="C300" i="11"/>
  <c r="D300" i="11"/>
  <c r="E300" i="11"/>
  <c r="G300" i="11"/>
  <c r="E301" i="11"/>
  <c r="B304" i="11"/>
  <c r="C304" i="11"/>
  <c r="D304" i="11"/>
  <c r="E304" i="11"/>
  <c r="G304" i="11"/>
  <c r="A305" i="11"/>
  <c r="B305" i="11"/>
  <c r="C305" i="11"/>
  <c r="D305" i="11"/>
  <c r="B307" i="11"/>
  <c r="C307" i="11"/>
  <c r="D307" i="11"/>
  <c r="E307" i="11"/>
  <c r="G307" i="11"/>
  <c r="B308" i="11"/>
  <c r="C308" i="11"/>
  <c r="D308" i="11"/>
  <c r="E308" i="11"/>
  <c r="G308" i="11"/>
  <c r="B311" i="11"/>
  <c r="C311" i="11"/>
  <c r="D311" i="11"/>
  <c r="E311" i="11"/>
  <c r="G311" i="11"/>
  <c r="B313" i="11"/>
  <c r="C313" i="11"/>
  <c r="D313" i="11"/>
  <c r="E313" i="11"/>
  <c r="G313" i="11"/>
  <c r="A314" i="11"/>
  <c r="B314" i="11"/>
  <c r="C314" i="11"/>
  <c r="D314" i="11"/>
  <c r="B316" i="11"/>
  <c r="C316" i="11"/>
  <c r="D316" i="11"/>
  <c r="E316" i="11"/>
  <c r="G316" i="11"/>
  <c r="B317" i="11"/>
  <c r="C317" i="11"/>
  <c r="D317" i="11"/>
  <c r="E317" i="11"/>
  <c r="G317" i="11"/>
  <c r="B318" i="11"/>
  <c r="C318" i="11"/>
  <c r="D318" i="11"/>
  <c r="E318" i="11"/>
  <c r="G318" i="11"/>
  <c r="B319" i="11"/>
  <c r="C319" i="11"/>
  <c r="D319" i="11"/>
  <c r="E319" i="11"/>
  <c r="G319" i="11"/>
  <c r="E320" i="11"/>
  <c r="B323" i="11"/>
  <c r="C323" i="11"/>
  <c r="D323" i="11"/>
  <c r="E323" i="11"/>
  <c r="G323" i="11"/>
  <c r="B325" i="11"/>
  <c r="C325" i="11"/>
  <c r="D325" i="11"/>
  <c r="E325" i="11"/>
  <c r="G325" i="11"/>
  <c r="A326" i="11"/>
  <c r="B326" i="11"/>
  <c r="C326" i="11"/>
  <c r="D326" i="11"/>
  <c r="B328" i="11"/>
  <c r="C328" i="11"/>
  <c r="D328" i="11"/>
  <c r="E328" i="11"/>
  <c r="G328" i="11"/>
  <c r="B330" i="11"/>
  <c r="C330" i="11"/>
  <c r="D330" i="11"/>
  <c r="E330" i="11"/>
  <c r="G330" i="11"/>
  <c r="A331" i="11"/>
  <c r="B331" i="11"/>
  <c r="C331" i="11"/>
  <c r="D331" i="11"/>
  <c r="B333" i="11"/>
  <c r="C333" i="11"/>
  <c r="D333" i="11"/>
  <c r="E333" i="11"/>
  <c r="G333" i="11"/>
  <c r="B334" i="11"/>
  <c r="C334" i="11"/>
  <c r="D334" i="11"/>
  <c r="E334" i="11"/>
  <c r="G334" i="11"/>
  <c r="B335" i="11"/>
  <c r="C335" i="11"/>
  <c r="D335" i="11"/>
  <c r="E335" i="11"/>
  <c r="G335" i="11"/>
  <c r="B336" i="11"/>
  <c r="C336" i="11"/>
  <c r="D336" i="11"/>
  <c r="E336" i="11"/>
  <c r="G336" i="11"/>
  <c r="E337" i="11"/>
  <c r="B340" i="11"/>
  <c r="C340" i="11"/>
  <c r="D340" i="11"/>
  <c r="E340" i="11"/>
  <c r="G340" i="11"/>
  <c r="B342" i="11"/>
  <c r="C342" i="11"/>
  <c r="D342" i="11"/>
  <c r="E342" i="11"/>
  <c r="G342" i="11"/>
  <c r="A343" i="11"/>
  <c r="B343" i="11"/>
  <c r="C343" i="11"/>
  <c r="D343" i="11"/>
  <c r="B345" i="11"/>
  <c r="C345" i="11"/>
  <c r="D345" i="11"/>
  <c r="E345" i="11"/>
  <c r="G345" i="11"/>
  <c r="B346" i="11"/>
  <c r="C346" i="11"/>
  <c r="D346" i="11"/>
  <c r="E346" i="11"/>
  <c r="G346" i="11"/>
  <c r="B347" i="11"/>
  <c r="C347" i="11"/>
  <c r="D347" i="11"/>
  <c r="E347" i="11"/>
  <c r="G347" i="11"/>
  <c r="E348" i="11"/>
  <c r="B351" i="11"/>
  <c r="C351" i="11"/>
  <c r="D351" i="11"/>
  <c r="E351" i="11"/>
  <c r="G351" i="11"/>
  <c r="B353" i="11"/>
  <c r="C353" i="11"/>
  <c r="D353" i="11"/>
  <c r="E353" i="11"/>
  <c r="G353" i="11"/>
  <c r="A354" i="11"/>
  <c r="B354" i="11"/>
  <c r="C354" i="11"/>
  <c r="D354" i="11"/>
  <c r="B356" i="11"/>
  <c r="C356" i="11"/>
  <c r="D356" i="11"/>
  <c r="E356" i="11"/>
  <c r="G356" i="11"/>
  <c r="B357" i="11"/>
  <c r="C357" i="11"/>
  <c r="D357" i="11"/>
  <c r="E357" i="11"/>
  <c r="G357" i="11"/>
  <c r="B358" i="11"/>
  <c r="C358" i="11"/>
  <c r="D358" i="11"/>
  <c r="E358" i="11"/>
  <c r="G358" i="11"/>
  <c r="B359" i="11"/>
  <c r="C359" i="11"/>
  <c r="D359" i="11"/>
  <c r="E359" i="11"/>
  <c r="G359" i="11"/>
  <c r="E360" i="11"/>
  <c r="B363" i="11"/>
  <c r="C363" i="11"/>
  <c r="D363" i="11"/>
  <c r="E363" i="11"/>
  <c r="G363" i="11"/>
  <c r="A364" i="11"/>
  <c r="B364" i="11"/>
  <c r="C364" i="11"/>
  <c r="D364" i="11"/>
  <c r="B366" i="11"/>
  <c r="C366" i="11"/>
  <c r="D366" i="11"/>
  <c r="E366" i="11"/>
  <c r="G366" i="11"/>
  <c r="B367" i="11"/>
  <c r="C367" i="11"/>
  <c r="D367" i="11"/>
  <c r="E367" i="11"/>
  <c r="G367" i="11"/>
  <c r="B368" i="11"/>
  <c r="C368" i="11"/>
  <c r="D368" i="11"/>
  <c r="E368" i="11"/>
  <c r="G368" i="11"/>
  <c r="B369" i="11"/>
  <c r="C369" i="11"/>
  <c r="D369" i="11"/>
  <c r="E369" i="11"/>
  <c r="G369" i="11"/>
  <c r="E370" i="11"/>
  <c r="B373" i="11"/>
  <c r="C373" i="11"/>
  <c r="D373" i="11"/>
  <c r="E373" i="11"/>
  <c r="G373" i="11"/>
  <c r="B375" i="11"/>
  <c r="C375" i="11"/>
  <c r="D375" i="11"/>
  <c r="E375" i="11"/>
  <c r="G375" i="11"/>
  <c r="B376" i="11"/>
  <c r="C376" i="11"/>
  <c r="D376" i="11"/>
  <c r="E376" i="11"/>
  <c r="G376" i="11"/>
  <c r="A378" i="11"/>
  <c r="B378" i="11"/>
  <c r="C378" i="11"/>
  <c r="D378" i="11"/>
  <c r="B380" i="11"/>
  <c r="D380" i="11"/>
  <c r="A381" i="11"/>
  <c r="B381" i="11"/>
  <c r="C381" i="11"/>
  <c r="D381" i="11"/>
  <c r="B383" i="11"/>
  <c r="C383" i="11"/>
  <c r="D383" i="11"/>
  <c r="E383" i="11"/>
  <c r="G383" i="11"/>
  <c r="B385" i="11"/>
  <c r="C385" i="11"/>
  <c r="D385" i="11"/>
  <c r="E385" i="11"/>
  <c r="G385" i="11"/>
  <c r="A386" i="11"/>
  <c r="B386" i="11"/>
  <c r="C386" i="11"/>
  <c r="D386" i="11"/>
  <c r="B388" i="11"/>
  <c r="C388" i="11"/>
  <c r="D388" i="11"/>
  <c r="E388" i="11"/>
  <c r="G388" i="11"/>
  <c r="A389" i="11"/>
  <c r="B389" i="11"/>
  <c r="C389" i="11"/>
  <c r="D389" i="11"/>
  <c r="B391" i="11"/>
  <c r="C391" i="11"/>
  <c r="D391" i="11"/>
  <c r="E391" i="11"/>
  <c r="G391" i="11"/>
  <c r="B393" i="11"/>
  <c r="C393" i="11"/>
  <c r="D393" i="11"/>
  <c r="E393" i="11"/>
  <c r="G393" i="11"/>
  <c r="B394" i="11"/>
  <c r="C394" i="11"/>
  <c r="D394" i="11"/>
  <c r="E394" i="11"/>
  <c r="G394" i="11"/>
  <c r="E395" i="11"/>
  <c r="A397" i="11"/>
  <c r="B397" i="11"/>
  <c r="C397" i="11"/>
  <c r="D397" i="11"/>
  <c r="B399" i="11"/>
  <c r="C399" i="11"/>
  <c r="D399" i="11"/>
  <c r="E399" i="11"/>
  <c r="G399" i="11"/>
  <c r="A400" i="11"/>
  <c r="B400" i="11"/>
  <c r="C400" i="11"/>
  <c r="D400" i="11"/>
  <c r="B402" i="11"/>
  <c r="C402" i="11"/>
  <c r="D402" i="11"/>
  <c r="E402" i="11"/>
  <c r="G402" i="11"/>
  <c r="B403" i="11"/>
  <c r="C403" i="11"/>
  <c r="D403" i="11"/>
  <c r="E403" i="11"/>
  <c r="G403" i="11"/>
  <c r="B406" i="11"/>
  <c r="C406" i="11"/>
  <c r="D406" i="11"/>
  <c r="E406" i="11"/>
  <c r="G406" i="11"/>
  <c r="A407" i="11"/>
  <c r="B407" i="11"/>
  <c r="C407" i="11"/>
  <c r="D407" i="11"/>
  <c r="B409" i="11"/>
  <c r="C409" i="11"/>
  <c r="D409" i="11"/>
  <c r="E409" i="11"/>
  <c r="G409" i="11"/>
  <c r="E410" i="11"/>
  <c r="B413" i="11"/>
  <c r="C413" i="11"/>
  <c r="D413" i="11"/>
  <c r="E413" i="11"/>
  <c r="G413" i="11"/>
  <c r="B415" i="11"/>
  <c r="C415" i="11"/>
  <c r="D415" i="11"/>
  <c r="E415" i="11"/>
  <c r="G415" i="11"/>
  <c r="E416" i="11"/>
  <c r="A418" i="11"/>
  <c r="B418" i="11"/>
  <c r="C418" i="11"/>
  <c r="D418" i="11"/>
  <c r="B420" i="11"/>
  <c r="D420" i="11"/>
  <c r="B422" i="11"/>
  <c r="D422" i="11"/>
  <c r="A423" i="11"/>
  <c r="B423" i="11"/>
  <c r="C423" i="11"/>
  <c r="D423" i="11"/>
  <c r="B425" i="11"/>
  <c r="C425" i="11"/>
  <c r="D425" i="11"/>
  <c r="E425" i="11"/>
  <c r="G425" i="11"/>
  <c r="B426" i="11"/>
  <c r="C426" i="11"/>
  <c r="D426" i="11"/>
  <c r="E426" i="11"/>
  <c r="G426" i="11"/>
  <c r="B429" i="11"/>
  <c r="C429" i="11"/>
  <c r="D429" i="11"/>
  <c r="E429" i="11"/>
  <c r="G429" i="11"/>
  <c r="A430" i="11"/>
  <c r="B430" i="11"/>
  <c r="C430" i="11"/>
  <c r="D430" i="11"/>
  <c r="B432" i="11"/>
  <c r="C432" i="11"/>
  <c r="D432" i="11"/>
  <c r="E432" i="11"/>
  <c r="G432" i="11"/>
  <c r="B433" i="11"/>
  <c r="C433" i="11"/>
  <c r="D433" i="11"/>
  <c r="E433" i="11"/>
  <c r="G433" i="11"/>
  <c r="B434" i="11"/>
  <c r="C434" i="11"/>
  <c r="D434" i="11"/>
  <c r="E434" i="11"/>
  <c r="G434" i="11"/>
  <c r="B437" i="11"/>
  <c r="C437" i="11"/>
  <c r="D437" i="11"/>
  <c r="E437" i="11"/>
  <c r="G437" i="11"/>
  <c r="A438" i="11"/>
  <c r="B438" i="11"/>
  <c r="C438" i="11"/>
  <c r="D438" i="11"/>
  <c r="B440" i="11"/>
  <c r="C440" i="11"/>
  <c r="D440" i="11"/>
  <c r="E440" i="11"/>
  <c r="G440" i="11"/>
  <c r="B442" i="11"/>
  <c r="C442" i="11"/>
  <c r="D442" i="11"/>
  <c r="E442" i="11"/>
  <c r="G442" i="11"/>
  <c r="B443" i="11"/>
  <c r="C443" i="11"/>
  <c r="D443" i="11"/>
  <c r="E443" i="11"/>
  <c r="G443" i="11"/>
  <c r="A445" i="11"/>
  <c r="B445" i="11"/>
  <c r="C445" i="11"/>
  <c r="D445" i="11"/>
  <c r="B447" i="11"/>
  <c r="D447" i="11"/>
  <c r="A448" i="11"/>
  <c r="B448" i="11"/>
  <c r="C448" i="11"/>
  <c r="D448" i="11"/>
  <c r="B450" i="11"/>
  <c r="C450" i="11"/>
  <c r="D450" i="11"/>
  <c r="E450" i="11"/>
  <c r="G450" i="11"/>
  <c r="B452" i="11"/>
  <c r="C452" i="11"/>
  <c r="D452" i="11"/>
  <c r="E452" i="11"/>
  <c r="G452" i="11"/>
  <c r="B454" i="11"/>
  <c r="C454" i="11"/>
  <c r="D454" i="11"/>
  <c r="E454" i="11"/>
  <c r="G454" i="11"/>
  <c r="A455" i="11"/>
  <c r="B455" i="11"/>
  <c r="C455" i="11"/>
  <c r="D455" i="11"/>
  <c r="B457" i="11"/>
  <c r="D457" i="11"/>
  <c r="A458" i="11"/>
  <c r="B458" i="11"/>
  <c r="C458" i="11"/>
  <c r="D458" i="11"/>
  <c r="B460" i="11"/>
  <c r="C460" i="11"/>
  <c r="D460" i="11"/>
  <c r="E460" i="11"/>
  <c r="G460" i="11"/>
  <c r="B462" i="11"/>
  <c r="C462" i="11"/>
  <c r="D462" i="11"/>
  <c r="E462" i="11"/>
  <c r="G462" i="11"/>
  <c r="B463" i="11"/>
  <c r="C463" i="11"/>
  <c r="D463" i="11"/>
  <c r="E463" i="11"/>
  <c r="G463" i="11"/>
  <c r="A465" i="11"/>
  <c r="B465" i="11"/>
  <c r="C465" i="11"/>
  <c r="D465" i="11"/>
  <c r="B467" i="11"/>
  <c r="C467" i="11"/>
  <c r="D467" i="11"/>
  <c r="E467" i="11"/>
  <c r="G467" i="11"/>
  <c r="B469" i="11"/>
  <c r="C469" i="11"/>
  <c r="D469" i="11"/>
  <c r="E469" i="11"/>
  <c r="G469" i="11"/>
  <c r="B471" i="11"/>
  <c r="C471" i="11"/>
  <c r="D471" i="11"/>
  <c r="E471" i="11"/>
  <c r="G471" i="11"/>
  <c r="A472" i="11"/>
  <c r="B472" i="11"/>
  <c r="C472" i="11"/>
  <c r="D472" i="11"/>
  <c r="B474" i="11"/>
  <c r="C474" i="11"/>
  <c r="D474" i="11"/>
  <c r="E474" i="11"/>
  <c r="G474" i="11"/>
  <c r="A475" i="11"/>
  <c r="B475" i="11"/>
  <c r="C475" i="11"/>
  <c r="D475" i="11"/>
  <c r="B477" i="11"/>
  <c r="D477" i="11"/>
  <c r="B479" i="11"/>
  <c r="D479" i="11"/>
  <c r="A480" i="11"/>
  <c r="B480" i="11"/>
  <c r="C480" i="11"/>
  <c r="D480" i="11"/>
  <c r="B482" i="11"/>
  <c r="C482" i="11"/>
  <c r="D482" i="11"/>
  <c r="E482" i="11"/>
  <c r="G482" i="11"/>
  <c r="B484" i="11"/>
  <c r="C484" i="11"/>
  <c r="D484" i="11"/>
  <c r="E484" i="11"/>
  <c r="G484" i="11"/>
  <c r="A485" i="11"/>
  <c r="B485" i="11"/>
  <c r="C485" i="11"/>
  <c r="D485" i="11"/>
  <c r="B487" i="11"/>
  <c r="C487" i="11"/>
  <c r="D487" i="11"/>
  <c r="E487" i="11"/>
  <c r="G487" i="11"/>
  <c r="A488" i="11"/>
  <c r="B488" i="11"/>
  <c r="C488" i="11"/>
  <c r="D488" i="11"/>
  <c r="B490" i="11"/>
  <c r="C490" i="11"/>
  <c r="D490" i="11"/>
  <c r="E490" i="11"/>
  <c r="G490" i="11"/>
  <c r="B491" i="11"/>
  <c r="C491" i="11"/>
  <c r="D491" i="11"/>
  <c r="E491" i="11"/>
  <c r="G491" i="11"/>
  <c r="B492" i="11"/>
  <c r="C492" i="11"/>
  <c r="D492" i="11"/>
  <c r="E492" i="11"/>
  <c r="G492" i="11"/>
  <c r="E493" i="11"/>
  <c r="B496" i="11"/>
  <c r="C496" i="11"/>
  <c r="D496" i="11"/>
  <c r="E496" i="11"/>
  <c r="G496" i="11"/>
  <c r="A497" i="11"/>
  <c r="B497" i="11"/>
  <c r="C497" i="11"/>
  <c r="D497" i="11"/>
  <c r="B499" i="11"/>
  <c r="C499" i="11"/>
  <c r="D499" i="11"/>
  <c r="E499" i="11"/>
  <c r="G499" i="11"/>
  <c r="A500" i="11"/>
  <c r="B500" i="11"/>
  <c r="C500" i="11"/>
  <c r="D500" i="11"/>
  <c r="B502" i="11"/>
  <c r="C502" i="11"/>
  <c r="D502" i="11"/>
  <c r="E502" i="11"/>
  <c r="G502" i="11"/>
  <c r="E503" i="11"/>
  <c r="B506" i="11"/>
  <c r="C506" i="11"/>
  <c r="D506" i="11"/>
  <c r="E506" i="11"/>
  <c r="G506" i="11"/>
  <c r="A507" i="11"/>
  <c r="B507" i="11"/>
  <c r="C507" i="11"/>
  <c r="D507" i="11"/>
  <c r="B509" i="11"/>
  <c r="C509" i="11"/>
  <c r="D509" i="11"/>
  <c r="E509" i="11"/>
  <c r="G509" i="11"/>
  <c r="B510" i="11"/>
  <c r="C510" i="11"/>
  <c r="D510" i="11"/>
  <c r="E510" i="11"/>
  <c r="G510" i="11"/>
  <c r="B513" i="11"/>
  <c r="C513" i="11"/>
  <c r="D513" i="11"/>
  <c r="E513" i="11"/>
  <c r="G513" i="11"/>
  <c r="A514" i="11"/>
  <c r="B514" i="11"/>
  <c r="C514" i="11"/>
  <c r="D514" i="11"/>
  <c r="B516" i="11"/>
  <c r="C516" i="11"/>
  <c r="D516" i="11"/>
  <c r="E516" i="11"/>
  <c r="G516" i="11"/>
  <c r="B517" i="11"/>
  <c r="C517" i="11"/>
  <c r="D517" i="11"/>
  <c r="E517" i="11"/>
  <c r="G517" i="11"/>
  <c r="B518" i="11"/>
  <c r="C518" i="11"/>
  <c r="D518" i="11"/>
  <c r="E518" i="11"/>
  <c r="G518" i="11"/>
  <c r="B519" i="11"/>
  <c r="C519" i="11"/>
  <c r="D519" i="11"/>
  <c r="E519" i="11"/>
  <c r="G519" i="11"/>
  <c r="E520" i="11"/>
  <c r="B523" i="11"/>
  <c r="C523" i="11"/>
  <c r="D523" i="11"/>
  <c r="E523" i="11"/>
  <c r="G523" i="11"/>
  <c r="A524" i="11"/>
  <c r="B524" i="11"/>
  <c r="C524" i="11"/>
  <c r="D524" i="11"/>
  <c r="B526" i="11"/>
  <c r="C526" i="11"/>
  <c r="D526" i="11"/>
  <c r="E526" i="11"/>
  <c r="G526" i="11"/>
  <c r="B527" i="11"/>
  <c r="C527" i="11"/>
  <c r="D527" i="11"/>
  <c r="E527" i="11"/>
  <c r="G527" i="11"/>
  <c r="B528" i="11"/>
  <c r="C528" i="11"/>
  <c r="D528" i="11"/>
  <c r="E528" i="11"/>
  <c r="G528" i="11"/>
  <c r="B529" i="11"/>
  <c r="C529" i="11"/>
  <c r="D529" i="11"/>
  <c r="E529" i="11"/>
  <c r="G529" i="11"/>
  <c r="E530" i="11"/>
  <c r="B533" i="11"/>
  <c r="C533" i="11"/>
  <c r="D533" i="11"/>
  <c r="E533" i="11"/>
  <c r="G533" i="11"/>
  <c r="B535" i="11"/>
  <c r="C535" i="11"/>
  <c r="D535" i="11"/>
  <c r="E535" i="11"/>
  <c r="G535" i="11"/>
  <c r="B536" i="11"/>
  <c r="C536" i="11"/>
  <c r="D536" i="11"/>
  <c r="E536" i="11"/>
  <c r="G536" i="11"/>
  <c r="A538" i="11"/>
  <c r="B538" i="11"/>
  <c r="C538" i="11"/>
  <c r="D538" i="11"/>
  <c r="B540" i="11"/>
  <c r="C540" i="11"/>
  <c r="D540" i="11"/>
  <c r="E540" i="11"/>
  <c r="G540" i="11"/>
  <c r="B541" i="11"/>
  <c r="C541" i="11"/>
  <c r="D541" i="11"/>
  <c r="E541" i="11"/>
  <c r="G541" i="11"/>
  <c r="B542" i="11"/>
  <c r="C542" i="11"/>
  <c r="D542" i="11"/>
  <c r="E542" i="11"/>
  <c r="G542" i="11"/>
  <c r="E543" i="11"/>
  <c r="B546" i="11"/>
  <c r="C546" i="11"/>
  <c r="D546" i="11"/>
  <c r="E546" i="11"/>
  <c r="G546" i="11"/>
  <c r="B548" i="11"/>
  <c r="C548" i="11"/>
  <c r="D548" i="11"/>
  <c r="E548" i="11"/>
  <c r="G548" i="11"/>
  <c r="A549" i="11"/>
  <c r="B549" i="11"/>
  <c r="C549" i="11"/>
  <c r="D549" i="11"/>
  <c r="B551" i="11"/>
  <c r="C551" i="11"/>
  <c r="D551" i="11"/>
  <c r="E551" i="11"/>
  <c r="G551" i="11"/>
  <c r="B552" i="11"/>
  <c r="C552" i="11"/>
  <c r="D552" i="11"/>
  <c r="E552" i="11"/>
  <c r="G552" i="11"/>
  <c r="B553" i="11"/>
  <c r="C553" i="11"/>
  <c r="D553" i="11"/>
  <c r="E553" i="11"/>
  <c r="G553" i="11"/>
  <c r="B554" i="11"/>
  <c r="C554" i="11"/>
  <c r="D554" i="11"/>
  <c r="E554" i="11"/>
  <c r="G554" i="11"/>
  <c r="E555" i="11"/>
  <c r="B558" i="11"/>
  <c r="C558" i="11"/>
  <c r="D558" i="11"/>
  <c r="E558" i="11"/>
  <c r="G558" i="11"/>
  <c r="A559" i="11"/>
  <c r="B559" i="11"/>
  <c r="C559" i="11"/>
  <c r="D559" i="11"/>
  <c r="B561" i="11"/>
  <c r="C561" i="11"/>
  <c r="D561" i="11"/>
  <c r="E561" i="11"/>
  <c r="G561" i="11"/>
  <c r="B562" i="11"/>
  <c r="C562" i="11"/>
  <c r="D562" i="11"/>
  <c r="E562" i="11"/>
  <c r="G562" i="11"/>
  <c r="B563" i="11"/>
  <c r="C563" i="11"/>
  <c r="D563" i="11"/>
  <c r="E563" i="11"/>
  <c r="G563" i="11"/>
  <c r="B564" i="11"/>
  <c r="C564" i="11"/>
  <c r="D564" i="11"/>
  <c r="E564" i="11"/>
  <c r="G564" i="11"/>
  <c r="E565" i="11"/>
  <c r="B568" i="11"/>
  <c r="C568" i="11"/>
  <c r="D568" i="11"/>
  <c r="E568" i="11"/>
  <c r="G568" i="11"/>
  <c r="B570" i="11"/>
  <c r="C570" i="11"/>
  <c r="D570" i="11"/>
  <c r="E570" i="11"/>
  <c r="G570" i="11"/>
  <c r="B571" i="11"/>
  <c r="C571" i="11"/>
  <c r="D571" i="11"/>
  <c r="E571" i="11"/>
  <c r="G571" i="11"/>
  <c r="A573" i="11"/>
  <c r="B573" i="11"/>
  <c r="C573" i="11"/>
  <c r="D573" i="11"/>
  <c r="B575" i="11"/>
  <c r="C575" i="11"/>
  <c r="D575" i="11"/>
  <c r="E575" i="11"/>
  <c r="G575" i="11"/>
  <c r="B576" i="11"/>
  <c r="C576" i="11"/>
  <c r="D576" i="11"/>
  <c r="E576" i="11"/>
  <c r="G576" i="11"/>
  <c r="B579" i="11"/>
  <c r="C579" i="11"/>
  <c r="D579" i="11"/>
  <c r="E579" i="11"/>
  <c r="G579" i="11"/>
  <c r="B581" i="11"/>
  <c r="C581" i="11"/>
  <c r="D581" i="11"/>
  <c r="E581" i="11"/>
  <c r="G581" i="11"/>
  <c r="A582" i="11"/>
  <c r="B582" i="11"/>
  <c r="C582" i="11"/>
  <c r="D582" i="11"/>
  <c r="B584" i="11"/>
  <c r="C584" i="11"/>
  <c r="D584" i="11"/>
  <c r="E584" i="11"/>
  <c r="G584" i="11"/>
  <c r="B585" i="11"/>
  <c r="C585" i="11"/>
  <c r="D585" i="11"/>
  <c r="E585" i="11"/>
  <c r="G585" i="11"/>
  <c r="B586" i="11"/>
  <c r="C586" i="11"/>
  <c r="D586" i="11"/>
  <c r="E586" i="11"/>
  <c r="G586" i="11"/>
  <c r="B589" i="11"/>
  <c r="C589" i="11"/>
  <c r="D589" i="11"/>
  <c r="E589" i="11"/>
  <c r="G589" i="11"/>
  <c r="B591" i="11"/>
  <c r="C591" i="11"/>
  <c r="D591" i="11"/>
  <c r="E591" i="11"/>
  <c r="G591" i="11"/>
  <c r="B592" i="11"/>
  <c r="C592" i="11"/>
  <c r="D592" i="11"/>
  <c r="E592" i="11"/>
  <c r="G592" i="11"/>
  <c r="A594" i="11"/>
  <c r="B594" i="11"/>
  <c r="C594" i="11"/>
  <c r="D594" i="11"/>
  <c r="B596" i="11"/>
  <c r="C596" i="11"/>
  <c r="D596" i="11"/>
  <c r="E596" i="11"/>
  <c r="G596" i="11"/>
  <c r="A597" i="11"/>
  <c r="B597" i="11"/>
  <c r="C597" i="11"/>
  <c r="D597" i="11"/>
  <c r="B599" i="11"/>
  <c r="C599" i="11"/>
  <c r="D599" i="11"/>
  <c r="E599" i="11"/>
  <c r="G599" i="11"/>
  <c r="A2" i="12"/>
  <c r="A3" i="12"/>
  <c r="F4" i="12"/>
  <c r="I4" i="12"/>
  <c r="L4" i="12"/>
  <c r="B6" i="12"/>
  <c r="C6" i="12"/>
  <c r="C42" i="12" s="1"/>
  <c r="D6" i="12"/>
  <c r="E6" i="12"/>
  <c r="I10" i="12" s="1"/>
  <c r="C7" i="12"/>
  <c r="A8" i="12"/>
  <c r="B8" i="12"/>
  <c r="C8" i="12"/>
  <c r="D8" i="12"/>
  <c r="E8" i="12"/>
  <c r="F8" i="12"/>
  <c r="C9" i="12"/>
  <c r="A10" i="12"/>
  <c r="B10" i="12"/>
  <c r="C10" i="12"/>
  <c r="D10" i="12"/>
  <c r="F10" i="12"/>
  <c r="C11" i="12"/>
  <c r="A12" i="12"/>
  <c r="B12" i="12"/>
  <c r="C12" i="12"/>
  <c r="D12" i="12"/>
  <c r="E12" i="12"/>
  <c r="F12" i="12"/>
  <c r="C13" i="12"/>
  <c r="A14" i="12"/>
  <c r="B14" i="12"/>
  <c r="C14" i="12"/>
  <c r="D14" i="12"/>
  <c r="G14" i="12"/>
  <c r="H14" i="12"/>
  <c r="C15" i="12"/>
  <c r="A16" i="12"/>
  <c r="B16" i="12"/>
  <c r="C16" i="12"/>
  <c r="D16" i="12"/>
  <c r="C17" i="12"/>
  <c r="A18" i="12"/>
  <c r="B18" i="12"/>
  <c r="C18" i="12"/>
  <c r="D18" i="12"/>
  <c r="E18" i="12"/>
  <c r="F18" i="12"/>
  <c r="G18" i="12"/>
  <c r="J18" i="12" s="1"/>
  <c r="C19" i="12"/>
  <c r="A21" i="12"/>
  <c r="B21" i="12"/>
  <c r="C21" i="12"/>
  <c r="D21" i="12"/>
  <c r="E21" i="12"/>
  <c r="F21" i="12"/>
  <c r="I21" i="12" s="1"/>
  <c r="G21" i="12"/>
  <c r="A23" i="12"/>
  <c r="B23" i="12"/>
  <c r="C23" i="12"/>
  <c r="D23" i="12"/>
  <c r="F23" i="12"/>
  <c r="G23" i="12"/>
  <c r="C24" i="12"/>
  <c r="A26" i="12"/>
  <c r="B26" i="12"/>
  <c r="C26" i="12"/>
  <c r="D26" i="12"/>
  <c r="F26" i="12"/>
  <c r="G26" i="12"/>
  <c r="C28" i="12"/>
  <c r="A29" i="12"/>
  <c r="B29" i="12"/>
  <c r="C29" i="12"/>
  <c r="D29" i="12"/>
  <c r="E29" i="12"/>
  <c r="H29" i="12"/>
  <c r="K29" i="12"/>
  <c r="C30" i="12"/>
  <c r="A31" i="12"/>
  <c r="B31" i="12"/>
  <c r="C31" i="12"/>
  <c r="D31" i="12"/>
  <c r="E31" i="12"/>
  <c r="C32" i="12"/>
  <c r="A33" i="12"/>
  <c r="B33" i="12"/>
  <c r="C33" i="12"/>
  <c r="D33" i="12"/>
  <c r="E33" i="12"/>
  <c r="C34" i="12"/>
  <c r="C35" i="12"/>
  <c r="A36" i="12"/>
  <c r="B36" i="12"/>
  <c r="C36" i="12"/>
  <c r="D36" i="12"/>
  <c r="C37" i="12"/>
  <c r="A38" i="12"/>
  <c r="B38" i="12"/>
  <c r="C38" i="12"/>
  <c r="D38" i="12"/>
  <c r="E38" i="12"/>
  <c r="C39" i="12"/>
  <c r="A40" i="12"/>
  <c r="B40" i="12"/>
  <c r="C40" i="12"/>
  <c r="D40" i="12"/>
  <c r="E40" i="12"/>
  <c r="C41" i="12"/>
  <c r="B43" i="12"/>
  <c r="C43" i="12"/>
  <c r="C172" i="12"/>
  <c r="D43" i="12"/>
  <c r="E43" i="12"/>
  <c r="C44" i="12"/>
  <c r="C45" i="12"/>
  <c r="A46" i="12"/>
  <c r="B46" i="12"/>
  <c r="C46" i="12"/>
  <c r="D46" i="12"/>
  <c r="E46" i="12"/>
  <c r="F46" i="12"/>
  <c r="C47" i="12"/>
  <c r="A48" i="12"/>
  <c r="B48" i="12"/>
  <c r="C48" i="12"/>
  <c r="D48" i="12"/>
  <c r="E48" i="12"/>
  <c r="F48" i="12"/>
  <c r="H48" i="12"/>
  <c r="C49" i="12"/>
  <c r="A50" i="12"/>
  <c r="B50" i="12"/>
  <c r="C50" i="12"/>
  <c r="D50" i="12"/>
  <c r="F50" i="12"/>
  <c r="C51" i="12"/>
  <c r="A52" i="12"/>
  <c r="B52" i="12"/>
  <c r="C52" i="12"/>
  <c r="D52" i="12"/>
  <c r="E52" i="12"/>
  <c r="F52" i="12"/>
  <c r="I52" i="12" s="1"/>
  <c r="G52" i="12"/>
  <c r="C53" i="12"/>
  <c r="A54" i="12"/>
  <c r="B54" i="12"/>
  <c r="C54" i="12"/>
  <c r="D54" i="12"/>
  <c r="E54" i="12"/>
  <c r="F54" i="12"/>
  <c r="G54" i="12"/>
  <c r="A56" i="12"/>
  <c r="B56" i="12"/>
  <c r="C56" i="12"/>
  <c r="D56" i="12"/>
  <c r="E56" i="12"/>
  <c r="H56" i="12"/>
  <c r="C57" i="12"/>
  <c r="A58" i="12"/>
  <c r="B58" i="12"/>
  <c r="C58" i="12"/>
  <c r="D58" i="12"/>
  <c r="E58" i="12"/>
  <c r="H58" i="12"/>
  <c r="K58" i="12"/>
  <c r="C59" i="12"/>
  <c r="A60" i="12"/>
  <c r="B60" i="12"/>
  <c r="C60" i="12"/>
  <c r="D60" i="12"/>
  <c r="C61" i="12"/>
  <c r="A62" i="12"/>
  <c r="B62" i="12"/>
  <c r="C62" i="12"/>
  <c r="D62" i="12"/>
  <c r="E62" i="12"/>
  <c r="C63" i="12"/>
  <c r="A64" i="12"/>
  <c r="B64" i="12"/>
  <c r="C64" i="12"/>
  <c r="D64" i="12"/>
  <c r="C65" i="12"/>
  <c r="A66" i="12"/>
  <c r="B66" i="12"/>
  <c r="C66" i="12"/>
  <c r="D66" i="12"/>
  <c r="E66" i="12"/>
  <c r="C67" i="12"/>
  <c r="A68" i="12"/>
  <c r="B68" i="12"/>
  <c r="C68" i="12"/>
  <c r="D68" i="12"/>
  <c r="E68" i="12"/>
  <c r="H68" i="12"/>
  <c r="C69" i="12"/>
  <c r="A70" i="12"/>
  <c r="B70" i="12"/>
  <c r="C70" i="12"/>
  <c r="D70" i="12"/>
  <c r="E70" i="12"/>
  <c r="C71" i="12"/>
  <c r="A72" i="12"/>
  <c r="B72" i="12"/>
  <c r="C72" i="12"/>
  <c r="D72" i="12"/>
  <c r="C73" i="12"/>
  <c r="A74" i="12"/>
  <c r="B74" i="12"/>
  <c r="C74" i="12"/>
  <c r="D74" i="12"/>
  <c r="C75" i="12"/>
  <c r="C76" i="12"/>
  <c r="A77" i="12"/>
  <c r="B77" i="12"/>
  <c r="C77" i="12"/>
  <c r="D77" i="12"/>
  <c r="E77" i="12"/>
  <c r="C78" i="12"/>
  <c r="C79" i="12"/>
  <c r="A80" i="12"/>
  <c r="B80" i="12"/>
  <c r="C80" i="12"/>
  <c r="D80" i="12"/>
  <c r="E80" i="12"/>
  <c r="C81" i="12"/>
  <c r="A82" i="12"/>
  <c r="B82" i="12"/>
  <c r="C82" i="12"/>
  <c r="D82" i="12"/>
  <c r="E82" i="12"/>
  <c r="I82" i="12" s="1"/>
  <c r="F82" i="12"/>
  <c r="C83" i="12"/>
  <c r="C84" i="12"/>
  <c r="C85" i="12"/>
  <c r="A86" i="12"/>
  <c r="B86" i="12"/>
  <c r="C86" i="12"/>
  <c r="D86" i="12"/>
  <c r="E86" i="12"/>
  <c r="H86" i="12"/>
  <c r="C87" i="12"/>
  <c r="A88" i="12"/>
  <c r="B88" i="12"/>
  <c r="C88" i="12"/>
  <c r="D88" i="12"/>
  <c r="C89" i="12"/>
  <c r="A90" i="12"/>
  <c r="B90" i="12"/>
  <c r="C90" i="12"/>
  <c r="D90" i="12"/>
  <c r="C91" i="12"/>
  <c r="A92" i="12"/>
  <c r="B92" i="12"/>
  <c r="C92" i="12"/>
  <c r="D92" i="12"/>
  <c r="F92" i="12"/>
  <c r="C93" i="12"/>
  <c r="C94" i="12"/>
  <c r="A95" i="12"/>
  <c r="B95" i="12"/>
  <c r="C95" i="12"/>
  <c r="D95" i="12"/>
  <c r="E95" i="12"/>
  <c r="C96" i="12"/>
  <c r="A97" i="12"/>
  <c r="B97" i="12"/>
  <c r="C97" i="12"/>
  <c r="D97" i="12"/>
  <c r="E97" i="12"/>
  <c r="C98" i="12"/>
  <c r="A99" i="12"/>
  <c r="B99" i="12"/>
  <c r="C99" i="12"/>
  <c r="D99" i="12"/>
  <c r="E99" i="12"/>
  <c r="H99" i="12"/>
  <c r="C100" i="12"/>
  <c r="A101" i="12"/>
  <c r="B101" i="12"/>
  <c r="C101" i="12"/>
  <c r="D101" i="12"/>
  <c r="E101" i="12"/>
  <c r="C102" i="12"/>
  <c r="A103" i="12"/>
  <c r="B103" i="12"/>
  <c r="C103" i="12"/>
  <c r="D103" i="12"/>
  <c r="E103" i="12"/>
  <c r="G103" i="12"/>
  <c r="H103" i="12"/>
  <c r="C104" i="12"/>
  <c r="C105" i="12"/>
  <c r="A106" i="12"/>
  <c r="B106" i="12"/>
  <c r="C106" i="12"/>
  <c r="D106" i="12"/>
  <c r="E106" i="12"/>
  <c r="F106" i="12"/>
  <c r="C107" i="12"/>
  <c r="A108" i="12"/>
  <c r="B108" i="12"/>
  <c r="C108" i="12"/>
  <c r="D108" i="12"/>
  <c r="F108" i="12"/>
  <c r="H108" i="12"/>
  <c r="C109" i="12"/>
  <c r="A110" i="12"/>
  <c r="B110" i="12"/>
  <c r="C110" i="12"/>
  <c r="D110" i="12"/>
  <c r="E110" i="12"/>
  <c r="F110" i="12"/>
  <c r="C111" i="12"/>
  <c r="A112" i="12"/>
  <c r="B112" i="12"/>
  <c r="C112" i="12"/>
  <c r="D112" i="12"/>
  <c r="E112" i="12"/>
  <c r="F112" i="12"/>
  <c r="G112" i="12"/>
  <c r="C113" i="12"/>
  <c r="A114" i="12"/>
  <c r="B114" i="12"/>
  <c r="C114" i="12"/>
  <c r="D114" i="12"/>
  <c r="E114" i="12"/>
  <c r="H114" i="12"/>
  <c r="C115" i="12"/>
  <c r="A116" i="12"/>
  <c r="B116" i="12"/>
  <c r="C116" i="12"/>
  <c r="D116" i="12"/>
  <c r="E116" i="12"/>
  <c r="C117" i="12"/>
  <c r="A118" i="12"/>
  <c r="B118" i="12"/>
  <c r="C118" i="12"/>
  <c r="D118" i="12"/>
  <c r="E118" i="12"/>
  <c r="H118" i="12"/>
  <c r="K118" i="12"/>
  <c r="C119" i="12"/>
  <c r="A120" i="12"/>
  <c r="B120" i="12"/>
  <c r="C120" i="12"/>
  <c r="D120" i="12"/>
  <c r="E120" i="12"/>
  <c r="H120" i="12"/>
  <c r="C121" i="12"/>
  <c r="A122" i="12"/>
  <c r="B122" i="12"/>
  <c r="C122" i="12"/>
  <c r="D122" i="12"/>
  <c r="H122" i="12"/>
  <c r="C123" i="12"/>
  <c r="C124" i="12"/>
  <c r="A125" i="12"/>
  <c r="B125" i="12"/>
  <c r="C125" i="12"/>
  <c r="D125" i="12"/>
  <c r="E125" i="12"/>
  <c r="F125" i="12"/>
  <c r="C126" i="12"/>
  <c r="A127" i="12"/>
  <c r="B127" i="12"/>
  <c r="C127" i="12"/>
  <c r="D127" i="12"/>
  <c r="E127" i="12"/>
  <c r="G127" i="12"/>
  <c r="H127" i="12"/>
  <c r="C128" i="12"/>
  <c r="A129" i="12"/>
  <c r="B129" i="12"/>
  <c r="C129" i="12"/>
  <c r="D129" i="12"/>
  <c r="E129" i="12"/>
  <c r="C130" i="12"/>
  <c r="A131" i="12"/>
  <c r="B131" i="12"/>
  <c r="C131" i="12"/>
  <c r="D131" i="12"/>
  <c r="E131" i="12"/>
  <c r="G131" i="12"/>
  <c r="H131" i="12"/>
  <c r="K131" i="12" s="1"/>
  <c r="C132" i="12"/>
  <c r="A133" i="12"/>
  <c r="B133" i="12"/>
  <c r="C133" i="12"/>
  <c r="D133" i="12"/>
  <c r="E133" i="12"/>
  <c r="F133" i="12"/>
  <c r="A135" i="12"/>
  <c r="B135" i="12"/>
  <c r="C135" i="12"/>
  <c r="D135" i="12"/>
  <c r="E135" i="12"/>
  <c r="A137" i="12"/>
  <c r="B137" i="12"/>
  <c r="C137" i="12"/>
  <c r="D137" i="12"/>
  <c r="E137" i="12"/>
  <c r="F137" i="12"/>
  <c r="G137" i="12"/>
  <c r="A139" i="12"/>
  <c r="B139" i="12"/>
  <c r="C139" i="12"/>
  <c r="D139" i="12"/>
  <c r="E139" i="12"/>
  <c r="F139" i="12"/>
  <c r="C140" i="12"/>
  <c r="C141" i="12"/>
  <c r="A142" i="12"/>
  <c r="B142" i="12"/>
  <c r="C142" i="12"/>
  <c r="D142" i="12"/>
  <c r="F142" i="12"/>
  <c r="C143" i="12"/>
  <c r="A144" i="12"/>
  <c r="B144" i="12"/>
  <c r="C144" i="12"/>
  <c r="D144" i="12"/>
  <c r="F144" i="12"/>
  <c r="H144" i="12"/>
  <c r="C145" i="12"/>
  <c r="A146" i="12"/>
  <c r="B146" i="12"/>
  <c r="C146" i="12"/>
  <c r="D146" i="12"/>
  <c r="E146" i="12"/>
  <c r="H146" i="12"/>
  <c r="C147" i="12"/>
  <c r="A148" i="12"/>
  <c r="B148" i="12"/>
  <c r="C148" i="12"/>
  <c r="D148" i="12"/>
  <c r="E148" i="12"/>
  <c r="F148" i="12"/>
  <c r="I148" i="12" s="1"/>
  <c r="H148" i="12"/>
  <c r="C149" i="12"/>
  <c r="A150" i="12"/>
  <c r="B150" i="12"/>
  <c r="C150" i="12"/>
  <c r="D150" i="12"/>
  <c r="E150" i="12"/>
  <c r="H150" i="12"/>
  <c r="C151" i="12"/>
  <c r="A152" i="12"/>
  <c r="B152" i="12"/>
  <c r="C152" i="12"/>
  <c r="D152" i="12"/>
  <c r="H152" i="12"/>
  <c r="C153" i="12"/>
  <c r="A154" i="12"/>
  <c r="B154" i="12"/>
  <c r="C154" i="12"/>
  <c r="D154" i="12"/>
  <c r="E154" i="12"/>
  <c r="H154" i="12"/>
  <c r="C155" i="12"/>
  <c r="A156" i="12"/>
  <c r="B156" i="12"/>
  <c r="C156" i="12"/>
  <c r="D156" i="12"/>
  <c r="E156" i="12"/>
  <c r="C157" i="12"/>
  <c r="A158" i="12"/>
  <c r="B158" i="12"/>
  <c r="C158" i="12"/>
  <c r="D158" i="12"/>
  <c r="C159" i="12"/>
  <c r="A160" i="12"/>
  <c r="B160" i="12"/>
  <c r="C160" i="12"/>
  <c r="D160" i="12"/>
  <c r="H160" i="12"/>
  <c r="C161" i="12"/>
  <c r="A162" i="12"/>
  <c r="B162" i="12"/>
  <c r="C162" i="12"/>
  <c r="D162" i="12"/>
  <c r="E162" i="12"/>
  <c r="C163" i="12"/>
  <c r="A164" i="12"/>
  <c r="B164" i="12"/>
  <c r="C164" i="12"/>
  <c r="D164" i="12"/>
  <c r="E164" i="12"/>
  <c r="C165" i="12"/>
  <c r="A166" i="12"/>
  <c r="B166" i="12"/>
  <c r="C166" i="12"/>
  <c r="D166" i="12"/>
  <c r="E166" i="12"/>
  <c r="C167" i="12"/>
  <c r="A168" i="12"/>
  <c r="B168" i="12"/>
  <c r="C168" i="12"/>
  <c r="D168" i="12"/>
  <c r="F168" i="12"/>
  <c r="G168" i="12"/>
  <c r="C169" i="12"/>
  <c r="A170" i="12"/>
  <c r="B170" i="12"/>
  <c r="C170" i="12"/>
  <c r="D170" i="12"/>
  <c r="E170" i="12"/>
  <c r="F170" i="12"/>
  <c r="G170" i="12"/>
  <c r="H4" i="13"/>
  <c r="D6" i="13"/>
  <c r="D10" i="13"/>
  <c r="D12" i="13"/>
  <c r="A16" i="13"/>
  <c r="C17" i="13"/>
  <c r="D17" i="13"/>
  <c r="A21" i="13"/>
  <c r="A23" i="13"/>
  <c r="G24" i="13"/>
  <c r="E24" i="13" s="1"/>
  <c r="A2" i="14"/>
  <c r="A3" i="14"/>
  <c r="B5" i="14"/>
  <c r="A2" i="15"/>
  <c r="E4" i="15"/>
  <c r="F4" i="15"/>
  <c r="I4" i="15"/>
  <c r="H5" i="15"/>
  <c r="F6" i="15"/>
  <c r="F7" i="15"/>
  <c r="H7" i="15" s="1"/>
  <c r="I7" i="15" s="1"/>
  <c r="F8" i="15"/>
  <c r="H8" i="15"/>
  <c r="F9" i="15"/>
  <c r="H9" i="15" s="1"/>
  <c r="F10" i="15"/>
  <c r="H10" i="15"/>
  <c r="F11" i="15"/>
  <c r="H11" i="15" s="1"/>
  <c r="F12" i="15"/>
  <c r="F13" i="15"/>
  <c r="H13" i="15" s="1"/>
  <c r="I13" i="15" s="1"/>
  <c r="F14" i="15"/>
  <c r="F15" i="15"/>
  <c r="F16" i="15"/>
  <c r="F17" i="15"/>
  <c r="F18" i="15"/>
  <c r="F19" i="15"/>
  <c r="A1" i="17"/>
  <c r="F4" i="17"/>
  <c r="G4" i="17" s="1"/>
  <c r="F5" i="17"/>
  <c r="F6" i="17"/>
  <c r="F7" i="17"/>
  <c r="C12" i="17"/>
  <c r="D12" i="17"/>
  <c r="E12" i="17"/>
  <c r="H12" i="17"/>
  <c r="I12" i="17"/>
  <c r="E13" i="17"/>
  <c r="E14" i="17"/>
  <c r="D16" i="17"/>
  <c r="A3" i="18"/>
  <c r="H5" i="18"/>
  <c r="I5" i="18" s="1"/>
  <c r="B8" i="18"/>
  <c r="G9" i="18"/>
  <c r="H9" i="18"/>
  <c r="I10" i="18"/>
  <c r="I12" i="18"/>
  <c r="I13" i="18"/>
  <c r="B15" i="18"/>
  <c r="H15" i="18"/>
  <c r="I15" i="18"/>
  <c r="N15" i="18"/>
  <c r="N10" i="18"/>
  <c r="O15" i="18"/>
  <c r="O10" i="18"/>
  <c r="P15" i="18"/>
  <c r="P10" i="18" s="1"/>
  <c r="H17" i="18"/>
  <c r="I17" i="18"/>
  <c r="H19" i="18"/>
  <c r="I19" i="18"/>
  <c r="F20" i="18"/>
  <c r="H20" i="18"/>
  <c r="I20" i="18"/>
  <c r="F21" i="18"/>
  <c r="H21" i="18"/>
  <c r="I21" i="18"/>
  <c r="H22" i="18"/>
  <c r="H23" i="18"/>
  <c r="H24" i="18"/>
  <c r="I24" i="18"/>
  <c r="H25" i="18"/>
  <c r="I25" i="18" s="1"/>
  <c r="H26" i="18"/>
  <c r="I26" i="18"/>
  <c r="H28" i="18"/>
  <c r="I28" i="18"/>
  <c r="H29" i="18"/>
  <c r="I29" i="18"/>
  <c r="F30" i="18"/>
  <c r="H30" i="18"/>
  <c r="I30" i="18" s="1"/>
  <c r="F33" i="18"/>
  <c r="H33" i="18"/>
  <c r="I33" i="18"/>
  <c r="F34" i="18"/>
  <c r="H34" i="18"/>
  <c r="I34" i="18"/>
  <c r="H35" i="18"/>
  <c r="I35" i="18" s="1"/>
  <c r="H36" i="18"/>
  <c r="I36" i="18"/>
  <c r="H37" i="18"/>
  <c r="I37" i="18" s="1"/>
  <c r="H38" i="18"/>
  <c r="I38" i="18"/>
  <c r="H39" i="18"/>
  <c r="I39" i="18" s="1"/>
  <c r="H40" i="18"/>
  <c r="I40" i="18"/>
  <c r="H42" i="18"/>
  <c r="I42" i="18" s="1"/>
  <c r="H43" i="18"/>
  <c r="I43" i="18"/>
  <c r="H44" i="18"/>
  <c r="I44" i="18" s="1"/>
  <c r="H46" i="18"/>
  <c r="I46" i="18"/>
  <c r="H49" i="18"/>
  <c r="I49" i="18" s="1"/>
  <c r="H51" i="18"/>
  <c r="I51" i="18"/>
  <c r="F52" i="18"/>
  <c r="H52" i="18"/>
  <c r="I52" i="18"/>
  <c r="F53" i="18"/>
  <c r="H53" i="18"/>
  <c r="I53" i="18" s="1"/>
  <c r="H54" i="18"/>
  <c r="I54" i="18"/>
  <c r="H55" i="18"/>
  <c r="I55" i="18" s="1"/>
  <c r="H57" i="18"/>
  <c r="H59" i="18"/>
  <c r="I59" i="18"/>
  <c r="H60" i="18"/>
  <c r="I60" i="18"/>
  <c r="F62" i="18"/>
  <c r="H62" i="18"/>
  <c r="I62" i="18" s="1"/>
  <c r="I63" i="18"/>
  <c r="G64" i="18"/>
  <c r="I64" i="18"/>
  <c r="H65" i="18"/>
  <c r="I65" i="18"/>
  <c r="F66" i="18"/>
  <c r="H66" i="18"/>
  <c r="I66" i="18" s="1"/>
  <c r="F67" i="18"/>
  <c r="H67" i="18"/>
  <c r="I67" i="18"/>
  <c r="F70" i="18"/>
  <c r="H71" i="18"/>
  <c r="H74" i="18"/>
  <c r="I74" i="18" s="1"/>
  <c r="F75" i="18"/>
  <c r="H75" i="18"/>
  <c r="I75" i="18"/>
  <c r="H76" i="18"/>
  <c r="H77" i="18"/>
  <c r="I77" i="18" s="1"/>
  <c r="A2" i="21"/>
  <c r="A3" i="21"/>
  <c r="F4" i="21"/>
  <c r="K4" i="21"/>
  <c r="A2" i="22"/>
  <c r="A3" i="22"/>
  <c r="F4" i="22"/>
  <c r="H4" i="22"/>
  <c r="C5" i="22"/>
  <c r="A6" i="22"/>
  <c r="B6" i="22"/>
  <c r="C6" i="22"/>
  <c r="D6" i="22"/>
  <c r="B8" i="22"/>
  <c r="C8" i="22"/>
  <c r="D8" i="22"/>
  <c r="E8" i="22"/>
  <c r="G8" i="22"/>
  <c r="B10" i="22"/>
  <c r="C10" i="22"/>
  <c r="D10" i="22"/>
  <c r="E10" i="22"/>
  <c r="G10" i="22"/>
  <c r="D12" i="22"/>
  <c r="E19" i="22"/>
  <c r="A21" i="22"/>
  <c r="B21" i="22"/>
  <c r="C21" i="22"/>
  <c r="D21" i="22"/>
  <c r="B23" i="22"/>
  <c r="C23" i="22"/>
  <c r="D23" i="22"/>
  <c r="E23" i="22"/>
  <c r="G23" i="22"/>
  <c r="B25" i="22"/>
  <c r="C25" i="22"/>
  <c r="D25" i="22"/>
  <c r="E25" i="22"/>
  <c r="G25" i="22"/>
  <c r="B26" i="22"/>
  <c r="C26" i="22"/>
  <c r="D26" i="22"/>
  <c r="E26" i="22"/>
  <c r="G26" i="22"/>
  <c r="D29" i="22"/>
  <c r="E36" i="22"/>
  <c r="A38" i="22"/>
  <c r="B38" i="22"/>
  <c r="C38" i="22"/>
  <c r="D38" i="22"/>
  <c r="B40" i="22"/>
  <c r="C40" i="22"/>
  <c r="D40" i="22"/>
  <c r="E40" i="22"/>
  <c r="G40" i="22"/>
  <c r="B42" i="22"/>
  <c r="C42" i="22"/>
  <c r="D42" i="22"/>
  <c r="E42" i="22"/>
  <c r="G42" i="22"/>
  <c r="B43" i="22"/>
  <c r="C43" i="22"/>
  <c r="D43" i="22"/>
  <c r="E43" i="22"/>
  <c r="G43" i="22"/>
  <c r="E44" i="22"/>
  <c r="D47" i="22"/>
  <c r="E54" i="22"/>
  <c r="A56" i="22"/>
  <c r="B56" i="22"/>
  <c r="C56" i="22"/>
  <c r="D56" i="22"/>
  <c r="B58" i="22"/>
  <c r="D58" i="22"/>
  <c r="D60" i="22"/>
  <c r="E67" i="22"/>
  <c r="A69" i="22"/>
  <c r="B69" i="22"/>
  <c r="C69" i="22"/>
  <c r="D69" i="22"/>
  <c r="B71" i="22"/>
  <c r="C71" i="22"/>
  <c r="D71" i="22"/>
  <c r="E71" i="22"/>
  <c r="G71" i="22"/>
  <c r="B73" i="22"/>
  <c r="C73" i="22"/>
  <c r="D73" i="22"/>
  <c r="E73" i="22"/>
  <c r="G73" i="22"/>
  <c r="B75" i="22"/>
  <c r="C75" i="22"/>
  <c r="D75" i="22"/>
  <c r="E75" i="22"/>
  <c r="G75" i="22"/>
  <c r="B76" i="22"/>
  <c r="C76" i="22"/>
  <c r="D76" i="22"/>
  <c r="E76" i="22"/>
  <c r="G76" i="22"/>
  <c r="B77" i="22"/>
  <c r="C77" i="22"/>
  <c r="D77" i="22"/>
  <c r="E77" i="22"/>
  <c r="G77" i="22"/>
  <c r="B78" i="22"/>
  <c r="C78" i="22"/>
  <c r="D78" i="22"/>
  <c r="E78" i="22"/>
  <c r="G78" i="22"/>
  <c r="B79" i="22"/>
  <c r="C79" i="22"/>
  <c r="D79" i="22"/>
  <c r="E79" i="22"/>
  <c r="G79" i="22"/>
  <c r="E80" i="22"/>
  <c r="D83" i="22"/>
  <c r="E90" i="22"/>
  <c r="A92" i="22"/>
  <c r="B92" i="22"/>
  <c r="C92" i="22"/>
  <c r="D92" i="22"/>
  <c r="B94" i="22"/>
  <c r="C94" i="22"/>
  <c r="D94" i="22"/>
  <c r="E94" i="22"/>
  <c r="G94" i="22"/>
  <c r="D96" i="22"/>
  <c r="E103" i="22"/>
  <c r="A105" i="22"/>
  <c r="B105" i="22"/>
  <c r="C105" i="22"/>
  <c r="D105" i="22"/>
  <c r="B107" i="22"/>
  <c r="C107" i="22"/>
  <c r="D107" i="22"/>
  <c r="E107" i="22"/>
  <c r="G107" i="22"/>
  <c r="D109" i="22"/>
  <c r="E116" i="22"/>
  <c r="A118" i="22"/>
  <c r="B118" i="22"/>
  <c r="C118" i="22"/>
  <c r="D118" i="22"/>
  <c r="B120" i="22"/>
  <c r="C120" i="22"/>
  <c r="D120" i="22"/>
  <c r="E120" i="22"/>
  <c r="G120" i="22"/>
  <c r="D122" i="22"/>
  <c r="E129" i="22"/>
  <c r="A131" i="22"/>
  <c r="B131" i="22"/>
  <c r="C131" i="22"/>
  <c r="D131" i="22"/>
  <c r="B133" i="22"/>
  <c r="C133" i="22"/>
  <c r="D133" i="22"/>
  <c r="E133" i="22"/>
  <c r="G133" i="22"/>
  <c r="D135" i="22"/>
  <c r="E142" i="22"/>
  <c r="A144" i="22"/>
  <c r="B144" i="22"/>
  <c r="C144" i="22"/>
  <c r="D144" i="22"/>
  <c r="B146" i="22"/>
  <c r="C146" i="22"/>
  <c r="D146" i="22"/>
  <c r="E146" i="22"/>
  <c r="G146" i="22"/>
  <c r="E147" i="22"/>
  <c r="B150" i="22"/>
  <c r="C150" i="22"/>
  <c r="D150" i="22"/>
  <c r="E150" i="22"/>
  <c r="G150" i="22"/>
  <c r="D152" i="22"/>
  <c r="E159" i="22"/>
  <c r="A161" i="22"/>
  <c r="B161" i="22"/>
  <c r="C161" i="22"/>
  <c r="D161" i="22"/>
  <c r="B163" i="22"/>
  <c r="C163" i="22"/>
  <c r="D163" i="22"/>
  <c r="E163" i="22"/>
  <c r="G163" i="22"/>
  <c r="B164" i="22"/>
  <c r="C164" i="22"/>
  <c r="D164" i="22"/>
  <c r="E164" i="22"/>
  <c r="G164" i="22"/>
  <c r="E165" i="22"/>
  <c r="B168" i="22"/>
  <c r="C168" i="22"/>
  <c r="D168" i="22"/>
  <c r="E168" i="22"/>
  <c r="G168" i="22"/>
  <c r="B170" i="22"/>
  <c r="C170" i="22"/>
  <c r="D170" i="22"/>
  <c r="E170" i="22"/>
  <c r="G170" i="22"/>
  <c r="E171" i="22"/>
  <c r="D174" i="22"/>
  <c r="E181" i="22"/>
  <c r="A183" i="22"/>
  <c r="B183" i="22"/>
  <c r="C183" i="22"/>
  <c r="D183" i="22"/>
  <c r="B185" i="22"/>
  <c r="C185" i="22"/>
  <c r="D185" i="22"/>
  <c r="E185" i="22"/>
  <c r="G185" i="22"/>
  <c r="B186" i="22"/>
  <c r="C186" i="22"/>
  <c r="D186" i="22"/>
  <c r="E186" i="22"/>
  <c r="G186" i="22"/>
  <c r="B187" i="22"/>
  <c r="C187" i="22"/>
  <c r="D187" i="22"/>
  <c r="E187" i="22"/>
  <c r="G187" i="22"/>
  <c r="B188" i="22"/>
  <c r="C188" i="22"/>
  <c r="D188" i="22"/>
  <c r="E188" i="22"/>
  <c r="G188" i="22"/>
  <c r="E189" i="22"/>
  <c r="B192" i="22"/>
  <c r="C192" i="22"/>
  <c r="D192" i="22"/>
  <c r="E192" i="22"/>
  <c r="G192" i="22"/>
  <c r="B194" i="22"/>
  <c r="C194" i="22"/>
  <c r="D194" i="22"/>
  <c r="E194" i="22"/>
  <c r="G194" i="22"/>
  <c r="B195" i="22"/>
  <c r="C195" i="22"/>
  <c r="D195" i="22"/>
  <c r="E195" i="22"/>
  <c r="G195" i="22"/>
  <c r="B196" i="22"/>
  <c r="C196" i="22"/>
  <c r="D196" i="22"/>
  <c r="E196" i="22"/>
  <c r="G196" i="22"/>
  <c r="E197" i="22"/>
  <c r="D200" i="22"/>
  <c r="E207" i="22"/>
  <c r="A209" i="22"/>
  <c r="B209" i="22"/>
  <c r="C209" i="22"/>
  <c r="D209" i="22"/>
  <c r="B211" i="22"/>
  <c r="C211" i="22"/>
  <c r="D211" i="22"/>
  <c r="E211" i="22"/>
  <c r="G211" i="22"/>
  <c r="B212" i="22"/>
  <c r="C212" i="22"/>
  <c r="D212" i="22"/>
  <c r="G212" i="22"/>
  <c r="B213" i="22"/>
  <c r="C213" i="22"/>
  <c r="D213" i="22"/>
  <c r="G213" i="22"/>
  <c r="B216" i="22"/>
  <c r="C216" i="22"/>
  <c r="D216" i="22"/>
  <c r="E216" i="22"/>
  <c r="G216" i="22"/>
  <c r="B218" i="22"/>
  <c r="C218" i="22"/>
  <c r="D218" i="22"/>
  <c r="E218" i="22"/>
  <c r="G218" i="22"/>
  <c r="D220" i="22"/>
  <c r="E227" i="22"/>
  <c r="A229" i="22"/>
  <c r="B229" i="22"/>
  <c r="C229" i="22"/>
  <c r="D229" i="22"/>
  <c r="B231" i="22"/>
  <c r="C231" i="22"/>
  <c r="D231" i="22"/>
  <c r="E231" i="22"/>
  <c r="G231" i="22"/>
  <c r="B232" i="22"/>
  <c r="C232" i="22"/>
  <c r="D232" i="22"/>
  <c r="E232" i="22"/>
  <c r="G232" i="22"/>
  <c r="B233" i="22"/>
  <c r="C233" i="22"/>
  <c r="D233" i="22"/>
  <c r="E233" i="22"/>
  <c r="G233" i="22"/>
  <c r="E234" i="22"/>
  <c r="B237" i="22"/>
  <c r="C237" i="22"/>
  <c r="D237" i="22"/>
  <c r="E237" i="22"/>
  <c r="G237" i="22"/>
  <c r="B239" i="22"/>
  <c r="C239" i="22"/>
  <c r="D239" i="22"/>
  <c r="E239" i="22"/>
  <c r="G239" i="22"/>
  <c r="B240" i="22"/>
  <c r="C240" i="22"/>
  <c r="D240" i="22"/>
  <c r="E240" i="22"/>
  <c r="G240" i="22"/>
  <c r="E241" i="22"/>
  <c r="D244" i="22"/>
  <c r="E251" i="22"/>
  <c r="A253" i="22"/>
  <c r="B253" i="22"/>
  <c r="C253" i="22"/>
  <c r="D253" i="22"/>
  <c r="B255" i="22"/>
  <c r="C255" i="22"/>
  <c r="D255" i="22"/>
  <c r="E255" i="22"/>
  <c r="G255" i="22"/>
  <c r="B256" i="22"/>
  <c r="C256" i="22"/>
  <c r="D256" i="22"/>
  <c r="E256" i="22"/>
  <c r="G256" i="22"/>
  <c r="B257" i="22"/>
  <c r="C257" i="22"/>
  <c r="D257" i="22"/>
  <c r="E257" i="22"/>
  <c r="G257" i="22"/>
  <c r="B258" i="22"/>
  <c r="C258" i="22"/>
  <c r="D258" i="22"/>
  <c r="E258" i="22"/>
  <c r="G258" i="22"/>
  <c r="B259" i="22"/>
  <c r="C259" i="22"/>
  <c r="D259" i="22"/>
  <c r="E259" i="22"/>
  <c r="G259" i="22"/>
  <c r="B260" i="22"/>
  <c r="C260" i="22"/>
  <c r="D260" i="22"/>
  <c r="E260" i="22"/>
  <c r="G260" i="22"/>
  <c r="E261" i="22"/>
  <c r="B264" i="22"/>
  <c r="C264" i="22"/>
  <c r="D264" i="22"/>
  <c r="E264" i="22"/>
  <c r="G264" i="22"/>
  <c r="B266" i="22"/>
  <c r="C266" i="22"/>
  <c r="D266" i="22"/>
  <c r="E266" i="22"/>
  <c r="G266" i="22"/>
  <c r="B267" i="22"/>
  <c r="C267" i="22"/>
  <c r="D267" i="22"/>
  <c r="E267" i="22"/>
  <c r="G267" i="22"/>
  <c r="E268" i="22"/>
  <c r="D271" i="22"/>
  <c r="E278" i="22"/>
  <c r="C280" i="22"/>
  <c r="A281" i="22"/>
  <c r="B281" i="22"/>
  <c r="C281" i="22"/>
  <c r="D281" i="22"/>
  <c r="B283" i="22"/>
  <c r="C283" i="22"/>
  <c r="D283" i="22"/>
  <c r="E283" i="22"/>
  <c r="G283" i="22"/>
  <c r="B285" i="22"/>
  <c r="C285" i="22"/>
  <c r="D285" i="22"/>
  <c r="E285" i="22"/>
  <c r="G285" i="22"/>
  <c r="D287" i="22"/>
  <c r="E294" i="22"/>
  <c r="A296" i="22"/>
  <c r="B296" i="22"/>
  <c r="C296" i="22"/>
  <c r="D296" i="22"/>
  <c r="B298" i="22"/>
  <c r="C298" i="22"/>
  <c r="D298" i="22"/>
  <c r="E298" i="22"/>
  <c r="G298" i="22"/>
  <c r="D300" i="22"/>
  <c r="E307" i="22"/>
  <c r="A309" i="22"/>
  <c r="B309" i="22"/>
  <c r="C309" i="22"/>
  <c r="D309" i="22"/>
  <c r="B311" i="22"/>
  <c r="C311" i="22"/>
  <c r="D311" i="22"/>
  <c r="E311" i="22"/>
  <c r="G311" i="22"/>
  <c r="B313" i="22"/>
  <c r="C313" i="22"/>
  <c r="D313" i="22"/>
  <c r="E313" i="22"/>
  <c r="G313" i="22"/>
  <c r="B314" i="22"/>
  <c r="C314" i="22"/>
  <c r="D314" i="22"/>
  <c r="E314" i="22"/>
  <c r="G314" i="22"/>
  <c r="E315" i="22"/>
  <c r="D318" i="22"/>
  <c r="E325" i="22"/>
  <c r="A327" i="22"/>
  <c r="B327" i="22"/>
  <c r="C327" i="22"/>
  <c r="D327" i="22"/>
  <c r="B329" i="22"/>
  <c r="C329" i="22"/>
  <c r="D329" i="22"/>
  <c r="E329" i="22"/>
  <c r="G329" i="22"/>
  <c r="D331" i="22"/>
  <c r="E338" i="22"/>
  <c r="A340" i="22"/>
  <c r="B340" i="22"/>
  <c r="C340" i="22"/>
  <c r="D340" i="22"/>
  <c r="B342" i="22"/>
  <c r="C342" i="22"/>
  <c r="D342" i="22"/>
  <c r="E342" i="22"/>
  <c r="G342" i="22"/>
  <c r="D344" i="22"/>
  <c r="E351" i="22"/>
  <c r="A353" i="22"/>
  <c r="B353" i="22"/>
  <c r="C353" i="22"/>
  <c r="D353" i="22"/>
  <c r="B355" i="22"/>
  <c r="C355" i="22"/>
  <c r="D355" i="22"/>
  <c r="E355" i="22"/>
  <c r="G355" i="22"/>
  <c r="B356" i="22"/>
  <c r="C356" i="22"/>
  <c r="D356" i="22"/>
  <c r="E356" i="22"/>
  <c r="G356" i="22"/>
  <c r="B359" i="22"/>
  <c r="C359" i="22"/>
  <c r="D359" i="22"/>
  <c r="E359" i="22"/>
  <c r="G359" i="22"/>
  <c r="D361" i="22"/>
  <c r="E368" i="22"/>
  <c r="A370" i="22"/>
  <c r="B370" i="22"/>
  <c r="C370" i="22"/>
  <c r="D370" i="22"/>
  <c r="B372" i="22"/>
  <c r="C372" i="22"/>
  <c r="D372" i="22"/>
  <c r="E372" i="22"/>
  <c r="G372" i="22"/>
  <c r="B373" i="22"/>
  <c r="C373" i="22"/>
  <c r="D373" i="22"/>
  <c r="E373" i="22"/>
  <c r="G373" i="22"/>
  <c r="B374" i="22"/>
  <c r="C374" i="22"/>
  <c r="D374" i="22"/>
  <c r="E374" i="22"/>
  <c r="G374" i="22"/>
  <c r="B375" i="22"/>
  <c r="C375" i="22"/>
  <c r="D375" i="22"/>
  <c r="E375" i="22"/>
  <c r="G375" i="22"/>
  <c r="E376" i="22"/>
  <c r="B379" i="22"/>
  <c r="C379" i="22"/>
  <c r="D379" i="22"/>
  <c r="E379" i="22"/>
  <c r="G379" i="22"/>
  <c r="D381" i="22"/>
  <c r="E388" i="22"/>
  <c r="A390" i="22"/>
  <c r="B390" i="22"/>
  <c r="C390" i="22"/>
  <c r="D390" i="22"/>
  <c r="B392" i="22"/>
  <c r="C392" i="22"/>
  <c r="D392" i="22"/>
  <c r="E392" i="22"/>
  <c r="G392" i="22"/>
  <c r="B393" i="22"/>
  <c r="C393" i="22"/>
  <c r="D393" i="22"/>
  <c r="E393" i="22"/>
  <c r="G393" i="22"/>
  <c r="B394" i="22"/>
  <c r="C394" i="22"/>
  <c r="D394" i="22"/>
  <c r="E394" i="22"/>
  <c r="G394" i="22"/>
  <c r="B395" i="22"/>
  <c r="C395" i="22"/>
  <c r="D395" i="22"/>
  <c r="E395" i="22"/>
  <c r="G395" i="22"/>
  <c r="E396" i="22"/>
  <c r="B399" i="22"/>
  <c r="C399" i="22"/>
  <c r="D399" i="22"/>
  <c r="E399" i="22"/>
  <c r="G399" i="22"/>
  <c r="B401" i="22"/>
  <c r="C401" i="22"/>
  <c r="D401" i="22"/>
  <c r="E401" i="22"/>
  <c r="G401" i="22"/>
  <c r="B402" i="22"/>
  <c r="C402" i="22"/>
  <c r="D402" i="22"/>
  <c r="E402" i="22"/>
  <c r="G402" i="22"/>
  <c r="D405" i="22"/>
  <c r="E412" i="22"/>
  <c r="A414" i="22"/>
  <c r="B414" i="22"/>
  <c r="C414" i="22"/>
  <c r="D414" i="22"/>
  <c r="B416" i="22"/>
  <c r="C416" i="22"/>
  <c r="D416" i="22"/>
  <c r="E416" i="22"/>
  <c r="G416" i="22"/>
  <c r="B417" i="22"/>
  <c r="C417" i="22"/>
  <c r="D417" i="22"/>
  <c r="E417" i="22"/>
  <c r="G417" i="22"/>
  <c r="B418" i="22"/>
  <c r="C418" i="22"/>
  <c r="D418" i="22"/>
  <c r="E418" i="22"/>
  <c r="G418" i="22"/>
  <c r="B419" i="22"/>
  <c r="C419" i="22"/>
  <c r="D419" i="22"/>
  <c r="E419" i="22"/>
  <c r="G419" i="22"/>
  <c r="E420" i="22"/>
  <c r="B423" i="22"/>
  <c r="C423" i="22"/>
  <c r="D423" i="22"/>
  <c r="E423" i="22"/>
  <c r="G423" i="22"/>
  <c r="B425" i="22"/>
  <c r="C425" i="22"/>
  <c r="D425" i="22"/>
  <c r="E425" i="22"/>
  <c r="G425" i="22"/>
  <c r="D427" i="22"/>
  <c r="E434" i="22"/>
  <c r="A436" i="22"/>
  <c r="B436" i="22"/>
  <c r="C436" i="22"/>
  <c r="D436" i="22"/>
  <c r="B438" i="22"/>
  <c r="C438" i="22"/>
  <c r="D438" i="22"/>
  <c r="E438" i="22"/>
  <c r="G438" i="22"/>
  <c r="B439" i="22"/>
  <c r="C439" i="22"/>
  <c r="D439" i="22"/>
  <c r="E439" i="22"/>
  <c r="G439" i="22"/>
  <c r="B440" i="22"/>
  <c r="C440" i="22"/>
  <c r="D440" i="22"/>
  <c r="E440" i="22"/>
  <c r="G440" i="22"/>
  <c r="E441" i="22"/>
  <c r="B444" i="22"/>
  <c r="C444" i="22"/>
  <c r="D444" i="22"/>
  <c r="E444" i="22"/>
  <c r="G444" i="22"/>
  <c r="B446" i="22"/>
  <c r="C446" i="22"/>
  <c r="D446" i="22"/>
  <c r="E446" i="22"/>
  <c r="G446" i="22"/>
  <c r="D448" i="22"/>
  <c r="E455" i="22"/>
  <c r="A457" i="22"/>
  <c r="B457" i="22"/>
  <c r="C457" i="22"/>
  <c r="D457" i="22"/>
  <c r="B459" i="22"/>
  <c r="C459" i="22"/>
  <c r="D459" i="22"/>
  <c r="E459" i="22"/>
  <c r="G459" i="22"/>
  <c r="B460" i="22"/>
  <c r="C460" i="22"/>
  <c r="D460" i="22"/>
  <c r="E460" i="22"/>
  <c r="G460" i="22"/>
  <c r="B461" i="22"/>
  <c r="C461" i="22"/>
  <c r="D461" i="22"/>
  <c r="E461" i="22"/>
  <c r="G461" i="22"/>
  <c r="B464" i="22"/>
  <c r="C464" i="22"/>
  <c r="D464" i="22"/>
  <c r="E464" i="22"/>
  <c r="G464" i="22"/>
  <c r="B466" i="22"/>
  <c r="C466" i="22"/>
  <c r="D466" i="22"/>
  <c r="E466" i="22"/>
  <c r="G466" i="22"/>
  <c r="D468" i="22"/>
  <c r="E475" i="22"/>
  <c r="A477" i="22"/>
  <c r="B477" i="22"/>
  <c r="C477" i="22"/>
  <c r="D477" i="22"/>
  <c r="B479" i="22"/>
  <c r="C479" i="22"/>
  <c r="D479" i="22"/>
  <c r="E479" i="22"/>
  <c r="G479" i="22"/>
  <c r="B480" i="22"/>
  <c r="C480" i="22"/>
  <c r="D480" i="22"/>
  <c r="E480" i="22"/>
  <c r="G480" i="22"/>
  <c r="B481" i="22"/>
  <c r="C481" i="22"/>
  <c r="D481" i="22"/>
  <c r="E481" i="22"/>
  <c r="G481" i="22"/>
  <c r="B482" i="22"/>
  <c r="C482" i="22"/>
  <c r="D482" i="22"/>
  <c r="E482" i="22"/>
  <c r="G482" i="22"/>
  <c r="E483" i="22"/>
  <c r="B486" i="22"/>
  <c r="C486" i="22"/>
  <c r="D486" i="22"/>
  <c r="E486" i="22"/>
  <c r="G486" i="22"/>
  <c r="D488" i="22"/>
  <c r="E495" i="22"/>
  <c r="A497" i="22"/>
  <c r="B497" i="22"/>
  <c r="C497" i="22"/>
  <c r="D497" i="22"/>
  <c r="B499" i="22"/>
  <c r="C499" i="22"/>
  <c r="D499" i="22"/>
  <c r="E499" i="22"/>
  <c r="G499" i="22"/>
  <c r="B500" i="22"/>
  <c r="C500" i="22"/>
  <c r="D500" i="22"/>
  <c r="E500" i="22"/>
  <c r="G500" i="22"/>
  <c r="B501" i="22"/>
  <c r="C501" i="22"/>
  <c r="D501" i="22"/>
  <c r="E501" i="22"/>
  <c r="G501" i="22"/>
  <c r="B502" i="22"/>
  <c r="C502" i="22"/>
  <c r="D502" i="22"/>
  <c r="E502" i="22"/>
  <c r="G502" i="22"/>
  <c r="E503" i="22"/>
  <c r="B506" i="22"/>
  <c r="C506" i="22"/>
  <c r="D506" i="22"/>
  <c r="E506" i="22"/>
  <c r="G506" i="22"/>
  <c r="B508" i="22"/>
  <c r="C508" i="22"/>
  <c r="D508" i="22"/>
  <c r="E508" i="22"/>
  <c r="G508" i="22"/>
  <c r="B509" i="22"/>
  <c r="C509" i="22"/>
  <c r="D509" i="22"/>
  <c r="E509" i="22"/>
  <c r="G509" i="22"/>
  <c r="D512" i="22"/>
  <c r="E519" i="22"/>
  <c r="A521" i="22"/>
  <c r="B521" i="22"/>
  <c r="C521" i="22"/>
  <c r="D521" i="22"/>
  <c r="B523" i="22"/>
  <c r="C523" i="22"/>
  <c r="D523" i="22"/>
  <c r="E523" i="22"/>
  <c r="G523" i="22"/>
  <c r="B524" i="22"/>
  <c r="C524" i="22"/>
  <c r="D524" i="22"/>
  <c r="E524" i="22"/>
  <c r="G524" i="22"/>
  <c r="B525" i="22"/>
  <c r="C525" i="22"/>
  <c r="D525" i="22"/>
  <c r="E525" i="22"/>
  <c r="G525" i="22"/>
  <c r="B528" i="22"/>
  <c r="C528" i="22"/>
  <c r="D528" i="22"/>
  <c r="E528" i="22"/>
  <c r="G528" i="22"/>
  <c r="B530" i="22"/>
  <c r="C530" i="22"/>
  <c r="D530" i="22"/>
  <c r="E530" i="22"/>
  <c r="G530" i="22"/>
  <c r="B531" i="22"/>
  <c r="C531" i="22"/>
  <c r="D531" i="22"/>
  <c r="E531" i="22"/>
  <c r="G531" i="22"/>
  <c r="D534" i="22"/>
  <c r="E541" i="22"/>
  <c r="A543" i="22"/>
  <c r="B543" i="22"/>
  <c r="C543" i="22"/>
  <c r="D543" i="22"/>
  <c r="B545" i="22"/>
  <c r="C545" i="22"/>
  <c r="D545" i="22"/>
  <c r="E545" i="22"/>
  <c r="G545" i="22"/>
  <c r="B546" i="22"/>
  <c r="C546" i="22"/>
  <c r="D546" i="22"/>
  <c r="E546" i="22"/>
  <c r="G546" i="22"/>
  <c r="B547" i="22"/>
  <c r="C547" i="22"/>
  <c r="D547" i="22"/>
  <c r="E547" i="22"/>
  <c r="G547" i="22"/>
  <c r="B548" i="22"/>
  <c r="C548" i="22"/>
  <c r="D548" i="22"/>
  <c r="E548" i="22"/>
  <c r="G548" i="22"/>
  <c r="B549" i="22"/>
  <c r="C549" i="22"/>
  <c r="D549" i="22"/>
  <c r="E549" i="22"/>
  <c r="G549" i="22"/>
  <c r="B550" i="22"/>
  <c r="C550" i="22"/>
  <c r="D550" i="22"/>
  <c r="E550" i="22"/>
  <c r="G550" i="22"/>
  <c r="E551" i="22"/>
  <c r="B554" i="22"/>
  <c r="C554" i="22"/>
  <c r="D554" i="22"/>
  <c r="E554" i="22"/>
  <c r="G554" i="22"/>
  <c r="B556" i="22"/>
  <c r="C556" i="22"/>
  <c r="D556" i="22"/>
  <c r="E556" i="22"/>
  <c r="G556" i="22"/>
  <c r="B557" i="22"/>
  <c r="C557" i="22"/>
  <c r="D557" i="22"/>
  <c r="E557" i="22"/>
  <c r="G557" i="22"/>
  <c r="B558" i="22"/>
  <c r="C558" i="22"/>
  <c r="D558" i="22"/>
  <c r="E558" i="22"/>
  <c r="G558" i="22"/>
  <c r="E559" i="22"/>
  <c r="D562" i="22"/>
  <c r="E569" i="22"/>
  <c r="A571" i="22"/>
  <c r="B571" i="22"/>
  <c r="C571" i="22"/>
  <c r="D571" i="22"/>
  <c r="B573" i="22"/>
  <c r="C573" i="22"/>
  <c r="D573" i="22"/>
  <c r="E573" i="22"/>
  <c r="G573" i="22"/>
  <c r="B574" i="22"/>
  <c r="C574" i="22"/>
  <c r="D574" i="22"/>
  <c r="E574" i="22"/>
  <c r="G574" i="22"/>
  <c r="B577" i="22"/>
  <c r="C577" i="22"/>
  <c r="D577" i="22"/>
  <c r="E577" i="22"/>
  <c r="G577" i="22"/>
  <c r="B579" i="22"/>
  <c r="C579" i="22"/>
  <c r="D579" i="22"/>
  <c r="E579" i="22"/>
  <c r="G579" i="22"/>
  <c r="D581" i="22"/>
  <c r="E588" i="22"/>
  <c r="A590" i="22"/>
  <c r="B590" i="22"/>
  <c r="C590" i="22"/>
  <c r="D590" i="22"/>
  <c r="B592" i="22"/>
  <c r="C592" i="22"/>
  <c r="D592" i="22"/>
  <c r="E592" i="22"/>
  <c r="G592" i="22"/>
  <c r="B593" i="22"/>
  <c r="C593" i="22"/>
  <c r="D593" i="22"/>
  <c r="E593" i="22"/>
  <c r="G593" i="22"/>
  <c r="B594" i="22"/>
  <c r="C594" i="22"/>
  <c r="D594" i="22"/>
  <c r="E594" i="22"/>
  <c r="G594" i="22"/>
  <c r="B595" i="22"/>
  <c r="C595" i="22"/>
  <c r="D595" i="22"/>
  <c r="E595" i="22"/>
  <c r="G595" i="22"/>
  <c r="E596" i="22"/>
  <c r="B599" i="22"/>
  <c r="C599" i="22"/>
  <c r="D599" i="22"/>
  <c r="E599" i="22"/>
  <c r="G599" i="22"/>
  <c r="B601" i="22"/>
  <c r="C601" i="22"/>
  <c r="D601" i="22"/>
  <c r="E601" i="22"/>
  <c r="G601" i="22"/>
  <c r="D603" i="22"/>
  <c r="E610" i="22"/>
  <c r="A612" i="22"/>
  <c r="B612" i="22"/>
  <c r="C612" i="22"/>
  <c r="D612" i="22"/>
  <c r="B614" i="22"/>
  <c r="C614" i="22"/>
  <c r="D614" i="22"/>
  <c r="E614" i="22"/>
  <c r="G614" i="22"/>
  <c r="B616" i="22"/>
  <c r="C616" i="22"/>
  <c r="D616" i="22"/>
  <c r="E616" i="22"/>
  <c r="G616" i="22"/>
  <c r="D618" i="22"/>
  <c r="E625" i="22"/>
  <c r="A627" i="22"/>
  <c r="B627" i="22"/>
  <c r="C627" i="22"/>
  <c r="D627" i="22"/>
  <c r="B629" i="22"/>
  <c r="C629" i="22"/>
  <c r="D629" i="22"/>
  <c r="E629" i="22"/>
  <c r="G629" i="22"/>
  <c r="B630" i="22"/>
  <c r="C630" i="22"/>
  <c r="D630" i="22"/>
  <c r="E630" i="22"/>
  <c r="G630" i="22"/>
  <c r="E631" i="22"/>
  <c r="B634" i="22"/>
  <c r="C634" i="22"/>
  <c r="D634" i="22"/>
  <c r="E634" i="22"/>
  <c r="G634" i="22"/>
  <c r="D636" i="22"/>
  <c r="E643" i="22"/>
  <c r="A645" i="22"/>
  <c r="B645" i="22"/>
  <c r="C645" i="22"/>
  <c r="D645" i="22"/>
  <c r="B647" i="22"/>
  <c r="C647" i="22"/>
  <c r="D647" i="22"/>
  <c r="E647" i="22"/>
  <c r="G647" i="22"/>
  <c r="B648" i="22"/>
  <c r="C648" i="22"/>
  <c r="D648" i="22"/>
  <c r="E648" i="22"/>
  <c r="G648" i="22"/>
  <c r="B651" i="22"/>
  <c r="C651" i="22"/>
  <c r="D651" i="22"/>
  <c r="E651" i="22"/>
  <c r="G651" i="22"/>
  <c r="B653" i="22"/>
  <c r="C653" i="22"/>
  <c r="D653" i="22"/>
  <c r="E653" i="22"/>
  <c r="G653" i="22"/>
  <c r="D655" i="22"/>
  <c r="E662" i="22"/>
  <c r="A664" i="22"/>
  <c r="B664" i="22"/>
  <c r="C664" i="22"/>
  <c r="D664" i="22"/>
  <c r="B666" i="22"/>
  <c r="C666" i="22"/>
  <c r="D666" i="22"/>
  <c r="E666" i="22"/>
  <c r="G666" i="22"/>
  <c r="B667" i="22"/>
  <c r="C667" i="22"/>
  <c r="D667" i="22"/>
  <c r="E667" i="22"/>
  <c r="G667" i="22"/>
  <c r="B668" i="22"/>
  <c r="C668" i="22"/>
  <c r="D668" i="22"/>
  <c r="E668" i="22"/>
  <c r="G668" i="22"/>
  <c r="B669" i="22"/>
  <c r="C669" i="22"/>
  <c r="D669" i="22"/>
  <c r="E669" i="22"/>
  <c r="G669" i="22"/>
  <c r="E670" i="22"/>
  <c r="B673" i="22"/>
  <c r="C673" i="22"/>
  <c r="D673" i="22"/>
  <c r="E673" i="22"/>
  <c r="G673" i="22"/>
  <c r="B675" i="22"/>
  <c r="C675" i="22"/>
  <c r="D675" i="22"/>
  <c r="E675" i="22"/>
  <c r="G675" i="22"/>
  <c r="D677" i="22"/>
  <c r="E684" i="22"/>
  <c r="A686" i="22"/>
  <c r="B686" i="22"/>
  <c r="C686" i="22"/>
  <c r="D686" i="22"/>
  <c r="B688" i="22"/>
  <c r="C688" i="22"/>
  <c r="D688" i="22"/>
  <c r="E688" i="22"/>
  <c r="G688" i="22"/>
  <c r="B690" i="22"/>
  <c r="C690" i="22"/>
  <c r="D690" i="22"/>
  <c r="E690" i="22"/>
  <c r="G690" i="22"/>
  <c r="D692" i="22"/>
  <c r="E699" i="22"/>
  <c r="A701" i="22"/>
  <c r="B701" i="22"/>
  <c r="C701" i="22"/>
  <c r="D701" i="22"/>
  <c r="B703" i="22"/>
  <c r="C703" i="22"/>
  <c r="D703" i="22"/>
  <c r="E703" i="22"/>
  <c r="G703" i="22"/>
  <c r="B704" i="22"/>
  <c r="C704" i="22"/>
  <c r="D704" i="22"/>
  <c r="E704" i="22"/>
  <c r="G704" i="22"/>
  <c r="B705" i="22"/>
  <c r="C705" i="22"/>
  <c r="D705" i="22"/>
  <c r="E705" i="22"/>
  <c r="G705" i="22"/>
  <c r="B706" i="22"/>
  <c r="C706" i="22"/>
  <c r="D706" i="22"/>
  <c r="E706" i="22"/>
  <c r="G706" i="22"/>
  <c r="E707" i="22"/>
  <c r="B710" i="22"/>
  <c r="C710" i="22"/>
  <c r="D710" i="22"/>
  <c r="E710" i="22"/>
  <c r="G710" i="22"/>
  <c r="B712" i="22"/>
  <c r="C712" i="22"/>
  <c r="D712" i="22"/>
  <c r="E712" i="22"/>
  <c r="G712" i="22"/>
  <c r="D714" i="22"/>
  <c r="E721" i="22"/>
  <c r="A723" i="22"/>
  <c r="B723" i="22"/>
  <c r="C723" i="22"/>
  <c r="D723" i="22"/>
  <c r="B725" i="22"/>
  <c r="C725" i="22"/>
  <c r="D725" i="22"/>
  <c r="E725" i="22"/>
  <c r="G725" i="22"/>
  <c r="B726" i="22"/>
  <c r="C726" i="22"/>
  <c r="D726" i="22"/>
  <c r="E726" i="22"/>
  <c r="G726" i="22"/>
  <c r="B727" i="22"/>
  <c r="C727" i="22"/>
  <c r="D727" i="22"/>
  <c r="E727" i="22"/>
  <c r="G727" i="22"/>
  <c r="E728" i="22"/>
  <c r="B731" i="22"/>
  <c r="C731" i="22"/>
  <c r="D731" i="22"/>
  <c r="E731" i="22"/>
  <c r="G731" i="22"/>
  <c r="B733" i="22"/>
  <c r="C733" i="22"/>
  <c r="D733" i="22"/>
  <c r="E733" i="22"/>
  <c r="G733" i="22"/>
  <c r="D735" i="22"/>
  <c r="E742" i="22"/>
  <c r="A744" i="22"/>
  <c r="B744" i="22"/>
  <c r="C744" i="22"/>
  <c r="D744" i="22"/>
  <c r="B746" i="22"/>
  <c r="C746" i="22"/>
  <c r="D746" i="22"/>
  <c r="E746" i="22"/>
  <c r="G746" i="22"/>
  <c r="B747" i="22"/>
  <c r="C747" i="22"/>
  <c r="D747" i="22"/>
  <c r="E747" i="22"/>
  <c r="G747" i="22"/>
  <c r="B748" i="22"/>
  <c r="C748" i="22"/>
  <c r="D748" i="22"/>
  <c r="E748" i="22"/>
  <c r="G748" i="22"/>
  <c r="B749" i="22"/>
  <c r="C749" i="22"/>
  <c r="D749" i="22"/>
  <c r="E749" i="22"/>
  <c r="G749" i="22"/>
  <c r="E750" i="22"/>
  <c r="B753" i="22"/>
  <c r="C753" i="22"/>
  <c r="D753" i="22"/>
  <c r="E753" i="22"/>
  <c r="G753" i="22"/>
  <c r="D755" i="22"/>
  <c r="E762" i="22"/>
  <c r="A764" i="22"/>
  <c r="B764" i="22"/>
  <c r="C764" i="22"/>
  <c r="D764" i="22"/>
  <c r="B766" i="22"/>
  <c r="C766" i="22"/>
  <c r="D766" i="22"/>
  <c r="E766" i="22"/>
  <c r="G766" i="22"/>
  <c r="B767" i="22"/>
  <c r="C767" i="22"/>
  <c r="D767" i="22"/>
  <c r="E767" i="22"/>
  <c r="G767" i="22"/>
  <c r="B768" i="22"/>
  <c r="C768" i="22"/>
  <c r="D768" i="22"/>
  <c r="E768" i="22"/>
  <c r="G768" i="22"/>
  <c r="B769" i="22"/>
  <c r="C769" i="22"/>
  <c r="D769" i="22"/>
  <c r="E769" i="22"/>
  <c r="G769" i="22"/>
  <c r="E770" i="22"/>
  <c r="B773" i="22"/>
  <c r="C773" i="22"/>
  <c r="D773" i="22"/>
  <c r="E773" i="22"/>
  <c r="G773" i="22"/>
  <c r="B775" i="22"/>
  <c r="C775" i="22"/>
  <c r="D775" i="22"/>
  <c r="E775" i="22"/>
  <c r="G775" i="22"/>
  <c r="B776" i="22"/>
  <c r="C776" i="22"/>
  <c r="D776" i="22"/>
  <c r="E776" i="22"/>
  <c r="G776" i="22"/>
  <c r="D779" i="22"/>
  <c r="E786" i="22"/>
  <c r="A788" i="22"/>
  <c r="B788" i="22"/>
  <c r="C788" i="22"/>
  <c r="D788" i="22"/>
  <c r="B790" i="22"/>
  <c r="D790" i="22"/>
  <c r="D792" i="22"/>
  <c r="E799" i="22"/>
  <c r="A801" i="22"/>
  <c r="B801" i="22"/>
  <c r="C801" i="22"/>
  <c r="D801" i="22"/>
  <c r="B803" i="22"/>
  <c r="C803" i="22"/>
  <c r="D803" i="22"/>
  <c r="E803" i="22"/>
  <c r="G803" i="22"/>
  <c r="B805" i="22"/>
  <c r="C805" i="22"/>
  <c r="D805" i="22"/>
  <c r="E805" i="22"/>
  <c r="G805" i="22"/>
  <c r="D807" i="22"/>
  <c r="E814" i="22"/>
  <c r="A816" i="22"/>
  <c r="B816" i="22"/>
  <c r="C816" i="22"/>
  <c r="D816" i="22"/>
  <c r="B818" i="22"/>
  <c r="C818" i="22"/>
  <c r="D818" i="22"/>
  <c r="E818" i="22"/>
  <c r="G818" i="22"/>
  <c r="D820" i="22"/>
  <c r="E827" i="22"/>
  <c r="A829" i="22"/>
  <c r="B829" i="22"/>
  <c r="C829" i="22"/>
  <c r="D829" i="22"/>
  <c r="B831" i="22"/>
  <c r="C831" i="22"/>
  <c r="D831" i="22"/>
  <c r="E831" i="22"/>
  <c r="G831" i="22"/>
  <c r="B833" i="22"/>
  <c r="C833" i="22"/>
  <c r="D833" i="22"/>
  <c r="E833" i="22"/>
  <c r="G833" i="22"/>
  <c r="B834" i="22"/>
  <c r="C834" i="22"/>
  <c r="D834" i="22"/>
  <c r="E834" i="22"/>
  <c r="G834" i="22"/>
  <c r="E835" i="22"/>
  <c r="D838" i="22"/>
  <c r="E845" i="22"/>
  <c r="A847" i="22"/>
  <c r="B847" i="22"/>
  <c r="C847" i="22"/>
  <c r="D847" i="22"/>
  <c r="B849" i="22"/>
  <c r="C849" i="22"/>
  <c r="D849" i="22"/>
  <c r="E849" i="22"/>
  <c r="G849" i="22"/>
  <c r="D851" i="22"/>
  <c r="E858" i="22"/>
  <c r="A860" i="22"/>
  <c r="B860" i="22"/>
  <c r="C860" i="22"/>
  <c r="D860" i="22"/>
  <c r="B862" i="22"/>
  <c r="C862" i="22"/>
  <c r="D862" i="22"/>
  <c r="E862" i="22"/>
  <c r="G862" i="22"/>
  <c r="B863" i="22"/>
  <c r="C863" i="22"/>
  <c r="D863" i="22"/>
  <c r="E863" i="22"/>
  <c r="G863" i="22"/>
  <c r="B866" i="22"/>
  <c r="C866" i="22"/>
  <c r="D866" i="22"/>
  <c r="E866" i="22"/>
  <c r="G866" i="22"/>
  <c r="D868" i="22"/>
  <c r="E875" i="22"/>
  <c r="A877" i="22"/>
  <c r="B877" i="22"/>
  <c r="C877" i="22"/>
  <c r="D877" i="22"/>
  <c r="B879" i="22"/>
  <c r="C879" i="22"/>
  <c r="D879" i="22"/>
  <c r="E879" i="22"/>
  <c r="G879" i="22"/>
  <c r="E880" i="22"/>
  <c r="B883" i="22"/>
  <c r="C883" i="22"/>
  <c r="D883" i="22"/>
  <c r="E883" i="22"/>
  <c r="G883" i="22"/>
  <c r="B885" i="22"/>
  <c r="C885" i="22"/>
  <c r="D885" i="22"/>
  <c r="E885" i="22"/>
  <c r="G885" i="22"/>
  <c r="E886" i="22"/>
  <c r="D889" i="22"/>
  <c r="E896" i="22"/>
  <c r="A898" i="22"/>
  <c r="B898" i="22"/>
  <c r="C898" i="22"/>
  <c r="D898" i="22"/>
  <c r="B900" i="22"/>
  <c r="D900" i="22"/>
  <c r="B902" i="22"/>
  <c r="D902" i="22"/>
  <c r="D904" i="22"/>
  <c r="E911" i="22"/>
  <c r="A913" i="22"/>
  <c r="B913" i="22"/>
  <c r="C913" i="22"/>
  <c r="D913" i="22"/>
  <c r="B915" i="22"/>
  <c r="C915" i="22"/>
  <c r="D915" i="22"/>
  <c r="E915" i="22"/>
  <c r="G915" i="22"/>
  <c r="B916" i="22"/>
  <c r="C916" i="22"/>
  <c r="D916" i="22"/>
  <c r="E916" i="22"/>
  <c r="G916" i="22"/>
  <c r="B919" i="22"/>
  <c r="C919" i="22"/>
  <c r="D919" i="22"/>
  <c r="E919" i="22"/>
  <c r="G919" i="22"/>
  <c r="D921" i="22"/>
  <c r="E928" i="22"/>
  <c r="A930" i="22"/>
  <c r="B930" i="22"/>
  <c r="C930" i="22"/>
  <c r="D930" i="22"/>
  <c r="B932" i="22"/>
  <c r="C932" i="22"/>
  <c r="D932" i="22"/>
  <c r="E932" i="22"/>
  <c r="G932" i="22"/>
  <c r="B933" i="22"/>
  <c r="C933" i="22"/>
  <c r="D933" i="22"/>
  <c r="E933" i="22"/>
  <c r="G933" i="22"/>
  <c r="B934" i="22"/>
  <c r="C934" i="22"/>
  <c r="D934" i="22"/>
  <c r="E934" i="22"/>
  <c r="G934" i="22"/>
  <c r="B937" i="22"/>
  <c r="C937" i="22"/>
  <c r="D937" i="22"/>
  <c r="E937" i="22"/>
  <c r="G937" i="22"/>
  <c r="D939" i="22"/>
  <c r="E946" i="22"/>
  <c r="A948" i="22"/>
  <c r="B948" i="22"/>
  <c r="C948" i="22"/>
  <c r="D948" i="22"/>
  <c r="B950" i="22"/>
  <c r="C950" i="22"/>
  <c r="D950" i="22"/>
  <c r="E950" i="22"/>
  <c r="G950" i="22"/>
  <c r="B952" i="22"/>
  <c r="C952" i="22"/>
  <c r="D952" i="22"/>
  <c r="E952" i="22"/>
  <c r="G952" i="22"/>
  <c r="B953" i="22"/>
  <c r="C953" i="22"/>
  <c r="D953" i="22"/>
  <c r="E953" i="22"/>
  <c r="G953" i="22"/>
  <c r="D956" i="22"/>
  <c r="E963" i="22"/>
  <c r="A965" i="22"/>
  <c r="B965" i="22"/>
  <c r="C965" i="22"/>
  <c r="D965" i="22"/>
  <c r="B967" i="22"/>
  <c r="D967" i="22"/>
  <c r="D969" i="22"/>
  <c r="E976" i="22"/>
  <c r="A978" i="22"/>
  <c r="B978" i="22"/>
  <c r="C978" i="22"/>
  <c r="D978" i="22"/>
  <c r="B980" i="22"/>
  <c r="C980" i="22"/>
  <c r="D980" i="22"/>
  <c r="E980" i="22"/>
  <c r="G980" i="22"/>
  <c r="B982" i="22"/>
  <c r="C982" i="22"/>
  <c r="D982" i="22"/>
  <c r="E982" i="22"/>
  <c r="G982" i="22"/>
  <c r="B984" i="22"/>
  <c r="C984" i="22"/>
  <c r="D984" i="22"/>
  <c r="E984" i="22"/>
  <c r="G984" i="22"/>
  <c r="D986" i="22"/>
  <c r="E993" i="22"/>
  <c r="A995" i="22"/>
  <c r="B995" i="22"/>
  <c r="C995" i="22"/>
  <c r="D995" i="22"/>
  <c r="B997" i="22"/>
  <c r="D997" i="22"/>
  <c r="D999" i="22"/>
  <c r="E1006" i="22"/>
  <c r="A1008" i="22"/>
  <c r="B1008" i="22"/>
  <c r="C1008" i="22"/>
  <c r="D1008" i="22"/>
  <c r="B1010" i="22"/>
  <c r="C1010" i="22"/>
  <c r="D1010" i="22"/>
  <c r="E1010" i="22"/>
  <c r="G1010" i="22"/>
  <c r="B1012" i="22"/>
  <c r="C1012" i="22"/>
  <c r="D1012" i="22"/>
  <c r="E1012" i="22"/>
  <c r="G1012" i="22"/>
  <c r="B1013" i="22"/>
  <c r="C1013" i="22"/>
  <c r="D1013" i="22"/>
  <c r="E1013" i="22"/>
  <c r="G1013" i="22"/>
  <c r="D1016" i="22"/>
  <c r="E1023" i="22"/>
  <c r="A1025" i="22"/>
  <c r="B1025" i="22"/>
  <c r="C1025" i="22"/>
  <c r="D1025" i="22"/>
  <c r="B1027" i="22"/>
  <c r="C1027" i="22"/>
  <c r="D1027" i="22"/>
  <c r="E1027" i="22"/>
  <c r="G1027" i="22"/>
  <c r="B1029" i="22"/>
  <c r="C1029" i="22"/>
  <c r="D1029" i="22"/>
  <c r="E1029" i="22"/>
  <c r="G1029" i="22"/>
  <c r="B1031" i="22"/>
  <c r="C1031" i="22"/>
  <c r="D1031" i="22"/>
  <c r="E1031" i="22"/>
  <c r="G1031" i="22"/>
  <c r="D1033" i="22"/>
  <c r="E1040" i="22"/>
  <c r="A1042" i="22"/>
  <c r="B1042" i="22"/>
  <c r="C1042" i="22"/>
  <c r="D1042" i="22"/>
  <c r="B1044" i="22"/>
  <c r="C1044" i="22"/>
  <c r="D1044" i="22"/>
  <c r="E1044" i="22"/>
  <c r="G1044" i="22"/>
  <c r="D1046" i="22"/>
  <c r="E1053" i="22"/>
  <c r="A1055" i="22"/>
  <c r="B1055" i="22"/>
  <c r="C1055" i="22"/>
  <c r="D1055" i="22"/>
  <c r="B1057" i="22"/>
  <c r="D1057" i="22"/>
  <c r="B1059" i="22"/>
  <c r="D1059" i="22"/>
  <c r="D1061" i="22"/>
  <c r="E1068" i="22"/>
  <c r="A1070" i="22"/>
  <c r="B1070" i="22"/>
  <c r="C1070" i="22"/>
  <c r="D1070" i="22"/>
  <c r="B1072" i="22"/>
  <c r="C1072" i="22"/>
  <c r="D1072" i="22"/>
  <c r="E1072" i="22"/>
  <c r="G1072" i="22"/>
  <c r="B1074" i="22"/>
  <c r="C1074" i="22"/>
  <c r="D1074" i="22"/>
  <c r="E1074" i="22"/>
  <c r="G1074" i="22"/>
  <c r="D1076" i="22"/>
  <c r="E1083" i="22"/>
  <c r="A1085" i="22"/>
  <c r="B1085" i="22"/>
  <c r="C1085" i="22"/>
  <c r="D1085" i="22"/>
  <c r="B1087" i="22"/>
  <c r="C1087" i="22"/>
  <c r="D1087" i="22"/>
  <c r="E1087" i="22"/>
  <c r="G1087" i="22"/>
  <c r="D1089" i="22"/>
  <c r="E1096" i="22"/>
  <c r="A1098" i="22"/>
  <c r="B1098" i="22"/>
  <c r="C1098" i="22"/>
  <c r="D1098" i="22"/>
  <c r="B1100" i="22"/>
  <c r="C1100" i="22"/>
  <c r="D1100" i="22"/>
  <c r="E1100" i="22"/>
  <c r="G1100" i="22"/>
  <c r="B1101" i="22"/>
  <c r="C1101" i="22"/>
  <c r="D1101" i="22"/>
  <c r="E1101" i="22"/>
  <c r="G1101" i="22"/>
  <c r="B1102" i="22"/>
  <c r="C1102" i="22"/>
  <c r="D1102" i="22"/>
  <c r="E1102" i="22"/>
  <c r="G1102" i="22"/>
  <c r="E1103" i="22"/>
  <c r="B1106" i="22"/>
  <c r="C1106" i="22"/>
  <c r="D1106" i="22"/>
  <c r="E1106" i="22"/>
  <c r="G1106" i="22"/>
  <c r="D1108" i="22"/>
  <c r="E1115" i="22"/>
  <c r="A1117" i="22"/>
  <c r="B1117" i="22"/>
  <c r="C1117" i="22"/>
  <c r="D1117" i="22"/>
  <c r="B1119" i="22"/>
  <c r="C1119" i="22"/>
  <c r="D1119" i="22"/>
  <c r="E1119" i="22"/>
  <c r="G1119" i="22"/>
  <c r="D1121" i="22"/>
  <c r="E1128" i="22"/>
  <c r="A1130" i="22"/>
  <c r="B1130" i="22"/>
  <c r="C1130" i="22"/>
  <c r="D1130" i="22"/>
  <c r="B1132" i="22"/>
  <c r="C1132" i="22"/>
  <c r="D1132" i="22"/>
  <c r="E1132" i="22"/>
  <c r="G1132" i="22"/>
  <c r="E1133" i="22"/>
  <c r="B1136" i="22"/>
  <c r="C1136" i="22"/>
  <c r="D1136" i="22"/>
  <c r="E1136" i="22"/>
  <c r="G1136" i="22"/>
  <c r="D1138" i="22"/>
  <c r="E1145" i="22"/>
  <c r="A1147" i="22"/>
  <c r="B1147" i="22"/>
  <c r="C1147" i="22"/>
  <c r="D1147" i="22"/>
  <c r="B1149" i="22"/>
  <c r="C1149" i="22"/>
  <c r="D1149" i="22"/>
  <c r="E1149" i="22"/>
  <c r="G1149" i="22"/>
  <c r="B1150" i="22"/>
  <c r="C1150" i="22"/>
  <c r="D1150" i="22"/>
  <c r="E1150" i="22"/>
  <c r="G1150" i="22"/>
  <c r="B1153" i="22"/>
  <c r="C1153" i="22"/>
  <c r="D1153" i="22"/>
  <c r="E1153" i="22"/>
  <c r="G1153" i="22"/>
  <c r="D1155" i="22"/>
  <c r="E1162" i="22"/>
  <c r="A1164" i="22"/>
  <c r="B1164" i="22"/>
  <c r="C1164" i="22"/>
  <c r="D1164" i="22"/>
  <c r="B1166" i="22"/>
  <c r="C1166" i="22"/>
  <c r="D1166" i="22"/>
  <c r="E1166" i="22"/>
  <c r="G1166" i="22"/>
  <c r="B1167" i="22"/>
  <c r="C1167" i="22"/>
  <c r="D1167" i="22"/>
  <c r="E1167" i="22"/>
  <c r="G1167" i="22"/>
  <c r="B1168" i="22"/>
  <c r="C1168" i="22"/>
  <c r="D1168" i="22"/>
  <c r="E1168" i="22"/>
  <c r="G1168" i="22"/>
  <c r="B1169" i="22"/>
  <c r="C1169" i="22"/>
  <c r="D1169" i="22"/>
  <c r="E1169" i="22"/>
  <c r="G1169" i="22"/>
  <c r="E1170" i="22"/>
  <c r="B1173" i="22"/>
  <c r="C1173" i="22"/>
  <c r="D1173" i="22"/>
  <c r="E1173" i="22"/>
  <c r="G1173" i="22"/>
  <c r="D1175" i="22"/>
  <c r="E1182" i="22"/>
  <c r="A1184" i="22"/>
  <c r="B1184" i="22"/>
  <c r="C1184" i="22"/>
  <c r="D1184" i="22"/>
  <c r="B1186" i="22"/>
  <c r="C1186" i="22"/>
  <c r="D1186" i="22"/>
  <c r="E1186" i="22"/>
  <c r="G1186" i="22"/>
  <c r="B1187" i="22"/>
  <c r="C1187" i="22"/>
  <c r="D1187" i="22"/>
  <c r="E1187" i="22"/>
  <c r="G1187" i="22"/>
  <c r="B1188" i="22"/>
  <c r="C1188" i="22"/>
  <c r="D1188" i="22"/>
  <c r="E1188" i="22"/>
  <c r="G1188" i="22"/>
  <c r="B1189" i="22"/>
  <c r="C1189" i="22"/>
  <c r="D1189" i="22"/>
  <c r="E1189" i="22"/>
  <c r="G1189" i="22"/>
  <c r="E1190" i="22"/>
  <c r="B1193" i="22"/>
  <c r="C1193" i="22"/>
  <c r="D1193" i="22"/>
  <c r="E1193" i="22"/>
  <c r="G1193" i="22"/>
  <c r="B1195" i="22"/>
  <c r="C1195" i="22"/>
  <c r="D1195" i="22"/>
  <c r="E1195" i="22"/>
  <c r="G1195" i="22"/>
  <c r="B1196" i="22"/>
  <c r="C1196" i="22"/>
  <c r="D1196" i="22"/>
  <c r="E1196" i="22"/>
  <c r="G1196" i="22"/>
  <c r="D1199" i="22"/>
  <c r="E1206" i="22"/>
  <c r="A1208" i="22"/>
  <c r="B1208" i="22"/>
  <c r="C1208" i="22"/>
  <c r="D1208" i="22"/>
  <c r="B1210" i="22"/>
  <c r="C1210" i="22"/>
  <c r="D1210" i="22"/>
  <c r="E1210" i="22"/>
  <c r="G1210" i="22"/>
  <c r="B1211" i="22"/>
  <c r="C1211" i="22"/>
  <c r="D1211" i="22"/>
  <c r="E1211" i="22"/>
  <c r="G1211" i="22"/>
  <c r="B1212" i="22"/>
  <c r="C1212" i="22"/>
  <c r="D1212" i="22"/>
  <c r="E1212" i="22"/>
  <c r="G1212" i="22"/>
  <c r="E1213" i="22"/>
  <c r="B1216" i="22"/>
  <c r="C1216" i="22"/>
  <c r="D1216" i="22"/>
  <c r="E1216" i="22"/>
  <c r="G1216" i="22"/>
  <c r="B1218" i="22"/>
  <c r="C1218" i="22"/>
  <c r="D1218" i="22"/>
  <c r="E1218" i="22"/>
  <c r="G1218" i="22"/>
  <c r="D1220" i="22"/>
  <c r="E1227" i="22"/>
  <c r="A1229" i="22"/>
  <c r="B1229" i="22"/>
  <c r="C1229" i="22"/>
  <c r="D1229" i="22"/>
  <c r="B1231" i="22"/>
  <c r="C1231" i="22"/>
  <c r="D1231" i="22"/>
  <c r="E1231" i="22"/>
  <c r="G1231" i="22"/>
  <c r="B1232" i="22"/>
  <c r="C1232" i="22"/>
  <c r="D1232" i="22"/>
  <c r="E1232" i="22"/>
  <c r="G1232" i="22"/>
  <c r="B1233" i="22"/>
  <c r="C1233" i="22"/>
  <c r="D1233" i="22"/>
  <c r="E1233" i="22"/>
  <c r="G1233" i="22"/>
  <c r="B1234" i="22"/>
  <c r="C1234" i="22"/>
  <c r="D1234" i="22"/>
  <c r="E1234" i="22"/>
  <c r="G1234" i="22"/>
  <c r="E1235" i="22"/>
  <c r="B1238" i="22"/>
  <c r="C1238" i="22"/>
  <c r="D1238" i="22"/>
  <c r="E1238" i="22"/>
  <c r="G1238" i="22"/>
  <c r="D1240" i="22"/>
  <c r="E1247" i="22"/>
  <c r="A1249" i="22"/>
  <c r="B1249" i="22"/>
  <c r="C1249" i="22"/>
  <c r="D1249" i="22"/>
  <c r="B1251" i="22"/>
  <c r="C1251" i="22"/>
  <c r="D1251" i="22"/>
  <c r="E1251" i="22"/>
  <c r="G1251" i="22"/>
  <c r="B1252" i="22"/>
  <c r="C1252" i="22"/>
  <c r="D1252" i="22"/>
  <c r="E1252" i="22"/>
  <c r="G1252" i="22"/>
  <c r="B1253" i="22"/>
  <c r="C1253" i="22"/>
  <c r="D1253" i="22"/>
  <c r="E1253" i="22"/>
  <c r="G1253" i="22"/>
  <c r="B1254" i="22"/>
  <c r="C1254" i="22"/>
  <c r="D1254" i="22"/>
  <c r="E1254" i="22"/>
  <c r="G1254" i="22"/>
  <c r="E1255" i="22"/>
  <c r="B1258" i="22"/>
  <c r="C1258" i="22"/>
  <c r="D1258" i="22"/>
  <c r="E1258" i="22"/>
  <c r="G1258" i="22"/>
  <c r="B1260" i="22"/>
  <c r="C1260" i="22"/>
  <c r="D1260" i="22"/>
  <c r="E1260" i="22"/>
  <c r="G1260" i="22"/>
  <c r="B1261" i="22"/>
  <c r="C1261" i="22"/>
  <c r="D1261" i="22"/>
  <c r="E1261" i="22"/>
  <c r="G1261" i="22"/>
  <c r="D1264" i="22"/>
  <c r="E1271" i="22"/>
  <c r="A1273" i="22"/>
  <c r="B1273" i="22"/>
  <c r="C1273" i="22"/>
  <c r="D1273" i="22"/>
  <c r="B1275" i="22"/>
  <c r="C1275" i="22"/>
  <c r="D1275" i="22"/>
  <c r="E1275" i="22"/>
  <c r="G1275" i="22"/>
  <c r="B1276" i="22"/>
  <c r="C1276" i="22"/>
  <c r="D1276" i="22"/>
  <c r="E1276" i="22"/>
  <c r="G1276" i="22"/>
  <c r="B1279" i="22"/>
  <c r="C1279" i="22"/>
  <c r="D1279" i="22"/>
  <c r="E1279" i="22"/>
  <c r="G1279" i="22"/>
  <c r="B1281" i="22"/>
  <c r="C1281" i="22"/>
  <c r="D1281" i="22"/>
  <c r="E1281" i="22"/>
  <c r="G1281" i="22"/>
  <c r="D1283" i="22"/>
  <c r="E1290" i="22"/>
  <c r="A1292" i="22"/>
  <c r="B1292" i="22"/>
  <c r="C1292" i="22"/>
  <c r="D1292" i="22"/>
  <c r="B1294" i="22"/>
  <c r="C1294" i="22"/>
  <c r="D1294" i="22"/>
  <c r="E1294" i="22"/>
  <c r="G1294" i="22"/>
  <c r="B1295" i="22"/>
  <c r="C1295" i="22"/>
  <c r="D1295" i="22"/>
  <c r="E1295" i="22"/>
  <c r="G1295" i="22"/>
  <c r="B1296" i="22"/>
  <c r="C1296" i="22"/>
  <c r="D1296" i="22"/>
  <c r="E1296" i="22"/>
  <c r="G1296" i="22"/>
  <c r="B1299" i="22"/>
  <c r="C1299" i="22"/>
  <c r="D1299" i="22"/>
  <c r="E1299" i="22"/>
  <c r="G1299" i="22"/>
  <c r="B1301" i="22"/>
  <c r="C1301" i="22"/>
  <c r="D1301" i="22"/>
  <c r="E1301" i="22"/>
  <c r="G1301" i="22"/>
  <c r="B1302" i="22"/>
  <c r="C1302" i="22"/>
  <c r="D1302" i="22"/>
  <c r="E1302" i="22"/>
  <c r="G1302" i="22"/>
  <c r="D1305" i="22"/>
  <c r="E1312" i="22"/>
  <c r="A1314" i="22"/>
  <c r="B1314" i="22"/>
  <c r="C1314" i="22"/>
  <c r="D1314" i="22"/>
  <c r="B1316" i="22"/>
  <c r="C1316" i="22"/>
  <c r="D1316" i="22"/>
  <c r="E1316" i="22"/>
  <c r="G1316" i="22"/>
  <c r="D1318" i="22"/>
  <c r="E1325" i="22"/>
  <c r="A1327" i="22"/>
  <c r="B1327" i="22"/>
  <c r="C1327" i="22"/>
  <c r="D1327" i="22"/>
  <c r="B1329" i="22"/>
  <c r="C1329" i="22"/>
  <c r="D1329" i="22"/>
  <c r="E1329" i="22"/>
  <c r="G1329" i="22"/>
  <c r="D1331" i="22"/>
  <c r="E1338" i="22"/>
  <c r="A2" i="23"/>
  <c r="A3" i="23"/>
  <c r="H4" i="23"/>
  <c r="E4" i="24"/>
  <c r="J4" i="24"/>
  <c r="O4" i="24"/>
  <c r="A2" i="25"/>
  <c r="A3" i="25"/>
  <c r="F4" i="25"/>
  <c r="G4" i="25"/>
  <c r="H4" i="25"/>
  <c r="I4" i="25"/>
  <c r="J4" i="25"/>
  <c r="B5" i="25"/>
  <c r="C5" i="25"/>
  <c r="C25" i="25"/>
  <c r="C6" i="25"/>
  <c r="B7" i="25"/>
  <c r="C7" i="25"/>
  <c r="D7" i="25"/>
  <c r="E7" i="25"/>
  <c r="F7" i="25"/>
  <c r="B8" i="25"/>
  <c r="C8" i="25"/>
  <c r="D8" i="25"/>
  <c r="E8" i="25"/>
  <c r="F8" i="25"/>
  <c r="B9" i="25"/>
  <c r="C9" i="25"/>
  <c r="D9" i="25"/>
  <c r="E9" i="25"/>
  <c r="F9" i="25"/>
  <c r="B10" i="25"/>
  <c r="C10" i="25"/>
  <c r="D10" i="25"/>
  <c r="E10" i="25"/>
  <c r="G10" i="25"/>
  <c r="H10" i="25"/>
  <c r="B11" i="25"/>
  <c r="C11" i="25"/>
  <c r="D11" i="25"/>
  <c r="A13" i="25"/>
  <c r="B13" i="25"/>
  <c r="C13" i="25"/>
  <c r="D13" i="25"/>
  <c r="E13" i="25"/>
  <c r="F13" i="25"/>
  <c r="G13" i="25"/>
  <c r="A14" i="25"/>
  <c r="B14" i="25"/>
  <c r="C14" i="25"/>
  <c r="D14" i="25"/>
  <c r="E14" i="25"/>
  <c r="F14" i="25"/>
  <c r="G14" i="25"/>
  <c r="A16" i="25"/>
  <c r="B16" i="25"/>
  <c r="C16" i="25"/>
  <c r="D16" i="25"/>
  <c r="E16" i="25"/>
  <c r="F16" i="25"/>
  <c r="G16" i="25"/>
  <c r="A17" i="25"/>
  <c r="B17" i="25"/>
  <c r="C17" i="25"/>
  <c r="D17" i="25"/>
  <c r="F17" i="25"/>
  <c r="G17" i="25"/>
  <c r="C18" i="25"/>
  <c r="B19" i="25"/>
  <c r="C19" i="25"/>
  <c r="D19" i="25"/>
  <c r="E19" i="25"/>
  <c r="H19" i="25"/>
  <c r="B20" i="25"/>
  <c r="C20" i="25"/>
  <c r="D20" i="25"/>
  <c r="E20" i="25"/>
  <c r="B21" i="25"/>
  <c r="C21" i="25"/>
  <c r="D21" i="25"/>
  <c r="E21" i="25"/>
  <c r="B22" i="25"/>
  <c r="C22" i="25"/>
  <c r="D22" i="25"/>
  <c r="B23" i="25"/>
  <c r="C23" i="25"/>
  <c r="D23" i="25"/>
  <c r="E23" i="25"/>
  <c r="B24" i="25"/>
  <c r="C24" i="25"/>
  <c r="D24" i="25"/>
  <c r="E24" i="25"/>
  <c r="B26" i="25"/>
  <c r="C26" i="25"/>
  <c r="C99" i="25"/>
  <c r="C27" i="25"/>
  <c r="C28" i="25"/>
  <c r="A30" i="25"/>
  <c r="B30" i="25"/>
  <c r="C30" i="25"/>
  <c r="D30" i="25"/>
  <c r="D29" i="25"/>
  <c r="E30" i="25"/>
  <c r="E29" i="25" s="1"/>
  <c r="F30" i="25"/>
  <c r="A31" i="25"/>
  <c r="B31" i="25"/>
  <c r="C31" i="25"/>
  <c r="D31" i="25"/>
  <c r="E31" i="25"/>
  <c r="F31" i="25"/>
  <c r="H31" i="25"/>
  <c r="B32" i="25"/>
  <c r="C32" i="25"/>
  <c r="D32" i="25"/>
  <c r="F32" i="25"/>
  <c r="A34" i="25"/>
  <c r="B34" i="25"/>
  <c r="C34" i="25"/>
  <c r="D34" i="25"/>
  <c r="E34" i="25"/>
  <c r="F34" i="25"/>
  <c r="G34" i="25"/>
  <c r="A35" i="25"/>
  <c r="B35" i="25"/>
  <c r="C35" i="25"/>
  <c r="D35" i="25"/>
  <c r="E35" i="25"/>
  <c r="F35" i="25"/>
  <c r="G35" i="25"/>
  <c r="B36" i="25"/>
  <c r="C36" i="25"/>
  <c r="D36" i="25"/>
  <c r="E36" i="25"/>
  <c r="H36" i="25"/>
  <c r="B37" i="25"/>
  <c r="C37" i="25"/>
  <c r="D37" i="25"/>
  <c r="E37" i="25"/>
  <c r="H37" i="25"/>
  <c r="B38" i="25"/>
  <c r="C38" i="25"/>
  <c r="D38" i="25"/>
  <c r="B39" i="25"/>
  <c r="C39" i="25"/>
  <c r="D39" i="25"/>
  <c r="E39" i="25"/>
  <c r="B40" i="25"/>
  <c r="C40" i="25"/>
  <c r="D40" i="25"/>
  <c r="E40" i="25"/>
  <c r="B41" i="25"/>
  <c r="C41" i="25"/>
  <c r="D41" i="25"/>
  <c r="E41" i="25"/>
  <c r="B42" i="25"/>
  <c r="C42" i="25"/>
  <c r="D42" i="25"/>
  <c r="E42" i="25"/>
  <c r="H42" i="25"/>
  <c r="B43" i="25"/>
  <c r="C43" i="25"/>
  <c r="D43" i="25"/>
  <c r="E43" i="25"/>
  <c r="B44" i="25"/>
  <c r="C44" i="25"/>
  <c r="D44" i="25"/>
  <c r="B45" i="25"/>
  <c r="C45" i="25"/>
  <c r="D45" i="25"/>
  <c r="C46" i="25"/>
  <c r="B47" i="25"/>
  <c r="C47" i="25"/>
  <c r="D47" i="25"/>
  <c r="E47" i="25"/>
  <c r="B48" i="25"/>
  <c r="C48" i="25"/>
  <c r="D48" i="25"/>
  <c r="E48" i="25"/>
  <c r="B49" i="25"/>
  <c r="C49" i="25"/>
  <c r="D49" i="25"/>
  <c r="E49" i="25"/>
  <c r="F49" i="25"/>
  <c r="C50" i="25"/>
  <c r="C51" i="25"/>
  <c r="B52" i="25"/>
  <c r="C52" i="25"/>
  <c r="D52" i="25"/>
  <c r="E52" i="25"/>
  <c r="H52" i="25"/>
  <c r="B53" i="25"/>
  <c r="C53" i="25"/>
  <c r="D53" i="25"/>
  <c r="E53" i="25"/>
  <c r="B54" i="25"/>
  <c r="C54" i="25"/>
  <c r="D54" i="25"/>
  <c r="E54" i="25"/>
  <c r="B55" i="25"/>
  <c r="C55" i="25"/>
  <c r="D55" i="25"/>
  <c r="F55" i="25"/>
  <c r="C56" i="25"/>
  <c r="B57" i="25"/>
  <c r="C57" i="25"/>
  <c r="D57" i="25"/>
  <c r="E57" i="25"/>
  <c r="B58" i="25"/>
  <c r="C58" i="25"/>
  <c r="D58" i="25"/>
  <c r="E58" i="25"/>
  <c r="B59" i="25"/>
  <c r="C59" i="25"/>
  <c r="D59" i="25"/>
  <c r="E59" i="25"/>
  <c r="H59" i="25"/>
  <c r="B60" i="25"/>
  <c r="C60" i="25"/>
  <c r="D60" i="25"/>
  <c r="E60" i="25"/>
  <c r="B61" i="25"/>
  <c r="C61" i="25"/>
  <c r="D61" i="25"/>
  <c r="G61" i="25"/>
  <c r="H61" i="25"/>
  <c r="C62" i="25"/>
  <c r="A64" i="25"/>
  <c r="B64" i="25"/>
  <c r="C64" i="25"/>
  <c r="D64" i="25"/>
  <c r="D63" i="25" s="1"/>
  <c r="E64" i="25"/>
  <c r="F64" i="25"/>
  <c r="A65" i="25"/>
  <c r="B65" i="25"/>
  <c r="C65" i="25"/>
  <c r="D65" i="25"/>
  <c r="F65" i="25"/>
  <c r="H65" i="25"/>
  <c r="B66" i="25"/>
  <c r="C66" i="25"/>
  <c r="D66" i="25"/>
  <c r="E66" i="25"/>
  <c r="F66" i="25"/>
  <c r="B67" i="25"/>
  <c r="C67" i="25"/>
  <c r="D67" i="25"/>
  <c r="E67" i="25"/>
  <c r="F67" i="25"/>
  <c r="G67" i="25"/>
  <c r="B68" i="25"/>
  <c r="C68" i="25"/>
  <c r="D68" i="25"/>
  <c r="E68" i="25"/>
  <c r="H68" i="25"/>
  <c r="B69" i="25"/>
  <c r="C69" i="25"/>
  <c r="D69" i="25"/>
  <c r="E69" i="25"/>
  <c r="B70" i="25"/>
  <c r="C70" i="25"/>
  <c r="D70" i="25"/>
  <c r="E70" i="25"/>
  <c r="H70" i="25"/>
  <c r="B71" i="25"/>
  <c r="C71" i="25"/>
  <c r="D71" i="25"/>
  <c r="E71" i="25"/>
  <c r="H71" i="25"/>
  <c r="B72" i="25"/>
  <c r="C72" i="25"/>
  <c r="D72" i="25"/>
  <c r="H72" i="25"/>
  <c r="C73" i="25"/>
  <c r="B74" i="25"/>
  <c r="C74" i="25"/>
  <c r="D74" i="25"/>
  <c r="F74" i="25"/>
  <c r="B75" i="25"/>
  <c r="C75" i="25"/>
  <c r="D75" i="25"/>
  <c r="E75" i="25"/>
  <c r="G75" i="25"/>
  <c r="H75" i="25"/>
  <c r="B76" i="25"/>
  <c r="C76" i="25"/>
  <c r="D76" i="25"/>
  <c r="E76" i="25"/>
  <c r="B77" i="25"/>
  <c r="C77" i="25"/>
  <c r="D77" i="25"/>
  <c r="E77" i="25"/>
  <c r="G77" i="25"/>
  <c r="H77" i="25"/>
  <c r="B78" i="25"/>
  <c r="C78" i="25"/>
  <c r="D78" i="25"/>
  <c r="E78" i="25"/>
  <c r="F78" i="25"/>
  <c r="B79" i="25"/>
  <c r="C79" i="25"/>
  <c r="D79" i="25"/>
  <c r="E79" i="25"/>
  <c r="B80" i="25"/>
  <c r="C80" i="25"/>
  <c r="D80" i="25"/>
  <c r="E80" i="25"/>
  <c r="F80" i="25"/>
  <c r="G80" i="25"/>
  <c r="B81" i="25"/>
  <c r="C81" i="25"/>
  <c r="D81" i="25"/>
  <c r="F81" i="25"/>
  <c r="C82" i="25"/>
  <c r="B83" i="25"/>
  <c r="C83" i="25"/>
  <c r="D83" i="25"/>
  <c r="E83" i="25"/>
  <c r="F83" i="25"/>
  <c r="B84" i="25"/>
  <c r="C84" i="25"/>
  <c r="D84" i="25"/>
  <c r="F84" i="25"/>
  <c r="H84" i="25"/>
  <c r="B85" i="25"/>
  <c r="C85" i="25"/>
  <c r="D85" i="25"/>
  <c r="E85" i="25"/>
  <c r="H85" i="25"/>
  <c r="B86" i="25"/>
  <c r="C86" i="25"/>
  <c r="D86" i="25"/>
  <c r="E86" i="25"/>
  <c r="F86" i="25"/>
  <c r="H86" i="25"/>
  <c r="B87" i="25"/>
  <c r="C87" i="25"/>
  <c r="D87" i="25"/>
  <c r="E87" i="25"/>
  <c r="H87" i="25"/>
  <c r="B88" i="25"/>
  <c r="C88" i="25"/>
  <c r="D88" i="25"/>
  <c r="H88" i="25"/>
  <c r="B89" i="25"/>
  <c r="C89" i="25"/>
  <c r="D89" i="25"/>
  <c r="E89" i="25"/>
  <c r="H89" i="25"/>
  <c r="B90" i="25"/>
  <c r="C90" i="25"/>
  <c r="D90" i="25"/>
  <c r="E90" i="25"/>
  <c r="B91" i="25"/>
  <c r="C91" i="25"/>
  <c r="D91" i="25"/>
  <c r="B92" i="25"/>
  <c r="C92" i="25"/>
  <c r="D92" i="25"/>
  <c r="H92" i="25"/>
  <c r="B93" i="25"/>
  <c r="C93" i="25"/>
  <c r="D93" i="25"/>
  <c r="E93" i="25"/>
  <c r="B94" i="25"/>
  <c r="C94" i="25"/>
  <c r="D94" i="25"/>
  <c r="E94" i="25"/>
  <c r="B95" i="25"/>
  <c r="C95" i="25"/>
  <c r="D95" i="25"/>
  <c r="E95" i="25"/>
  <c r="A97" i="25"/>
  <c r="B97" i="25"/>
  <c r="C97" i="25"/>
  <c r="D97" i="25"/>
  <c r="F97" i="25"/>
  <c r="G97" i="25"/>
  <c r="A98" i="25"/>
  <c r="B98" i="25"/>
  <c r="C98" i="25"/>
  <c r="D98" i="25"/>
  <c r="E98" i="25"/>
  <c r="F98" i="25"/>
  <c r="G98" i="25"/>
  <c r="A1" i="27"/>
  <c r="F4" i="27"/>
  <c r="F5" i="27"/>
  <c r="F6" i="27"/>
  <c r="F7" i="27"/>
  <c r="C12" i="27"/>
  <c r="D12" i="27"/>
  <c r="E12" i="27"/>
  <c r="H12" i="27"/>
  <c r="I12" i="27"/>
  <c r="E13" i="27"/>
  <c r="E14" i="27"/>
  <c r="D16" i="27"/>
  <c r="A6" i="28"/>
  <c r="B12" i="28"/>
  <c r="B15" i="28"/>
  <c r="B17" i="28"/>
  <c r="A2" i="35"/>
  <c r="A3" i="35"/>
  <c r="C13" i="35"/>
  <c r="E203" i="22" s="1"/>
  <c r="C680" i="22"/>
  <c r="C14" i="35"/>
  <c r="C15" i="35"/>
  <c r="C16" i="35"/>
  <c r="C127" i="22" s="1"/>
  <c r="C17" i="35"/>
  <c r="C1338" i="22" s="1"/>
  <c r="C1290" i="22"/>
  <c r="C588" i="22"/>
  <c r="C18" i="35"/>
  <c r="C14" i="22" s="1"/>
  <c r="E429" i="22"/>
  <c r="C19" i="35"/>
  <c r="E3" i="36"/>
  <c r="D16" i="18"/>
  <c r="E6" i="36"/>
  <c r="D31" i="18"/>
  <c r="F31" i="18"/>
  <c r="E7" i="36"/>
  <c r="D32" i="18"/>
  <c r="F32" i="18"/>
  <c r="E8" i="36"/>
  <c r="D41" i="18"/>
  <c r="F41" i="18" s="1"/>
  <c r="E9" i="36"/>
  <c r="D50" i="18"/>
  <c r="F50" i="18" s="1"/>
  <c r="U79" i="55"/>
  <c r="V79" i="55"/>
  <c r="E1321" i="22"/>
  <c r="C1271" i="22"/>
  <c r="E63" i="22"/>
  <c r="C1312" i="22"/>
  <c r="C1182" i="22"/>
  <c r="C1110" i="22"/>
  <c r="C928" i="22"/>
  <c r="C869" i="22"/>
  <c r="C643" i="22"/>
  <c r="D24" i="13"/>
  <c r="C181" i="22"/>
  <c r="C455" i="22"/>
  <c r="C541" i="22"/>
  <c r="C67" i="22"/>
  <c r="C90" i="22"/>
  <c r="C142" i="22"/>
  <c r="C412" i="22"/>
  <c r="C625" i="22"/>
  <c r="C684" i="22"/>
  <c r="C1023" i="22"/>
  <c r="C207" i="22"/>
  <c r="C519" i="22"/>
  <c r="C786" i="22"/>
  <c r="C896" i="22"/>
  <c r="C368" i="22"/>
  <c r="C799" i="22"/>
  <c r="C814" i="22"/>
  <c r="C1162" i="22"/>
  <c r="C1128" i="22"/>
  <c r="C1115" i="22"/>
  <c r="C1096" i="22"/>
  <c r="C662" i="22"/>
  <c r="E619" i="22"/>
  <c r="H15" i="15"/>
  <c r="I15" i="15"/>
  <c r="C320" i="22"/>
  <c r="C363" i="22"/>
  <c r="E31" i="22"/>
  <c r="C111" i="22"/>
  <c r="C923" i="22"/>
  <c r="C971" i="22"/>
  <c r="C605" i="22"/>
  <c r="C620" i="22"/>
  <c r="E62" i="22"/>
  <c r="E154" i="22"/>
  <c r="C891" i="22"/>
  <c r="E245" i="22"/>
  <c r="E406" i="22"/>
  <c r="C957" i="22"/>
  <c r="C1062" i="22"/>
  <c r="E288" i="22"/>
  <c r="E345" i="22"/>
  <c r="C1266" i="22"/>
  <c r="C993" i="22"/>
  <c r="C809" i="22"/>
  <c r="C136" i="22"/>
  <c r="E49" i="22"/>
  <c r="I57" i="18"/>
  <c r="H18" i="15"/>
  <c r="I18" i="15"/>
  <c r="H14" i="15"/>
  <c r="H6" i="15"/>
  <c r="T40" i="7"/>
  <c r="R107" i="6"/>
  <c r="R206" i="6"/>
  <c r="R283" i="6"/>
  <c r="R168" i="6"/>
  <c r="R456" i="6"/>
  <c r="R312" i="6"/>
  <c r="R209" i="6"/>
  <c r="R180" i="6"/>
  <c r="R286" i="6"/>
  <c r="R490" i="6"/>
  <c r="R302" i="6"/>
  <c r="R470" i="6"/>
  <c r="R51" i="6"/>
  <c r="T35" i="7"/>
  <c r="R229" i="6"/>
  <c r="T46" i="7"/>
  <c r="R228" i="6"/>
  <c r="T45" i="7"/>
  <c r="R57" i="6"/>
  <c r="T44" i="7"/>
  <c r="Z27" i="10"/>
  <c r="R231" i="6"/>
  <c r="T31" i="7"/>
  <c r="R268" i="6"/>
  <c r="T29" i="7"/>
  <c r="R320" i="6"/>
  <c r="R197" i="6"/>
  <c r="R146" i="6"/>
  <c r="R426" i="6"/>
  <c r="T28" i="7"/>
  <c r="R447" i="6"/>
  <c r="R478" i="6"/>
  <c r="R147" i="6"/>
  <c r="R200" i="6"/>
  <c r="R149" i="6"/>
  <c r="R232" i="6"/>
  <c r="T23" i="7"/>
  <c r="R69" i="6"/>
  <c r="T21" i="7"/>
  <c r="R157" i="6"/>
  <c r="R254" i="6"/>
  <c r="R458" i="6"/>
  <c r="R489" i="6"/>
  <c r="R285" i="6"/>
  <c r="R331" i="6"/>
  <c r="R208" i="6"/>
  <c r="T20" i="7"/>
  <c r="T16" i="7"/>
  <c r="R68" i="6"/>
  <c r="R207" i="6"/>
  <c r="R284" i="6"/>
  <c r="R156" i="6"/>
  <c r="R253" i="6"/>
  <c r="R457" i="6"/>
  <c r="R488" i="6"/>
  <c r="T15" i="7"/>
  <c r="R330" i="6"/>
  <c r="T13" i="7"/>
  <c r="T12" i="7"/>
  <c r="R106" i="6"/>
  <c r="T50" i="7"/>
  <c r="K29" i="7"/>
  <c r="U11" i="1"/>
  <c r="V11" i="1"/>
  <c r="F26" i="1"/>
  <c r="C25" i="12"/>
  <c r="W11" i="1"/>
  <c r="X11" i="1"/>
  <c r="E12" i="6"/>
  <c r="O10" i="7"/>
  <c r="F997" i="22"/>
  <c r="H997" i="22" s="1"/>
  <c r="H996" i="22" s="1"/>
  <c r="K6" i="7"/>
  <c r="O6" i="7"/>
  <c r="Q6" i="7"/>
  <c r="R92" i="6"/>
  <c r="R104" i="6"/>
  <c r="T43" i="7"/>
  <c r="R230" i="6"/>
  <c r="T39" i="7"/>
  <c r="R105" i="6"/>
  <c r="T34" i="7"/>
  <c r="R199" i="6"/>
  <c r="R480" i="6"/>
  <c r="R179" i="6"/>
  <c r="R169" i="6"/>
  <c r="T14" i="7"/>
  <c r="R301" i="6"/>
  <c r="K37" i="7"/>
  <c r="K47" i="7"/>
  <c r="K31" i="7"/>
  <c r="AW26" i="9" s="1"/>
  <c r="AO26" i="9" s="1"/>
  <c r="K9" i="7"/>
  <c r="F967" i="22"/>
  <c r="H967" i="22"/>
  <c r="H966" i="22" s="1"/>
  <c r="K315" i="6"/>
  <c r="M313" i="6"/>
  <c r="K41" i="7"/>
  <c r="AW35" i="9" s="1"/>
  <c r="AO35" i="9" s="1"/>
  <c r="K33" i="7"/>
  <c r="Y28" i="10" s="1"/>
  <c r="K25" i="7"/>
  <c r="K17" i="7"/>
  <c r="AW8" i="9"/>
  <c r="AO8" i="9" s="1"/>
  <c r="I8" i="7"/>
  <c r="K8" i="7"/>
  <c r="L8" i="7"/>
  <c r="K408" i="6"/>
  <c r="L410" i="6"/>
  <c r="K64" i="5"/>
  <c r="K43" i="7"/>
  <c r="K35" i="7"/>
  <c r="Y30" i="10"/>
  <c r="Z30" i="10" s="1"/>
  <c r="K27" i="7"/>
  <c r="K19" i="7"/>
  <c r="Y14" i="10" s="1"/>
  <c r="K15" i="7"/>
  <c r="AW10" i="9" s="1"/>
  <c r="AO10" i="9" s="1"/>
  <c r="K341" i="6"/>
  <c r="L343" i="6"/>
  <c r="J302" i="6"/>
  <c r="J245" i="6"/>
  <c r="J90" i="6"/>
  <c r="L97" i="6"/>
  <c r="J92" i="6"/>
  <c r="N99" i="6"/>
  <c r="M93" i="6"/>
  <c r="J91" i="6"/>
  <c r="K95" i="6"/>
  <c r="L98" i="6"/>
  <c r="J57" i="6"/>
  <c r="E44" i="7"/>
  <c r="K61" i="6"/>
  <c r="L63" i="6"/>
  <c r="M59" i="6"/>
  <c r="N64" i="6"/>
  <c r="J58" i="6"/>
  <c r="U127" i="1"/>
  <c r="F134" i="1"/>
  <c r="C136" i="12"/>
  <c r="V127" i="1"/>
  <c r="W127" i="1"/>
  <c r="X127" i="1"/>
  <c r="U93" i="1"/>
  <c r="V93" i="1"/>
  <c r="W93" i="1"/>
  <c r="X93" i="1"/>
  <c r="U56" i="1"/>
  <c r="V56" i="1"/>
  <c r="W56" i="1"/>
  <c r="X56" i="1"/>
  <c r="E144" i="6"/>
  <c r="J146" i="6"/>
  <c r="K502" i="6"/>
  <c r="J426" i="6"/>
  <c r="J322" i="6"/>
  <c r="J300" i="6"/>
  <c r="J252" i="6"/>
  <c r="J255" i="6"/>
  <c r="K272" i="6"/>
  <c r="E58" i="7"/>
  <c r="G58" i="7" s="1"/>
  <c r="M270" i="6"/>
  <c r="J200" i="6"/>
  <c r="K211" i="5"/>
  <c r="K210" i="5"/>
  <c r="K196" i="5"/>
  <c r="K195" i="5"/>
  <c r="L11" i="4"/>
  <c r="U110" i="1"/>
  <c r="V110" i="1"/>
  <c r="W110" i="1"/>
  <c r="X110" i="1"/>
  <c r="K173" i="6"/>
  <c r="K151" i="5"/>
  <c r="O9" i="4"/>
  <c r="L9" i="4"/>
  <c r="K75" i="5"/>
  <c r="L12" i="4"/>
  <c r="L10" i="4"/>
  <c r="L8" i="4"/>
  <c r="K8" i="4"/>
  <c r="U154" i="1"/>
  <c r="V154" i="1"/>
  <c r="W154" i="1"/>
  <c r="W137" i="1"/>
  <c r="U133" i="1"/>
  <c r="V133" i="1"/>
  <c r="W133" i="1"/>
  <c r="X52" i="1"/>
  <c r="U52" i="1"/>
  <c r="V52" i="1"/>
  <c r="R8" i="4"/>
  <c r="R9" i="4"/>
  <c r="R10" i="4"/>
  <c r="R12" i="4"/>
  <c r="J8" i="4"/>
  <c r="J9" i="4"/>
  <c r="J10" i="4"/>
  <c r="T10" i="4" s="1"/>
  <c r="F50" i="2" s="1"/>
  <c r="H58" i="7" s="1"/>
  <c r="J12" i="4"/>
  <c r="T12" i="4" s="1"/>
  <c r="K26" i="5"/>
  <c r="K24" i="5" s="1"/>
  <c r="K47" i="5"/>
  <c r="K44" i="5" s="1"/>
  <c r="U118" i="1"/>
  <c r="V118" i="1"/>
  <c r="W118" i="1"/>
  <c r="W101" i="1"/>
  <c r="U84" i="1"/>
  <c r="V84" i="1"/>
  <c r="W84" i="1"/>
  <c r="U64" i="1"/>
  <c r="V64" i="1"/>
  <c r="W64" i="1"/>
  <c r="U34" i="1"/>
  <c r="V34" i="1"/>
  <c r="W34" i="1"/>
  <c r="U19" i="1"/>
  <c r="V19" i="1"/>
  <c r="W19" i="1"/>
  <c r="K34" i="5"/>
  <c r="K15" i="5"/>
  <c r="Q8" i="4"/>
  <c r="U162" i="1"/>
  <c r="V162" i="1"/>
  <c r="W162" i="1"/>
  <c r="U146" i="1"/>
  <c r="V146" i="1"/>
  <c r="W146" i="1"/>
  <c r="W52" i="1"/>
  <c r="U46" i="1"/>
  <c r="V46" i="1"/>
  <c r="W46" i="1"/>
  <c r="K12" i="4"/>
  <c r="K10" i="4"/>
  <c r="K9" i="4"/>
  <c r="V164" i="1"/>
  <c r="V156" i="1"/>
  <c r="V148" i="1"/>
  <c r="V140" i="1"/>
  <c r="V129" i="1"/>
  <c r="V112" i="1"/>
  <c r="V104" i="1"/>
  <c r="V95" i="1"/>
  <c r="V86" i="1"/>
  <c r="V75" i="1"/>
  <c r="V66" i="1"/>
  <c r="V58" i="1"/>
  <c r="V37" i="1"/>
  <c r="V24" i="1"/>
  <c r="V13" i="1"/>
  <c r="Q12" i="4"/>
  <c r="Q10" i="4"/>
  <c r="Q9" i="4"/>
  <c r="AW30" i="9"/>
  <c r="AO30" i="9" s="1"/>
  <c r="AW28" i="9"/>
  <c r="AO28" i="9" s="1"/>
  <c r="Y8" i="10"/>
  <c r="P10" i="7"/>
  <c r="R10" i="7" s="1"/>
  <c r="AW22" i="9"/>
  <c r="AO22" i="9"/>
  <c r="Y22" i="10"/>
  <c r="Y35" i="10"/>
  <c r="Y24" i="10"/>
  <c r="Z24" i="10" s="1"/>
  <c r="AW24" i="9"/>
  <c r="AO24" i="9" s="1"/>
  <c r="I6" i="15"/>
  <c r="C177" i="22"/>
  <c r="C1320" i="22"/>
  <c r="C1284" i="22"/>
  <c r="E1266" i="22"/>
  <c r="E1222" i="22"/>
  <c r="E781" i="22"/>
  <c r="H12" i="15"/>
  <c r="C449" i="22"/>
  <c r="C1242" i="22"/>
  <c r="E1123" i="22"/>
  <c r="C958" i="22"/>
  <c r="C1333" i="22"/>
  <c r="C1307" i="22"/>
  <c r="E1241" i="22"/>
  <c r="C1177" i="22"/>
  <c r="E1140" i="22"/>
  <c r="E1110" i="22"/>
  <c r="E1001" i="22"/>
  <c r="E870" i="22"/>
  <c r="Y40" i="10"/>
  <c r="Z40" i="10" s="1"/>
  <c r="AW40" i="9"/>
  <c r="AO40" i="9"/>
  <c r="E1285" i="22"/>
  <c r="E1157" i="22"/>
  <c r="C822" i="22"/>
  <c r="E756" i="22"/>
  <c r="R178" i="6"/>
  <c r="T30" i="7"/>
  <c r="K63" i="7"/>
  <c r="M366" i="6"/>
  <c r="K368" i="6"/>
  <c r="J365" i="6"/>
  <c r="E40" i="7"/>
  <c r="E34" i="9" s="1"/>
  <c r="N371" i="6"/>
  <c r="J321" i="6"/>
  <c r="L504" i="6"/>
  <c r="L464" i="6"/>
  <c r="J360" i="6"/>
  <c r="K362" i="6"/>
  <c r="K220" i="5"/>
  <c r="K68" i="12"/>
  <c r="K231" i="5"/>
  <c r="K141" i="5"/>
  <c r="M324" i="6"/>
  <c r="M210" i="6"/>
  <c r="J209" i="6"/>
  <c r="J188" i="6"/>
  <c r="O12" i="4"/>
  <c r="V108" i="1"/>
  <c r="W99" i="1"/>
  <c r="W88" i="1"/>
  <c r="X86" i="1"/>
  <c r="W78" i="1"/>
  <c r="X75" i="1"/>
  <c r="U22" i="1"/>
  <c r="W17" i="1"/>
  <c r="V125" i="1"/>
  <c r="V116" i="1"/>
  <c r="U108" i="1"/>
  <c r="X104" i="1"/>
  <c r="V99" i="1"/>
  <c r="W97" i="1"/>
  <c r="X95" i="1"/>
  <c r="V88" i="1"/>
  <c r="W86" i="1"/>
  <c r="V78" i="1"/>
  <c r="W75" i="1"/>
  <c r="W54" i="1"/>
  <c r="F53" i="1"/>
  <c r="C55" i="12"/>
  <c r="W50" i="1"/>
  <c r="W41" i="1"/>
  <c r="W32" i="1"/>
  <c r="X24" i="1"/>
  <c r="V17" i="1"/>
  <c r="W15" i="1"/>
  <c r="X13" i="1"/>
  <c r="L214" i="6"/>
  <c r="J207" i="6"/>
  <c r="J190" i="6"/>
  <c r="K143" i="6"/>
  <c r="F28" i="1"/>
  <c r="C27" i="12"/>
  <c r="W22" i="1"/>
  <c r="K12" i="7"/>
  <c r="AW7" i="9"/>
  <c r="AO7" i="9" s="1"/>
  <c r="AW11" i="9"/>
  <c r="AO11" i="9"/>
  <c r="Y11" i="10"/>
  <c r="Z11" i="10"/>
  <c r="K49" i="7"/>
  <c r="Y43" i="10"/>
  <c r="K45" i="7"/>
  <c r="Y39" i="10" s="1"/>
  <c r="Z39" i="10" s="1"/>
  <c r="AW17" i="9"/>
  <c r="AO17" i="9" s="1"/>
  <c r="Y17" i="10"/>
  <c r="Z17" i="10" s="1"/>
  <c r="K7" i="7"/>
  <c r="O7" i="7"/>
  <c r="F380" i="11"/>
  <c r="H380" i="11"/>
  <c r="H379" i="11" s="1"/>
  <c r="F103" i="12" s="1"/>
  <c r="I103" i="12" s="1"/>
  <c r="L103" i="12" s="1"/>
  <c r="Q7" i="7"/>
  <c r="E34" i="22"/>
  <c r="E641" i="22"/>
  <c r="E623" i="22"/>
  <c r="C740" i="22"/>
  <c r="C140" i="22"/>
  <c r="E719" i="22"/>
  <c r="E1126" i="22"/>
  <c r="C114" i="22"/>
  <c r="E157" i="22"/>
  <c r="E205" i="22"/>
  <c r="E608" i="22"/>
  <c r="C1245" i="22"/>
  <c r="E784" i="22"/>
  <c r="C641" i="22"/>
  <c r="E65" i="22"/>
  <c r="C1288" i="22"/>
  <c r="T37" i="7"/>
  <c r="R170" i="6"/>
  <c r="R255" i="6"/>
  <c r="R332" i="6"/>
  <c r="R70" i="6"/>
  <c r="R158" i="6"/>
  <c r="R459" i="6"/>
  <c r="T36" i="7"/>
  <c r="T22" i="7"/>
  <c r="C794" i="22"/>
  <c r="E891" i="22"/>
  <c r="C1140" i="22"/>
  <c r="C1091" i="22"/>
  <c r="C1063" i="22"/>
  <c r="C941" i="22"/>
  <c r="G19" i="13"/>
  <c r="C333" i="22"/>
  <c r="C470" i="22"/>
  <c r="C222" i="22"/>
  <c r="E320" i="22"/>
  <c r="C383" i="22"/>
  <c r="C85" i="22"/>
  <c r="C137" i="22"/>
  <c r="C638" i="22"/>
  <c r="E809" i="22"/>
  <c r="E941" i="22"/>
  <c r="E1063" i="22"/>
  <c r="E85" i="22"/>
  <c r="E137" i="22"/>
  <c r="C429" i="22"/>
  <c r="C564" i="22"/>
  <c r="E638" i="22"/>
  <c r="E737" i="22"/>
  <c r="E971" i="22"/>
  <c r="C1035" i="22"/>
  <c r="E176" i="22"/>
  <c r="E470" i="22"/>
  <c r="E605" i="22"/>
  <c r="C716" i="22"/>
  <c r="C853" i="22"/>
  <c r="E1333" i="22"/>
  <c r="E1307" i="22"/>
  <c r="C1285" i="22"/>
  <c r="E1242" i="22"/>
  <c r="E1035" i="22"/>
  <c r="E840" i="22"/>
  <c r="C1157" i="22"/>
  <c r="E1048" i="22"/>
  <c r="E716" i="22"/>
  <c r="E289" i="22"/>
  <c r="C31" i="22"/>
  <c r="E1201" i="22"/>
  <c r="C202" i="22"/>
  <c r="C346" i="22"/>
  <c r="C49" i="22"/>
  <c r="E273" i="22"/>
  <c r="E333" i="22"/>
  <c r="C450" i="22"/>
  <c r="C98" i="22"/>
  <c r="C246" i="22"/>
  <c r="C657" i="22"/>
  <c r="E822" i="22"/>
  <c r="E958" i="22"/>
  <c r="E1078" i="22"/>
  <c r="E98" i="22"/>
  <c r="C154" i="22"/>
  <c r="E450" i="22"/>
  <c r="E583" i="22"/>
  <c r="E657" i="22"/>
  <c r="C757" i="22"/>
  <c r="E988" i="22"/>
  <c r="C1048" i="22"/>
  <c r="E222" i="22"/>
  <c r="E514" i="22"/>
  <c r="E620" i="22"/>
  <c r="E757" i="22"/>
  <c r="C870" i="22"/>
  <c r="C1201" i="22"/>
  <c r="E407" i="22"/>
  <c r="H19" i="15"/>
  <c r="I19" i="15" s="1"/>
  <c r="R155" i="6"/>
  <c r="R310" i="6"/>
  <c r="R300" i="6"/>
  <c r="R252" i="6"/>
  <c r="R468" i="6"/>
  <c r="I76" i="18"/>
  <c r="H73" i="18"/>
  <c r="I106" i="12"/>
  <c r="K127" i="12"/>
  <c r="J167" i="6"/>
  <c r="M171" i="6"/>
  <c r="L175" i="6"/>
  <c r="H17" i="15"/>
  <c r="J21" i="12"/>
  <c r="J189" i="6"/>
  <c r="C84" i="22"/>
  <c r="E693" i="22"/>
  <c r="C1332" i="22"/>
  <c r="C756" i="22"/>
  <c r="E582" i="22"/>
  <c r="C736" i="22"/>
  <c r="C489" i="22"/>
  <c r="C1090" i="22"/>
  <c r="C221" i="22"/>
  <c r="E428" i="22"/>
  <c r="E513" i="22"/>
  <c r="I8" i="15"/>
  <c r="J488" i="6"/>
  <c r="J490" i="6"/>
  <c r="C110" i="22"/>
  <c r="E637" i="22"/>
  <c r="E489" i="22"/>
  <c r="E1077" i="22"/>
  <c r="E221" i="22"/>
  <c r="C1077" i="22"/>
  <c r="C821" i="22"/>
  <c r="C272" i="22"/>
  <c r="C428" i="22"/>
  <c r="E84" i="22"/>
  <c r="C780" i="22"/>
  <c r="E1000" i="22"/>
  <c r="T48" i="7"/>
  <c r="AW19" i="9"/>
  <c r="AO19" i="9"/>
  <c r="J70" i="6"/>
  <c r="K161" i="5"/>
  <c r="J447" i="6"/>
  <c r="M451" i="6"/>
  <c r="K453" i="6"/>
  <c r="J449" i="6"/>
  <c r="O54" i="7"/>
  <c r="N9" i="7"/>
  <c r="E47" i="7"/>
  <c r="E41" i="10" s="1"/>
  <c r="L265" i="6"/>
  <c r="K20" i="6"/>
  <c r="K174" i="5"/>
  <c r="K173" i="5"/>
  <c r="K147" i="5"/>
  <c r="K146" i="5"/>
  <c r="K122" i="5"/>
  <c r="O8" i="4"/>
  <c r="T8" i="4"/>
  <c r="F48" i="2" s="1"/>
  <c r="H56" i="7" s="1"/>
  <c r="V80" i="1"/>
  <c r="U60" i="1"/>
  <c r="V60" i="1"/>
  <c r="W60" i="1"/>
  <c r="U48" i="1"/>
  <c r="V48" i="1"/>
  <c r="W48" i="1"/>
  <c r="W13" i="1"/>
  <c r="U13" i="1"/>
  <c r="M333" i="6"/>
  <c r="W123" i="1"/>
  <c r="U123" i="1"/>
  <c r="V123" i="1"/>
  <c r="F132" i="1"/>
  <c r="C134" i="12" s="1"/>
  <c r="U68" i="1"/>
  <c r="V68" i="1"/>
  <c r="W68" i="1"/>
  <c r="U58" i="1"/>
  <c r="W58" i="1"/>
  <c r="X58" i="1"/>
  <c r="L23" i="6"/>
  <c r="K60" i="5"/>
  <c r="K59" i="5"/>
  <c r="K30" i="5"/>
  <c r="K29" i="5"/>
  <c r="U66" i="1"/>
  <c r="W66" i="1"/>
  <c r="X66" i="1"/>
  <c r="W125" i="1"/>
  <c r="U114" i="1"/>
  <c r="U112" i="1"/>
  <c r="X108" i="1"/>
  <c r="U106" i="1"/>
  <c r="X99" i="1"/>
  <c r="U97" i="1"/>
  <c r="X88" i="1"/>
  <c r="X78" i="1"/>
  <c r="V62" i="1"/>
  <c r="U50" i="1"/>
  <c r="V39" i="1"/>
  <c r="F790" i="22"/>
  <c r="H790" i="22"/>
  <c r="H789" i="22" s="1"/>
  <c r="I8" i="12"/>
  <c r="I18" i="12"/>
  <c r="I12" i="12"/>
  <c r="N24" i="6"/>
  <c r="D97" i="58"/>
  <c r="D97" i="57"/>
  <c r="U166" i="1"/>
  <c r="V166" i="1"/>
  <c r="E168" i="12"/>
  <c r="W166" i="1"/>
  <c r="F169" i="1"/>
  <c r="C171" i="12"/>
  <c r="E515" i="6"/>
  <c r="L517" i="6" s="1"/>
  <c r="E97" i="25"/>
  <c r="D83" i="58"/>
  <c r="U140" i="1"/>
  <c r="E142" i="12"/>
  <c r="I142" i="12" s="1"/>
  <c r="W140" i="1"/>
  <c r="X140" i="1"/>
  <c r="E414" i="6"/>
  <c r="D38" i="57"/>
  <c r="E153" i="6"/>
  <c r="M159" i="6" s="1"/>
  <c r="E60" i="12"/>
  <c r="D17" i="58"/>
  <c r="X27" i="1"/>
  <c r="D11" i="58"/>
  <c r="D11" i="57"/>
  <c r="U17" i="1"/>
  <c r="X17" i="1"/>
  <c r="E25" i="6"/>
  <c r="L35" i="6"/>
  <c r="E88" i="7"/>
  <c r="E16" i="12"/>
  <c r="D95" i="57"/>
  <c r="D95" i="58"/>
  <c r="U164" i="1"/>
  <c r="E505" i="6"/>
  <c r="W164" i="1"/>
  <c r="X164" i="1"/>
  <c r="D92" i="57"/>
  <c r="U158" i="1"/>
  <c r="E160" i="12"/>
  <c r="E92" i="25"/>
  <c r="D92" i="58"/>
  <c r="V158" i="1"/>
  <c r="W158" i="1"/>
  <c r="E476" i="6"/>
  <c r="J479" i="6" s="1"/>
  <c r="K484" i="6"/>
  <c r="D45" i="58"/>
  <c r="D10" i="58"/>
  <c r="D10" i="57"/>
  <c r="V15" i="1"/>
  <c r="E6" i="7"/>
  <c r="L6" i="7" s="1"/>
  <c r="I6" i="7"/>
  <c r="U15" i="1"/>
  <c r="E14" i="12"/>
  <c r="J14" i="12" s="1"/>
  <c r="X15" i="1"/>
  <c r="K400" i="6"/>
  <c r="E38" i="25"/>
  <c r="K349" i="6"/>
  <c r="L352" i="6"/>
  <c r="N353" i="6"/>
  <c r="X168" i="1"/>
  <c r="D91" i="58"/>
  <c r="U156" i="1"/>
  <c r="E91" i="25"/>
  <c r="W156" i="1"/>
  <c r="X156" i="1"/>
  <c r="E466" i="6"/>
  <c r="J469" i="6" s="1"/>
  <c r="E13" i="7" s="1"/>
  <c r="M471" i="6"/>
  <c r="E158" i="12"/>
  <c r="D88" i="57"/>
  <c r="U150" i="1"/>
  <c r="D88" i="58"/>
  <c r="V150" i="1"/>
  <c r="E439" i="6"/>
  <c r="W150" i="1"/>
  <c r="E152" i="12"/>
  <c r="K152" i="12" s="1"/>
  <c r="E88" i="25"/>
  <c r="D74" i="57"/>
  <c r="D74" i="58"/>
  <c r="X123" i="1"/>
  <c r="E385" i="6"/>
  <c r="E74" i="25"/>
  <c r="D53" i="58"/>
  <c r="D53" i="57"/>
  <c r="U86" i="1"/>
  <c r="E88" i="12"/>
  <c r="E273" i="6"/>
  <c r="J275" i="6" s="1"/>
  <c r="K278" i="6"/>
  <c r="D44" i="57"/>
  <c r="U70" i="1"/>
  <c r="D44" i="58"/>
  <c r="W70" i="1"/>
  <c r="X70" i="1"/>
  <c r="E44" i="25"/>
  <c r="D32" i="58"/>
  <c r="D32" i="57"/>
  <c r="X48" i="1"/>
  <c r="E50" i="12"/>
  <c r="I50" i="12" s="1"/>
  <c r="E32" i="25"/>
  <c r="E125" i="6"/>
  <c r="D83" i="57"/>
  <c r="E11" i="25"/>
  <c r="X166" i="1"/>
  <c r="D87" i="58"/>
  <c r="U148" i="1"/>
  <c r="E433" i="6"/>
  <c r="W148" i="1"/>
  <c r="X148" i="1"/>
  <c r="D84" i="57"/>
  <c r="U142" i="1"/>
  <c r="E419" i="6"/>
  <c r="K421" i="6" s="1"/>
  <c r="E144" i="12"/>
  <c r="E84" i="25"/>
  <c r="D84" i="58"/>
  <c r="V142" i="1"/>
  <c r="W142" i="1"/>
  <c r="D65" i="57"/>
  <c r="X106" i="1"/>
  <c r="D55" i="58"/>
  <c r="X90" i="1"/>
  <c r="D87" i="57"/>
  <c r="D38" i="58"/>
  <c r="J52" i="12"/>
  <c r="K429" i="6"/>
  <c r="M427" i="6"/>
  <c r="J299" i="6"/>
  <c r="E25" i="7" s="1"/>
  <c r="K247" i="6"/>
  <c r="D79" i="58"/>
  <c r="D79" i="57"/>
  <c r="W116" i="1"/>
  <c r="V114" i="1"/>
  <c r="D66" i="58"/>
  <c r="D66" i="57"/>
  <c r="U104" i="1"/>
  <c r="D58" i="58"/>
  <c r="D58" i="57"/>
  <c r="D48" i="58"/>
  <c r="D48" i="57"/>
  <c r="D24" i="57"/>
  <c r="D24" i="58"/>
  <c r="D23" i="57"/>
  <c r="D23" i="58"/>
  <c r="U24" i="1"/>
  <c r="D13" i="57"/>
  <c r="D13" i="58"/>
  <c r="D9" i="58"/>
  <c r="D9" i="57"/>
  <c r="V9" i="1"/>
  <c r="D37" i="58"/>
  <c r="D41" i="58"/>
  <c r="D85" i="58"/>
  <c r="D89" i="58"/>
  <c r="D93" i="58"/>
  <c r="W168" i="1"/>
  <c r="V160" i="1"/>
  <c r="V152" i="1"/>
  <c r="V144" i="1"/>
  <c r="D78" i="57"/>
  <c r="D78" i="58"/>
  <c r="D77" i="57"/>
  <c r="D77" i="58"/>
  <c r="D75" i="57"/>
  <c r="D75" i="58"/>
  <c r="D68" i="58"/>
  <c r="D68" i="57"/>
  <c r="D59" i="58"/>
  <c r="D59" i="57"/>
  <c r="D57" i="58"/>
  <c r="D57" i="57"/>
  <c r="D54" i="58"/>
  <c r="D54" i="57"/>
  <c r="D52" i="58"/>
  <c r="D52" i="57"/>
  <c r="X62" i="1"/>
  <c r="X60" i="1"/>
  <c r="D34" i="58"/>
  <c r="D34" i="57"/>
  <c r="D20" i="57"/>
  <c r="D20" i="58"/>
  <c r="W24" i="1"/>
  <c r="D8" i="58"/>
  <c r="D8" i="57"/>
  <c r="D16" i="57"/>
  <c r="D36" i="58"/>
  <c r="D40" i="58"/>
  <c r="D98" i="58"/>
  <c r="D98" i="57"/>
  <c r="D80" i="58"/>
  <c r="D80" i="57"/>
  <c r="D76" i="57"/>
  <c r="D76" i="58"/>
  <c r="D71" i="58"/>
  <c r="D71" i="57"/>
  <c r="D70" i="58"/>
  <c r="D70" i="57"/>
  <c r="D69" i="58"/>
  <c r="D69" i="57"/>
  <c r="D67" i="58"/>
  <c r="D67" i="57"/>
  <c r="D64" i="58"/>
  <c r="D64" i="57"/>
  <c r="D60" i="58"/>
  <c r="D60" i="57"/>
  <c r="D47" i="58"/>
  <c r="D47" i="57"/>
  <c r="D35" i="58"/>
  <c r="D35" i="57"/>
  <c r="D21" i="57"/>
  <c r="D21" i="58"/>
  <c r="D7" i="58"/>
  <c r="D7" i="57"/>
  <c r="D19" i="58"/>
  <c r="D39" i="58"/>
  <c r="I46" i="12"/>
  <c r="X46" i="1"/>
  <c r="D30" i="57"/>
  <c r="E55" i="7"/>
  <c r="P55" i="7"/>
  <c r="V137" i="1"/>
  <c r="D81" i="57"/>
  <c r="X137" i="1"/>
  <c r="U137" i="1"/>
  <c r="I139" i="12"/>
  <c r="E81" i="25"/>
  <c r="E63" i="7"/>
  <c r="G63" i="7"/>
  <c r="W120" i="1"/>
  <c r="E378" i="6"/>
  <c r="U120" i="1"/>
  <c r="V120" i="1"/>
  <c r="E72" i="25"/>
  <c r="X120" i="1"/>
  <c r="E122" i="12"/>
  <c r="K122" i="12"/>
  <c r="D72" i="57"/>
  <c r="U80" i="1"/>
  <c r="W80" i="1"/>
  <c r="X80" i="1"/>
  <c r="D49" i="57"/>
  <c r="J69" i="6"/>
  <c r="E21" i="7" s="1"/>
  <c r="M71" i="6"/>
  <c r="K73" i="6"/>
  <c r="L76" i="6"/>
  <c r="E72" i="7"/>
  <c r="J68" i="6"/>
  <c r="L77" i="6"/>
  <c r="U37" i="1"/>
  <c r="E36" i="12"/>
  <c r="E22" i="25"/>
  <c r="X37" i="1"/>
  <c r="E79" i="6"/>
  <c r="J82" i="6"/>
  <c r="J81" i="6"/>
  <c r="W37" i="1"/>
  <c r="D22" i="57"/>
  <c r="D22" i="58"/>
  <c r="J67" i="6"/>
  <c r="L75" i="6"/>
  <c r="X34" i="1"/>
  <c r="V32" i="1"/>
  <c r="V30" i="1"/>
  <c r="D19" i="57"/>
  <c r="X22" i="1"/>
  <c r="D14" i="57"/>
  <c r="D14" i="58"/>
  <c r="D17" i="57"/>
  <c r="V27" i="1"/>
  <c r="E17" i="25"/>
  <c r="E46" i="6"/>
  <c r="L48" i="6" s="1"/>
  <c r="W27" i="1"/>
  <c r="E26" i="12"/>
  <c r="U27" i="1"/>
  <c r="N6" i="7"/>
  <c r="J481" i="6"/>
  <c r="M482" i="6"/>
  <c r="K85" i="6"/>
  <c r="V106" i="1"/>
  <c r="D65" i="58"/>
  <c r="E65" i="25"/>
  <c r="E63" i="25" s="1"/>
  <c r="W106" i="1"/>
  <c r="E108" i="12"/>
  <c r="K108" i="12" s="1"/>
  <c r="V101" i="1"/>
  <c r="U101" i="1"/>
  <c r="X101" i="1"/>
  <c r="D61" i="57"/>
  <c r="E61" i="25"/>
  <c r="E7" i="7"/>
  <c r="P7" i="7"/>
  <c r="E92" i="12"/>
  <c r="I92" i="12" s="1"/>
  <c r="U90" i="1"/>
  <c r="D55" i="57"/>
  <c r="E55" i="25"/>
  <c r="W90" i="1"/>
  <c r="E292" i="6"/>
  <c r="L296" i="6"/>
  <c r="K294" i="6"/>
  <c r="D45" i="57"/>
  <c r="E74" i="12"/>
  <c r="W72" i="1"/>
  <c r="E45" i="25"/>
  <c r="U72" i="1"/>
  <c r="E226" i="6"/>
  <c r="V72" i="1"/>
  <c r="X50" i="1"/>
  <c r="P6" i="7"/>
  <c r="I48" i="12"/>
  <c r="K48" i="12"/>
  <c r="J103" i="12"/>
  <c r="F58" i="22"/>
  <c r="H58" i="22" s="1"/>
  <c r="H57" i="22" s="1"/>
  <c r="E10" i="58" s="1"/>
  <c r="K86" i="12"/>
  <c r="D90" i="57"/>
  <c r="X146" i="1"/>
  <c r="F136" i="1"/>
  <c r="C138" i="12"/>
  <c r="X68" i="1"/>
  <c r="W9" i="1"/>
  <c r="J127" i="12"/>
  <c r="K154" i="12"/>
  <c r="K146" i="12"/>
  <c r="F28" i="11"/>
  <c r="H28" i="11"/>
  <c r="H27" i="11"/>
  <c r="F14" i="12" s="1"/>
  <c r="I14" i="12" s="1"/>
  <c r="E23" i="12"/>
  <c r="L337" i="6"/>
  <c r="J51" i="6"/>
  <c r="E35" i="7" s="1"/>
  <c r="G35" i="7" s="1"/>
  <c r="D86" i="57"/>
  <c r="V135" i="1"/>
  <c r="K150" i="12"/>
  <c r="E64" i="12"/>
  <c r="X152" i="1"/>
  <c r="M150" i="6"/>
  <c r="I170" i="12"/>
  <c r="K120" i="12"/>
  <c r="E372" i="6"/>
  <c r="X41" i="1"/>
  <c r="J137" i="12"/>
  <c r="K114" i="12"/>
  <c r="L9" i="7"/>
  <c r="E90" i="12"/>
  <c r="E43" i="6"/>
  <c r="X64" i="1"/>
  <c r="U41" i="1"/>
  <c r="L280" i="6"/>
  <c r="I133" i="12"/>
  <c r="L10" i="7"/>
  <c r="E281" i="6"/>
  <c r="K289" i="6"/>
  <c r="U168" i="1"/>
  <c r="X131" i="1"/>
  <c r="G40" i="7"/>
  <c r="F457" i="11"/>
  <c r="H457" i="11"/>
  <c r="H456" i="11" s="1"/>
  <c r="F131" i="12" s="1"/>
  <c r="I131" i="12"/>
  <c r="J269" i="6"/>
  <c r="L249" i="6"/>
  <c r="L514" i="6"/>
  <c r="L317" i="6"/>
  <c r="N8" i="7"/>
  <c r="L403" i="6"/>
  <c r="J301" i="6"/>
  <c r="P9" i="7"/>
  <c r="R9" i="7" s="1"/>
  <c r="I112" i="12"/>
  <c r="K124" i="6"/>
  <c r="L465" i="6"/>
  <c r="J459" i="6"/>
  <c r="J311" i="6"/>
  <c r="J169" i="6"/>
  <c r="L134" i="6"/>
  <c r="J197" i="6"/>
  <c r="K395" i="6"/>
  <c r="K432" i="6"/>
  <c r="K326" i="6"/>
  <c r="M303" i="6"/>
  <c r="K119" i="6"/>
  <c r="J323" i="6"/>
  <c r="J359" i="6"/>
  <c r="M460" i="6"/>
  <c r="J168" i="6"/>
  <c r="K192" i="6"/>
  <c r="J448" i="6"/>
  <c r="L351" i="6"/>
  <c r="L402" i="6"/>
  <c r="E70" i="7" s="1"/>
  <c r="L260" i="6"/>
  <c r="J276" i="6"/>
  <c r="M234" i="6"/>
  <c r="J478" i="6"/>
  <c r="L397" i="6"/>
  <c r="E68" i="7" s="1"/>
  <c r="G68" i="7" s="1"/>
  <c r="L413" i="6"/>
  <c r="J406" i="6"/>
  <c r="K305" i="6"/>
  <c r="J268" i="6"/>
  <c r="E29" i="7" s="1"/>
  <c r="J320" i="6"/>
  <c r="K462" i="6"/>
  <c r="J140" i="6"/>
  <c r="J489" i="6"/>
  <c r="J244" i="6"/>
  <c r="J458" i="6"/>
  <c r="L370" i="6"/>
  <c r="J170" i="6"/>
  <c r="L520" i="6"/>
  <c r="J198" i="6"/>
  <c r="K263" i="6"/>
  <c r="J424" i="6"/>
  <c r="K203" i="6"/>
  <c r="J500" i="6"/>
  <c r="J425" i="6"/>
  <c r="E17" i="7" s="1"/>
  <c r="L17" i="7" s="1"/>
  <c r="L356" i="6"/>
  <c r="J331" i="6"/>
  <c r="J199" i="6"/>
  <c r="J141" i="6"/>
  <c r="X116" i="1"/>
  <c r="D43" i="57"/>
  <c r="J170" i="12"/>
  <c r="I125" i="12"/>
  <c r="K103" i="12"/>
  <c r="L54" i="7"/>
  <c r="I10" i="7"/>
  <c r="L495" i="6"/>
  <c r="K493" i="6"/>
  <c r="J456" i="6"/>
  <c r="L137" i="6"/>
  <c r="L121" i="6"/>
  <c r="X162" i="1"/>
  <c r="J253" i="6"/>
  <c r="W152" i="1"/>
  <c r="X135" i="1"/>
  <c r="V131" i="1"/>
  <c r="W112" i="1"/>
  <c r="X54" i="1"/>
  <c r="J131" i="12"/>
  <c r="L496" i="6"/>
  <c r="J457" i="6"/>
  <c r="D85" i="57"/>
  <c r="U62" i="1"/>
  <c r="U54" i="1"/>
  <c r="J450" i="6"/>
  <c r="E24" i="7"/>
  <c r="E19" i="9" s="1"/>
  <c r="L240" i="6"/>
  <c r="E74" i="7"/>
  <c r="N74" i="7" s="1"/>
  <c r="L238" i="6"/>
  <c r="J229" i="6"/>
  <c r="E46" i="7" s="1"/>
  <c r="I46" i="7" s="1"/>
  <c r="L215" i="6"/>
  <c r="K212" i="6"/>
  <c r="J208" i="6"/>
  <c r="J206" i="6"/>
  <c r="M201" i="6"/>
  <c r="D40" i="57"/>
  <c r="V54" i="1"/>
  <c r="U32" i="1"/>
  <c r="N131" i="6"/>
  <c r="L130" i="6"/>
  <c r="Y29" i="10"/>
  <c r="Z29" i="10"/>
  <c r="AW29" i="9"/>
  <c r="AO29" i="9"/>
  <c r="Y9" i="10"/>
  <c r="Z9" i="10" s="1"/>
  <c r="AW9" i="9"/>
  <c r="AO9" i="9" s="1"/>
  <c r="AT9" i="9" s="1"/>
  <c r="K11" i="7"/>
  <c r="J442" i="6"/>
  <c r="E12" i="7" s="1"/>
  <c r="I12" i="7" s="1"/>
  <c r="G6" i="7"/>
  <c r="R6" i="7" s="1"/>
  <c r="K473" i="6"/>
  <c r="L475" i="6"/>
  <c r="J470" i="6"/>
  <c r="I12" i="15"/>
  <c r="F900" i="22"/>
  <c r="H900" i="22" s="1"/>
  <c r="H899" i="22" s="1"/>
  <c r="E70" i="58" s="1"/>
  <c r="P8" i="7"/>
  <c r="H419" i="11"/>
  <c r="F118" i="12"/>
  <c r="I118" i="12"/>
  <c r="Q8" i="7"/>
  <c r="AT30" i="9"/>
  <c r="J149" i="6"/>
  <c r="J148" i="6"/>
  <c r="K152" i="6"/>
  <c r="J147" i="6"/>
  <c r="Y7" i="10"/>
  <c r="Z7" i="10" s="1"/>
  <c r="AT42" i="9"/>
  <c r="Y18" i="10"/>
  <c r="Z18" i="10" s="1"/>
  <c r="AT18" i="9"/>
  <c r="R103" i="6"/>
  <c r="R91" i="6"/>
  <c r="T38" i="7"/>
  <c r="Y20" i="10"/>
  <c r="Z20" i="10" s="1"/>
  <c r="AW20" i="9"/>
  <c r="AO20" i="9" s="1"/>
  <c r="I137" i="12"/>
  <c r="AT27" i="9"/>
  <c r="G9" i="7"/>
  <c r="AW21" i="9"/>
  <c r="AO21" i="9" s="1"/>
  <c r="Y21" i="10"/>
  <c r="Z21" i="10" s="1"/>
  <c r="F20" i="15"/>
  <c r="C781" i="22"/>
  <c r="C1001" i="22"/>
  <c r="E302" i="22"/>
  <c r="C906" i="22"/>
  <c r="E363" i="22"/>
  <c r="C273" i="22"/>
  <c r="C1078" i="22"/>
  <c r="C490" i="22"/>
  <c r="E961" i="22"/>
  <c r="E1180" i="22"/>
  <c r="E473" i="22"/>
  <c r="C1004" i="22"/>
  <c r="E127" i="22"/>
  <c r="C682" i="22"/>
  <c r="C856" i="22"/>
  <c r="E366" i="22"/>
  <c r="C1094" i="22"/>
  <c r="C623" i="22"/>
  <c r="C1081" i="22"/>
  <c r="C991" i="22"/>
  <c r="C894" i="22"/>
  <c r="E586" i="22"/>
  <c r="C453" i="22"/>
  <c r="C567" i="22"/>
  <c r="E760" i="22"/>
  <c r="E249" i="22"/>
  <c r="F447" i="11"/>
  <c r="H447" i="11" s="1"/>
  <c r="H446" i="11" s="1"/>
  <c r="F127" i="12" s="1"/>
  <c r="I127" i="12" s="1"/>
  <c r="L127" i="12" s="1"/>
  <c r="E1320" i="22"/>
  <c r="E679" i="22"/>
  <c r="E923" i="22"/>
  <c r="E246" i="22"/>
  <c r="E794" i="22"/>
  <c r="E346" i="22"/>
  <c r="D19" i="13"/>
  <c r="C1178" i="22"/>
  <c r="C738" i="22"/>
  <c r="E1243" i="22"/>
  <c r="E854" i="22"/>
  <c r="C334" i="22"/>
  <c r="C892" i="22"/>
  <c r="E606" i="22"/>
  <c r="E972" i="22"/>
  <c r="E537" i="22"/>
  <c r="C245" i="22"/>
  <c r="E1176" i="22"/>
  <c r="E123" i="22"/>
  <c r="I10" i="15"/>
  <c r="E1177" i="22"/>
  <c r="E564" i="22"/>
  <c r="E906" i="22"/>
  <c r="E124" i="22"/>
  <c r="C737" i="22"/>
  <c r="C302" i="22"/>
  <c r="Y42" i="10"/>
  <c r="Z42" i="10" s="1"/>
  <c r="Q10" i="7"/>
  <c r="E536" i="22"/>
  <c r="C694" i="22"/>
  <c r="E111" i="22"/>
  <c r="C583" i="22"/>
  <c r="C303" i="22"/>
  <c r="C112" i="22"/>
  <c r="E321" i="22"/>
  <c r="C125" i="22"/>
  <c r="E565" i="22"/>
  <c r="C758" i="22"/>
  <c r="C1049" i="22"/>
  <c r="E695" i="22"/>
  <c r="E1002" i="22"/>
  <c r="E125" i="22"/>
  <c r="E782" i="22"/>
  <c r="E1334" i="22"/>
  <c r="C1202" i="22"/>
  <c r="C907" i="22"/>
  <c r="C1334" i="22"/>
  <c r="E1223" i="22"/>
  <c r="E430" i="22"/>
  <c r="C1111" i="22"/>
  <c r="C384" i="22"/>
  <c r="E223" i="22"/>
  <c r="C621" i="22"/>
  <c r="E924" i="22"/>
  <c r="E32" i="22"/>
  <c r="E758" i="22"/>
  <c r="E1036" i="22"/>
  <c r="E247" i="22"/>
  <c r="C810" i="22"/>
  <c r="C1092" i="22"/>
  <c r="C658" i="22"/>
  <c r="C1123" i="22"/>
  <c r="E1018" i="22"/>
  <c r="E202" i="22"/>
  <c r="C124" i="22"/>
  <c r="C988" i="22"/>
  <c r="C536" i="22"/>
  <c r="C1018" i="22"/>
  <c r="E694" i="22"/>
  <c r="K54" i="6"/>
  <c r="L42" i="6"/>
  <c r="K199" i="5"/>
  <c r="K198" i="5" s="1"/>
  <c r="K197" i="5"/>
  <c r="K186" i="5"/>
  <c r="K150" i="5"/>
  <c r="K149" i="5" s="1"/>
  <c r="K148" i="5" s="1"/>
  <c r="K145" i="5" s="1"/>
  <c r="W129" i="1"/>
  <c r="X129" i="1"/>
  <c r="U129" i="1"/>
  <c r="K13" i="5"/>
  <c r="K12" i="5"/>
  <c r="K177" i="5"/>
  <c r="K176" i="5" s="1"/>
  <c r="K175" i="5" s="1"/>
  <c r="K23" i="5"/>
  <c r="K22" i="5" s="1"/>
  <c r="K21" i="5" s="1"/>
  <c r="K18" i="5"/>
  <c r="F56" i="2" s="1"/>
  <c r="K33" i="5"/>
  <c r="K32" i="5" s="1"/>
  <c r="K31" i="5" s="1"/>
  <c r="K28" i="5" s="1"/>
  <c r="F57" i="2" s="1"/>
  <c r="H66" i="7" s="1"/>
  <c r="K103" i="5"/>
  <c r="K102" i="5" s="1"/>
  <c r="K101" i="5" s="1"/>
  <c r="K140" i="5"/>
  <c r="K139" i="5"/>
  <c r="K138" i="5" s="1"/>
  <c r="K135" i="5" s="1"/>
  <c r="F68" i="2" s="1"/>
  <c r="K43" i="5"/>
  <c r="K42" i="5" s="1"/>
  <c r="K41" i="5" s="1"/>
  <c r="K38" i="5" s="1"/>
  <c r="F58" i="2" s="1"/>
  <c r="H67" i="7" s="1"/>
  <c r="K73" i="5"/>
  <c r="K72" i="5"/>
  <c r="K71" i="5" s="1"/>
  <c r="K83" i="5"/>
  <c r="K82" i="5" s="1"/>
  <c r="K81" i="5" s="1"/>
  <c r="K10" i="5"/>
  <c r="K63" i="5"/>
  <c r="K62" i="5"/>
  <c r="K61" i="5" s="1"/>
  <c r="K93" i="5"/>
  <c r="K92" i="5"/>
  <c r="K91" i="5" s="1"/>
  <c r="K130" i="5"/>
  <c r="K129" i="5"/>
  <c r="K128" i="5" s="1"/>
  <c r="K125" i="5" s="1"/>
  <c r="F67" i="2" s="1"/>
  <c r="H76" i="7" s="1"/>
  <c r="O76" i="7" s="1"/>
  <c r="F38" i="11" s="1"/>
  <c r="J332" i="6"/>
  <c r="L11" i="6"/>
  <c r="E66" i="7"/>
  <c r="K160" i="5"/>
  <c r="K159" i="5"/>
  <c r="K158" i="5" s="1"/>
  <c r="K155" i="5" s="1"/>
  <c r="F70" i="2"/>
  <c r="H79" i="7" s="1"/>
  <c r="O79" i="7" s="1"/>
  <c r="K53" i="5"/>
  <c r="K52" i="5" s="1"/>
  <c r="K51" i="5" s="1"/>
  <c r="K240" i="5"/>
  <c r="K239" i="5" s="1"/>
  <c r="K238" i="5" s="1"/>
  <c r="W160" i="1"/>
  <c r="U160" i="1"/>
  <c r="X160" i="1"/>
  <c r="D93" i="57"/>
  <c r="W30" i="1"/>
  <c r="X30" i="1"/>
  <c r="U30" i="1"/>
  <c r="L338" i="6"/>
  <c r="J329" i="6"/>
  <c r="L307" i="6"/>
  <c r="K219" i="5"/>
  <c r="K218" i="5" s="1"/>
  <c r="K217" i="5" s="1"/>
  <c r="K214" i="5" s="1"/>
  <c r="F76" i="2" s="1"/>
  <c r="H85" i="7"/>
  <c r="K85" i="7" s="1"/>
  <c r="K169" i="5"/>
  <c r="K168" i="5" s="1"/>
  <c r="K165" i="5" s="1"/>
  <c r="F71" i="2" s="1"/>
  <c r="H80" i="7" s="1"/>
  <c r="K20" i="5"/>
  <c r="K19" i="5" s="1"/>
  <c r="X114" i="1"/>
  <c r="W114" i="1"/>
  <c r="K191" i="5"/>
  <c r="K190" i="5" s="1"/>
  <c r="K120" i="5"/>
  <c r="K119" i="5"/>
  <c r="K118" i="5" s="1"/>
  <c r="L45" i="6"/>
  <c r="K9" i="6"/>
  <c r="K230" i="5"/>
  <c r="K229" i="5" s="1"/>
  <c r="K228" i="5"/>
  <c r="K225" i="5" s="1"/>
  <c r="K209" i="5"/>
  <c r="K208" i="5" s="1"/>
  <c r="K207" i="5" s="1"/>
  <c r="K204" i="5"/>
  <c r="F75" i="2" s="1"/>
  <c r="H84" i="7" s="1"/>
  <c r="K84" i="7" s="1"/>
  <c r="K189" i="5"/>
  <c r="K188" i="5"/>
  <c r="K179" i="5"/>
  <c r="K178" i="5" s="1"/>
  <c r="K100" i="5"/>
  <c r="K99" i="5" s="1"/>
  <c r="K90" i="5"/>
  <c r="K89" i="5" s="1"/>
  <c r="R311" i="6"/>
  <c r="W144" i="1"/>
  <c r="D94" i="57"/>
  <c r="X19" i="1"/>
  <c r="X144" i="1"/>
  <c r="X97" i="1"/>
  <c r="W39" i="1"/>
  <c r="L25" i="7"/>
  <c r="N7" i="7"/>
  <c r="G7" i="7"/>
  <c r="L7" i="7"/>
  <c r="L239" i="6"/>
  <c r="E80" i="7"/>
  <c r="N80" i="7" s="1"/>
  <c r="J232" i="6"/>
  <c r="E23" i="7"/>
  <c r="J230" i="6"/>
  <c r="E39" i="7"/>
  <c r="G39" i="7" s="1"/>
  <c r="J228" i="6"/>
  <c r="E45" i="7"/>
  <c r="M287" i="6"/>
  <c r="J285" i="6"/>
  <c r="L291" i="6"/>
  <c r="J284" i="6"/>
  <c r="I23" i="12"/>
  <c r="J23" i="12"/>
  <c r="G74" i="7"/>
  <c r="I29" i="7"/>
  <c r="G29" i="7"/>
  <c r="E24" i="10"/>
  <c r="AA24" i="10"/>
  <c r="N68" i="7"/>
  <c r="Y6" i="10"/>
  <c r="Z6" i="10" s="1"/>
  <c r="AW6" i="9"/>
  <c r="AO6" i="9"/>
  <c r="K9" i="5"/>
  <c r="R7" i="7"/>
  <c r="E39" i="10"/>
  <c r="AA39" i="10"/>
  <c r="E13" i="62"/>
  <c r="E12" i="62"/>
  <c r="E10" i="62"/>
  <c r="E9" i="62"/>
  <c r="F9" i="62" s="1"/>
  <c r="F26" i="62" s="1"/>
  <c r="H26" i="62" s="1"/>
  <c r="J86" i="61"/>
  <c r="K86" i="61"/>
  <c r="O84" i="7"/>
  <c r="F216" i="11" s="1"/>
  <c r="H216" i="11" s="1"/>
  <c r="H215" i="11" s="1"/>
  <c r="H66" i="12" s="1"/>
  <c r="K66" i="12" s="1"/>
  <c r="G45" i="7"/>
  <c r="K79" i="7"/>
  <c r="G17" i="7"/>
  <c r="E12" i="9"/>
  <c r="E40" i="9"/>
  <c r="K160" i="12"/>
  <c r="F1057" i="22"/>
  <c r="H1057" i="22" s="1"/>
  <c r="H1056" i="22"/>
  <c r="Q55" i="7"/>
  <c r="F477" i="11"/>
  <c r="H477" i="11" s="1"/>
  <c r="H476" i="11"/>
  <c r="G139" i="12" s="1"/>
  <c r="J139" i="12" s="1"/>
  <c r="I108" i="12"/>
  <c r="K58" i="7"/>
  <c r="L58" i="7"/>
  <c r="I25" i="7"/>
  <c r="E20" i="9"/>
  <c r="G88" i="7"/>
  <c r="N88" i="7"/>
  <c r="G55" i="7"/>
  <c r="I55" i="7"/>
  <c r="L47" i="7"/>
  <c r="E41" i="9"/>
  <c r="I47" i="7"/>
  <c r="G47" i="7"/>
  <c r="M436" i="6"/>
  <c r="J435" i="6"/>
  <c r="K438" i="6"/>
  <c r="I13" i="7"/>
  <c r="G13" i="7"/>
  <c r="L63" i="7"/>
  <c r="L33" i="6"/>
  <c r="E75" i="7" s="1"/>
  <c r="L31" i="6"/>
  <c r="E82" i="7"/>
  <c r="G82" i="7" s="1"/>
  <c r="E77" i="58"/>
  <c r="F13" i="17"/>
  <c r="H13" i="17"/>
  <c r="I13" i="17" s="1"/>
  <c r="F15" i="17"/>
  <c r="F14" i="17"/>
  <c r="H14" i="17" s="1"/>
  <c r="R233" i="6"/>
  <c r="T42" i="7"/>
  <c r="R58" i="6"/>
  <c r="R448" i="6"/>
  <c r="R479" i="6"/>
  <c r="T27" i="7"/>
  <c r="Z22" i="10"/>
  <c r="R198" i="6"/>
  <c r="R321" i="6"/>
  <c r="Z8" i="10"/>
  <c r="R469" i="6"/>
  <c r="AT35" i="9"/>
  <c r="AU35" i="9" s="1"/>
  <c r="AX35" i="9"/>
  <c r="AT26" i="9"/>
  <c r="AU26" i="9"/>
  <c r="R11" i="4"/>
  <c r="T11" i="4" s="1"/>
  <c r="F51" i="2" s="1"/>
  <c r="H59" i="7" s="1"/>
  <c r="J11" i="4"/>
  <c r="Q11" i="4"/>
  <c r="O11" i="4"/>
  <c r="K11" i="4"/>
  <c r="AW43" i="9"/>
  <c r="AO43" i="9" s="1"/>
  <c r="Y32" i="10"/>
  <c r="Z32" i="10"/>
  <c r="AW32" i="9"/>
  <c r="AO32" i="9"/>
  <c r="AT32" i="9" s="1"/>
  <c r="AU32" i="9" s="1"/>
  <c r="Y16" i="10"/>
  <c r="Z16" i="10" s="1"/>
  <c r="AW16" i="9"/>
  <c r="AO16" i="9"/>
  <c r="AT16" i="9" s="1"/>
  <c r="AT10" i="9"/>
  <c r="AU10" i="9" s="1"/>
  <c r="Q457" i="6" s="1"/>
  <c r="AW25" i="9"/>
  <c r="AO25" i="9" s="1"/>
  <c r="Y25" i="10"/>
  <c r="Z25" i="10"/>
  <c r="T9" i="4"/>
  <c r="F49" i="2"/>
  <c r="H57" i="7" s="1"/>
  <c r="K57" i="7" s="1"/>
  <c r="O57" i="7"/>
  <c r="T47" i="7"/>
  <c r="Y41" i="10"/>
  <c r="Z41" i="10"/>
  <c r="AA41" i="10" s="1"/>
  <c r="AW41" i="9"/>
  <c r="AO41" i="9" s="1"/>
  <c r="AW44" i="9"/>
  <c r="AO44" i="9" s="1"/>
  <c r="Y44" i="10"/>
  <c r="Z44" i="10"/>
  <c r="J468" i="6"/>
  <c r="J27" i="6"/>
  <c r="E16" i="7"/>
  <c r="G16" i="7" s="1"/>
  <c r="AT40" i="9"/>
  <c r="AU40" i="9" s="1"/>
  <c r="AT38" i="9"/>
  <c r="AU38" i="9"/>
  <c r="Y37" i="10"/>
  <c r="Z37" i="10" s="1"/>
  <c r="AW37" i="9"/>
  <c r="AO37" i="9" s="1"/>
  <c r="AT37" i="9" s="1"/>
  <c r="L17" i="6"/>
  <c r="K14" i="6"/>
  <c r="E56" i="7" s="1"/>
  <c r="L16" i="6"/>
  <c r="E69" i="7" s="1"/>
  <c r="G69" i="7" s="1"/>
  <c r="AT7" i="9"/>
  <c r="AU7" i="9" s="1"/>
  <c r="Q435" i="6" s="1"/>
  <c r="O436" i="6" s="1"/>
  <c r="C679" i="22"/>
  <c r="E490" i="22"/>
  <c r="C1222" i="22"/>
  <c r="I54" i="12"/>
  <c r="I54" i="7"/>
  <c r="C289" i="22"/>
  <c r="C840" i="22"/>
  <c r="C514" i="22"/>
  <c r="E14" i="22"/>
  <c r="Y38" i="10"/>
  <c r="Z38" i="10"/>
  <c r="E853" i="22"/>
  <c r="C407" i="22"/>
  <c r="C62" i="22"/>
  <c r="C176" i="22"/>
  <c r="J112" i="12"/>
  <c r="E383" i="22"/>
  <c r="E1091" i="22"/>
  <c r="J54" i="12"/>
  <c r="X154" i="1"/>
  <c r="X170" i="1"/>
  <c r="X171" i="1" s="1"/>
  <c r="H13" i="13" s="1"/>
  <c r="U152" i="1"/>
  <c r="X39" i="1"/>
  <c r="U125" i="1"/>
  <c r="D42" i="57"/>
  <c r="R55" i="7"/>
  <c r="F342" i="11"/>
  <c r="H342" i="11" s="1"/>
  <c r="H341" i="11" s="1"/>
  <c r="H95" i="12" s="1"/>
  <c r="K95" i="12" s="1"/>
  <c r="AT44" i="9"/>
  <c r="N82" i="7"/>
  <c r="L16" i="7"/>
  <c r="S15" i="7"/>
  <c r="M15" i="7" s="1"/>
  <c r="O15" i="7" s="1"/>
  <c r="F562" i="11" s="1"/>
  <c r="H562" i="11" s="1"/>
  <c r="AV40" i="9"/>
  <c r="H59" i="22"/>
  <c r="E10" i="57"/>
  <c r="F10" i="25"/>
  <c r="H791" i="22"/>
  <c r="E61" i="58"/>
  <c r="E61" i="57"/>
  <c r="F61" i="25"/>
  <c r="K185" i="5"/>
  <c r="K182" i="5" s="1"/>
  <c r="F73" i="2" s="1"/>
  <c r="I39" i="7"/>
  <c r="J156" i="6"/>
  <c r="K511" i="6"/>
  <c r="L513" i="6"/>
  <c r="J508" i="6"/>
  <c r="J509" i="6"/>
  <c r="J507" i="6"/>
  <c r="J382" i="6"/>
  <c r="E36" i="7" s="1"/>
  <c r="J381" i="6"/>
  <c r="J380" i="6"/>
  <c r="K384" i="6"/>
  <c r="F53" i="2"/>
  <c r="H60" i="7" s="1"/>
  <c r="O60" i="7" s="1"/>
  <c r="F52" i="2"/>
  <c r="J283" i="6"/>
  <c r="G46" i="7"/>
  <c r="R8" i="7"/>
  <c r="D63" i="58"/>
  <c r="E28" i="7"/>
  <c r="I28" i="7" s="1"/>
  <c r="F902" i="22"/>
  <c r="H902" i="22" s="1"/>
  <c r="H901" i="22" s="1"/>
  <c r="Q54" i="7"/>
  <c r="F422" i="11"/>
  <c r="H422" i="11" s="1"/>
  <c r="H421" i="11" s="1"/>
  <c r="G118" i="12" s="1"/>
  <c r="J118" i="12" s="1"/>
  <c r="L118" i="12" s="1"/>
  <c r="P54" i="7"/>
  <c r="E77" i="57"/>
  <c r="F77" i="25"/>
  <c r="H998" i="22"/>
  <c r="L163" i="6"/>
  <c r="E83" i="7" s="1"/>
  <c r="L34" i="6"/>
  <c r="E76" i="7"/>
  <c r="L32" i="6"/>
  <c r="E79" i="7" s="1"/>
  <c r="L79" i="7" s="1"/>
  <c r="N36" i="6"/>
  <c r="K29" i="6"/>
  <c r="E57" i="7" s="1"/>
  <c r="G57" i="7" s="1"/>
  <c r="K58" i="5"/>
  <c r="F60" i="2"/>
  <c r="H69" i="7" s="1"/>
  <c r="O69" i="7" s="1"/>
  <c r="L40" i="7"/>
  <c r="I40" i="7"/>
  <c r="E34" i="10"/>
  <c r="L164" i="6"/>
  <c r="E71" i="7"/>
  <c r="J155" i="6"/>
  <c r="J158" i="6"/>
  <c r="J157" i="6"/>
  <c r="E64" i="7"/>
  <c r="N64" i="7" s="1"/>
  <c r="AT34" i="9"/>
  <c r="AU34" i="9" s="1"/>
  <c r="AV34" i="9" s="1"/>
  <c r="AT11" i="9"/>
  <c r="AU11" i="9" s="1"/>
  <c r="K161" i="6"/>
  <c r="G72" i="7"/>
  <c r="N72" i="7"/>
  <c r="F69" i="2"/>
  <c r="K14" i="12"/>
  <c r="L14" i="12" s="1"/>
  <c r="J83" i="6"/>
  <c r="I63" i="7"/>
  <c r="E1245" i="22"/>
  <c r="C366" i="22"/>
  <c r="C276" i="22"/>
  <c r="E179" i="22"/>
  <c r="C797" i="22"/>
  <c r="C926" i="22"/>
  <c r="E682" i="22"/>
  <c r="C17" i="22"/>
  <c r="C873" i="22"/>
  <c r="C290" i="22"/>
  <c r="C1243" i="22"/>
  <c r="E841" i="22"/>
  <c r="C841" i="22"/>
  <c r="E658" i="22"/>
  <c r="G4" i="27"/>
  <c r="AW15" i="9"/>
  <c r="AO15" i="9"/>
  <c r="AT15" i="9" s="1"/>
  <c r="Y15" i="10"/>
  <c r="Z15" i="10" s="1"/>
  <c r="C451" i="22"/>
  <c r="C32" i="22"/>
  <c r="E823" i="22"/>
  <c r="C1141" i="22"/>
  <c r="E942" i="22"/>
  <c r="C795" i="22"/>
  <c r="C717" i="22"/>
  <c r="C606" i="22"/>
  <c r="I14" i="15"/>
  <c r="C86" i="22"/>
  <c r="C155" i="22"/>
  <c r="E1286" i="22"/>
  <c r="C1308" i="22"/>
  <c r="E1064" i="22"/>
  <c r="C430" i="22"/>
  <c r="C347" i="22"/>
  <c r="E384" i="22"/>
  <c r="C225" i="22"/>
  <c r="E567" i="22"/>
  <c r="E1038" i="22"/>
  <c r="C586" i="22"/>
  <c r="C249" i="22"/>
  <c r="E432" i="22"/>
  <c r="C1180" i="22"/>
  <c r="E1269" i="22"/>
  <c r="E926" i="22"/>
  <c r="C1113" i="22"/>
  <c r="E88" i="22"/>
  <c r="E825" i="22"/>
  <c r="C1126" i="22"/>
  <c r="C157" i="22"/>
  <c r="E1288" i="22"/>
  <c r="C1204" i="22"/>
  <c r="C1269" i="22"/>
  <c r="E323" i="22"/>
  <c r="C539" i="22"/>
  <c r="E740" i="22"/>
  <c r="C812" i="22"/>
  <c r="C52" i="22"/>
  <c r="E114" i="22"/>
  <c r="C784" i="22"/>
  <c r="E539" i="22"/>
  <c r="D22" i="13"/>
  <c r="C719" i="22"/>
  <c r="E944" i="22"/>
  <c r="C697" i="22"/>
  <c r="C34" i="22"/>
  <c r="C101" i="22"/>
  <c r="C843" i="22"/>
  <c r="C944" i="22"/>
  <c r="C65" i="22"/>
  <c r="E974" i="22"/>
  <c r="E873" i="22"/>
  <c r="E276" i="22"/>
  <c r="C336" i="22"/>
  <c r="E1051" i="22"/>
  <c r="C1160" i="22"/>
  <c r="C305" i="22"/>
  <c r="E1021" i="22"/>
  <c r="E1204" i="22"/>
  <c r="C1021" i="22"/>
  <c r="E453" i="22"/>
  <c r="E909" i="22"/>
  <c r="E843" i="22"/>
  <c r="E292" i="22"/>
  <c r="E1094" i="22"/>
  <c r="T19" i="7"/>
  <c r="Z14" i="10"/>
  <c r="N63" i="7"/>
  <c r="L87" i="6"/>
  <c r="E86" i="7" s="1"/>
  <c r="L86" i="7" s="1"/>
  <c r="C138" i="22"/>
  <c r="E290" i="22"/>
  <c r="C959" i="22"/>
  <c r="E1178" i="22"/>
  <c r="E138" i="22"/>
  <c r="E15" i="22"/>
  <c r="E177" i="22"/>
  <c r="T33" i="7"/>
  <c r="Z28" i="10"/>
  <c r="R148" i="6"/>
  <c r="R322" i="6"/>
  <c r="R449" i="6"/>
  <c r="T26" i="7"/>
  <c r="C247" i="22"/>
  <c r="E451" i="22"/>
  <c r="C1223" i="22"/>
  <c r="E112" i="22"/>
  <c r="C1036" i="22"/>
  <c r="C63" i="22"/>
  <c r="E1200" i="22"/>
  <c r="C1200" i="22"/>
  <c r="E563" i="22"/>
  <c r="E469" i="22"/>
  <c r="C48" i="22"/>
  <c r="C922" i="22"/>
  <c r="C604" i="22"/>
  <c r="C1047" i="22"/>
  <c r="C1221" i="22"/>
  <c r="C1122" i="22"/>
  <c r="C1139" i="22"/>
  <c r="E362" i="22"/>
  <c r="C1000" i="22"/>
  <c r="D18" i="13"/>
  <c r="C332" i="22"/>
  <c r="C793" i="22"/>
  <c r="C288" i="22"/>
  <c r="C987" i="22"/>
  <c r="C678" i="22"/>
  <c r="E1221" i="22"/>
  <c r="C1156" i="22"/>
  <c r="E1034" i="22"/>
  <c r="C1034" i="22"/>
  <c r="E30" i="22"/>
  <c r="C345" i="22"/>
  <c r="C808" i="22"/>
  <c r="E382" i="22"/>
  <c r="E1062" i="22"/>
  <c r="C693" i="22"/>
  <c r="C852" i="22"/>
  <c r="E1284" i="22"/>
  <c r="E110" i="22"/>
  <c r="C153" i="22"/>
  <c r="E869" i="22"/>
  <c r="C637" i="22"/>
  <c r="C30" i="22"/>
  <c r="E922" i="22"/>
  <c r="E1122" i="22"/>
  <c r="C513" i="22"/>
  <c r="T49" i="7"/>
  <c r="R487" i="6"/>
  <c r="Z43" i="10"/>
  <c r="R67" i="6"/>
  <c r="R329" i="6"/>
  <c r="C1225" i="22"/>
  <c r="C349" i="22"/>
  <c r="C292" i="22"/>
  <c r="E410" i="22"/>
  <c r="E812" i="22"/>
  <c r="C493" i="22"/>
  <c r="E894" i="22"/>
  <c r="C410" i="22"/>
  <c r="E1113" i="22"/>
  <c r="E101" i="22"/>
  <c r="C408" i="22"/>
  <c r="E515" i="22"/>
  <c r="E86" i="22"/>
  <c r="C1002" i="22"/>
  <c r="C491" i="22"/>
  <c r="AW23" i="9"/>
  <c r="AO23" i="9" s="1"/>
  <c r="Y23" i="10"/>
  <c r="Z23" i="10" s="1"/>
  <c r="G20" i="13"/>
  <c r="E303" i="22"/>
  <c r="C695" i="22"/>
  <c r="C203" i="22"/>
  <c r="C871" i="22"/>
  <c r="C364" i="22"/>
  <c r="E892" i="22"/>
  <c r="E1079" i="22"/>
  <c r="C1079" i="22"/>
  <c r="E1267" i="22"/>
  <c r="C99" i="22"/>
  <c r="C15" i="22"/>
  <c r="C223" i="22"/>
  <c r="C274" i="22"/>
  <c r="E907" i="22"/>
  <c r="E621" i="22"/>
  <c r="E1049" i="22"/>
  <c r="E491" i="22"/>
  <c r="C1321" i="22"/>
  <c r="E1158" i="22"/>
  <c r="C1064" i="22"/>
  <c r="C1158" i="22"/>
  <c r="C565" i="22"/>
  <c r="C989" i="22"/>
  <c r="C639" i="22"/>
  <c r="E471" i="22"/>
  <c r="E584" i="22"/>
  <c r="E334" i="22"/>
  <c r="E364" i="22"/>
  <c r="E408" i="22"/>
  <c r="E989" i="22"/>
  <c r="E680" i="22"/>
  <c r="D20" i="13"/>
  <c r="E717" i="22"/>
  <c r="C1286" i="22"/>
  <c r="C972" i="22"/>
  <c r="E1141" i="22"/>
  <c r="C321" i="22"/>
  <c r="E959" i="22"/>
  <c r="C515" i="22"/>
  <c r="E1202" i="22"/>
  <c r="C584" i="22"/>
  <c r="E347" i="22"/>
  <c r="C471" i="22"/>
  <c r="E274" i="22"/>
  <c r="C537" i="22"/>
  <c r="E50" i="22"/>
  <c r="E639" i="22"/>
  <c r="C1019" i="22"/>
  <c r="C782" i="22"/>
  <c r="E99" i="22"/>
  <c r="C823" i="22"/>
  <c r="C1267" i="22"/>
  <c r="E1111" i="22"/>
  <c r="C942" i="22"/>
  <c r="E1308" i="22"/>
  <c r="E810" i="22"/>
  <c r="C924" i="22"/>
  <c r="I73" i="18"/>
  <c r="M491" i="6"/>
  <c r="J487" i="6"/>
  <c r="M256" i="6"/>
  <c r="J254" i="6"/>
  <c r="K258" i="6"/>
  <c r="I110" i="12"/>
  <c r="Z19" i="10"/>
  <c r="C294" i="22"/>
  <c r="C976" i="22"/>
  <c r="N10" i="7"/>
  <c r="U131" i="1"/>
  <c r="U39" i="1"/>
  <c r="M52" i="6"/>
  <c r="L22" i="6"/>
  <c r="F21" i="1"/>
  <c r="C20" i="12" s="1"/>
  <c r="X9" i="1"/>
  <c r="Q365" i="6"/>
  <c r="O366" i="6" s="1"/>
  <c r="S40" i="7"/>
  <c r="M40" i="7" s="1"/>
  <c r="R54" i="7"/>
  <c r="G64" i="7"/>
  <c r="E20" i="7"/>
  <c r="K69" i="7"/>
  <c r="L69" i="7" s="1"/>
  <c r="F285" i="22"/>
  <c r="I69" i="7"/>
  <c r="Q76" i="7"/>
  <c r="H38" i="11"/>
  <c r="F78" i="22"/>
  <c r="H78" i="22" s="1"/>
  <c r="O59" i="7"/>
  <c r="F528" i="22" s="1"/>
  <c r="H528" i="22" s="1"/>
  <c r="K59" i="7"/>
  <c r="F933" i="22"/>
  <c r="H933" i="22" s="1"/>
  <c r="F14" i="27"/>
  <c r="H14" i="27" s="1"/>
  <c r="I14" i="27" s="1"/>
  <c r="F15" i="27"/>
  <c r="F13" i="27"/>
  <c r="H13" i="27" s="1"/>
  <c r="I13" i="27" s="1"/>
  <c r="H903" i="22"/>
  <c r="H906" i="22" s="1"/>
  <c r="H82" i="7"/>
  <c r="H61" i="22"/>
  <c r="H64" i="22" s="1"/>
  <c r="H63" i="22"/>
  <c r="H62" i="22"/>
  <c r="G86" i="7"/>
  <c r="N86" i="7"/>
  <c r="S16" i="7"/>
  <c r="M16" i="7"/>
  <c r="N16" i="7"/>
  <c r="AX11" i="9"/>
  <c r="H1000" i="22"/>
  <c r="H1001" i="22"/>
  <c r="H1002" i="22"/>
  <c r="H1003" i="22" s="1"/>
  <c r="G36" i="7"/>
  <c r="L36" i="7"/>
  <c r="I36" i="7"/>
  <c r="G79" i="7"/>
  <c r="N79" i="7"/>
  <c r="I79" i="7"/>
  <c r="P79" i="7"/>
  <c r="I76" i="7"/>
  <c r="G76" i="7"/>
  <c r="N76" i="7"/>
  <c r="P76" i="7"/>
  <c r="R76" i="7" s="1"/>
  <c r="E23" i="10"/>
  <c r="AA23" i="10"/>
  <c r="E23" i="9"/>
  <c r="H793" i="22"/>
  <c r="H796" i="22" s="1"/>
  <c r="H797" i="22" s="1"/>
  <c r="H795" i="22"/>
  <c r="H794" i="22"/>
  <c r="F866" i="22"/>
  <c r="H866" i="22"/>
  <c r="H865" i="22" s="1"/>
  <c r="F68" i="58" s="1"/>
  <c r="F216" i="22"/>
  <c r="H216" i="22" s="1"/>
  <c r="H215" i="22"/>
  <c r="F554" i="22"/>
  <c r="H554" i="22"/>
  <c r="H553" i="22"/>
  <c r="F264" i="11"/>
  <c r="H264" i="11" s="1"/>
  <c r="H263" i="11" s="1"/>
  <c r="G74" i="12"/>
  <c r="J74" i="12" s="1"/>
  <c r="F168" i="22"/>
  <c r="H168" i="22"/>
  <c r="H167" i="22"/>
  <c r="F20" i="57" s="1"/>
  <c r="F68" i="11"/>
  <c r="H68" i="11" s="1"/>
  <c r="H67" i="11" s="1"/>
  <c r="G31" i="12" s="1"/>
  <c r="J31" i="12" s="1"/>
  <c r="F1153" i="22"/>
  <c r="H1153" i="22"/>
  <c r="H1152" i="22"/>
  <c r="G88" i="25" s="1"/>
  <c r="F513" i="11"/>
  <c r="H513" i="11" s="1"/>
  <c r="H512" i="11"/>
  <c r="G152" i="12" s="1"/>
  <c r="J152" i="12" s="1"/>
  <c r="F464" i="22"/>
  <c r="H464" i="22"/>
  <c r="H463" i="22" s="1"/>
  <c r="F41" i="57" s="1"/>
  <c r="Q60" i="7"/>
  <c r="F406" i="11"/>
  <c r="H406" i="11"/>
  <c r="H405" i="11" s="1"/>
  <c r="G114" i="12" s="1"/>
  <c r="J114" i="12" s="1"/>
  <c r="F96" i="11"/>
  <c r="H96" i="11"/>
  <c r="H95" i="11" s="1"/>
  <c r="G36" i="12" s="1"/>
  <c r="J36" i="12" s="1"/>
  <c r="F214" i="11"/>
  <c r="H214" i="11" s="1"/>
  <c r="H213" i="11" s="1"/>
  <c r="G66" i="12"/>
  <c r="J66" i="12"/>
  <c r="F159" i="11"/>
  <c r="H159" i="11" s="1"/>
  <c r="H158" i="11" s="1"/>
  <c r="G56" i="12" s="1"/>
  <c r="J56" i="12" s="1"/>
  <c r="F359" i="22"/>
  <c r="H359" i="22"/>
  <c r="H358" i="22"/>
  <c r="F36" i="58" s="1"/>
  <c r="F444" i="22"/>
  <c r="H444" i="22" s="1"/>
  <c r="H443" i="22" s="1"/>
  <c r="F40" i="58" s="1"/>
  <c r="F40" i="57"/>
  <c r="F710" i="22"/>
  <c r="H710" i="22" s="1"/>
  <c r="H709" i="22" s="1"/>
  <c r="F57" i="58" s="1"/>
  <c r="F264" i="22"/>
  <c r="H264" i="22" s="1"/>
  <c r="H263" i="22" s="1"/>
  <c r="F24" i="57" s="1"/>
  <c r="F226" i="11"/>
  <c r="H226" i="11" s="1"/>
  <c r="H225" i="11" s="1"/>
  <c r="G68" i="12" s="1"/>
  <c r="J68" i="12" s="1"/>
  <c r="F150" i="22"/>
  <c r="H150" i="22" s="1"/>
  <c r="H149" i="22" s="1"/>
  <c r="F19" i="57" s="1"/>
  <c r="F363" i="11"/>
  <c r="H363" i="11" s="1"/>
  <c r="H362" i="11" s="1"/>
  <c r="G99" i="12" s="1"/>
  <c r="J99" i="12" s="1"/>
  <c r="F437" i="11"/>
  <c r="H437" i="11" s="1"/>
  <c r="H436" i="11" s="1"/>
  <c r="G122" i="12"/>
  <c r="J122" i="12" s="1"/>
  <c r="F523" i="11"/>
  <c r="H523" i="11" s="1"/>
  <c r="H522" i="11" s="1"/>
  <c r="G154" i="12" s="1"/>
  <c r="J154" i="12" s="1"/>
  <c r="F340" i="11"/>
  <c r="H340" i="11" s="1"/>
  <c r="H339" i="11" s="1"/>
  <c r="G95" i="12"/>
  <c r="J95" i="12" s="1"/>
  <c r="F193" i="11"/>
  <c r="H193" i="11"/>
  <c r="H192" i="11" s="1"/>
  <c r="G62" i="12" s="1"/>
  <c r="J62" i="12" s="1"/>
  <c r="F429" i="11"/>
  <c r="H429" i="11" s="1"/>
  <c r="H428" i="11" s="1"/>
  <c r="G120" i="12" s="1"/>
  <c r="J120" i="12" s="1"/>
  <c r="F546" i="11"/>
  <c r="H546" i="11" s="1"/>
  <c r="H545" i="11" s="1"/>
  <c r="G158" i="12" s="1"/>
  <c r="J158" i="12" s="1"/>
  <c r="F311" i="11"/>
  <c r="H311" i="11" s="1"/>
  <c r="H310" i="11"/>
  <c r="G88" i="12" s="1"/>
  <c r="J88" i="12" s="1"/>
  <c r="F1216" i="22"/>
  <c r="H1216" i="22"/>
  <c r="H1215" i="22" s="1"/>
  <c r="F91" i="58" s="1"/>
  <c r="H527" i="22"/>
  <c r="F277" i="11"/>
  <c r="H277" i="11" s="1"/>
  <c r="H276" i="11" s="1"/>
  <c r="G77" i="12" s="1"/>
  <c r="J77" i="12" s="1"/>
  <c r="F589" i="11"/>
  <c r="H589" i="11"/>
  <c r="H588" i="11" s="1"/>
  <c r="G166" i="12" s="1"/>
  <c r="J166" i="12" s="1"/>
  <c r="F379" i="22"/>
  <c r="H379" i="22" s="1"/>
  <c r="H378" i="22" s="1"/>
  <c r="F37" i="58" s="1"/>
  <c r="F413" i="11"/>
  <c r="H413" i="11" s="1"/>
  <c r="H412" i="11" s="1"/>
  <c r="G116" i="12" s="1"/>
  <c r="J116" i="12" s="1"/>
  <c r="F204" i="11"/>
  <c r="H204" i="11" s="1"/>
  <c r="H203" i="11" s="1"/>
  <c r="G64" i="12" s="1"/>
  <c r="J64" i="12" s="1"/>
  <c r="F423" i="22"/>
  <c r="H423" i="22" s="1"/>
  <c r="H422" i="22" s="1"/>
  <c r="Q59" i="7"/>
  <c r="O16" i="7"/>
  <c r="F25" i="22"/>
  <c r="H25" i="22" s="1"/>
  <c r="Q69" i="7"/>
  <c r="F15" i="11"/>
  <c r="H15" i="11" s="1"/>
  <c r="H285" i="22"/>
  <c r="H284" i="22" s="1"/>
  <c r="G30" i="57" s="1"/>
  <c r="F135" i="11"/>
  <c r="H135" i="11" s="1"/>
  <c r="H134" i="11"/>
  <c r="H46" i="12"/>
  <c r="K46" i="12" s="1"/>
  <c r="P69" i="7"/>
  <c r="R69" i="7" s="1"/>
  <c r="R79" i="7"/>
  <c r="O40" i="7"/>
  <c r="N40" i="7"/>
  <c r="G20" i="7"/>
  <c r="O82" i="7"/>
  <c r="F35" i="11" s="1"/>
  <c r="H35" i="11" s="1"/>
  <c r="F75" i="22"/>
  <c r="H75" i="22" s="1"/>
  <c r="K82" i="7"/>
  <c r="L82" i="7" s="1"/>
  <c r="I82" i="7"/>
  <c r="H65" i="22"/>
  <c r="H66" i="22" s="1"/>
  <c r="F88" i="57"/>
  <c r="F39" i="57"/>
  <c r="G44" i="25"/>
  <c r="F19" i="58"/>
  <c r="H30" i="25"/>
  <c r="G30" i="58"/>
  <c r="G24" i="25"/>
  <c r="F45" i="58"/>
  <c r="Q82" i="7"/>
  <c r="G41" i="25"/>
  <c r="H798" i="22"/>
  <c r="E38" i="9"/>
  <c r="E38" i="10"/>
  <c r="AA38" i="10" s="1"/>
  <c r="I44" i="7"/>
  <c r="G44" i="7"/>
  <c r="L44" i="7"/>
  <c r="K56" i="12"/>
  <c r="AT43" i="9"/>
  <c r="AU43" i="9" s="1"/>
  <c r="AT29" i="9"/>
  <c r="AU29" i="9" s="1"/>
  <c r="AT22" i="9"/>
  <c r="AU22" i="9"/>
  <c r="AU15" i="9"/>
  <c r="AU8" i="9"/>
  <c r="AT8" i="9"/>
  <c r="F479" i="11"/>
  <c r="H479" i="11" s="1"/>
  <c r="H478" i="11"/>
  <c r="H139" i="12"/>
  <c r="K139" i="12" s="1"/>
  <c r="L139" i="12" s="1"/>
  <c r="Q63" i="7"/>
  <c r="F1059" i="22"/>
  <c r="H1059" i="22" s="1"/>
  <c r="H1058" i="22" s="1"/>
  <c r="H1060" i="22" s="1"/>
  <c r="AW36" i="9"/>
  <c r="AO36" i="9"/>
  <c r="AT36" i="9"/>
  <c r="Y36" i="10"/>
  <c r="Z36" i="10" s="1"/>
  <c r="L225" i="6"/>
  <c r="J219" i="6"/>
  <c r="E19" i="7"/>
  <c r="J218" i="6"/>
  <c r="E48" i="7"/>
  <c r="J220" i="6"/>
  <c r="K222" i="6"/>
  <c r="L224" i="6"/>
  <c r="E73" i="7" s="1"/>
  <c r="G73" i="7" s="1"/>
  <c r="H65" i="7"/>
  <c r="E16" i="10"/>
  <c r="AA16" i="10"/>
  <c r="G21" i="7"/>
  <c r="I21" i="7"/>
  <c r="L21" i="7"/>
  <c r="E16" i="9"/>
  <c r="G68" i="25"/>
  <c r="F68" i="57"/>
  <c r="F36" i="57"/>
  <c r="G36" i="25"/>
  <c r="G19" i="25"/>
  <c r="F24" i="58"/>
  <c r="G20" i="25"/>
  <c r="F20" i="58"/>
  <c r="G45" i="25"/>
  <c r="F45" i="57"/>
  <c r="F22" i="57"/>
  <c r="P82" i="7"/>
  <c r="R82" i="7" s="1"/>
  <c r="L20" i="7"/>
  <c r="E15" i="10"/>
  <c r="AA15" i="10" s="1"/>
  <c r="G70" i="25"/>
  <c r="F323" i="11"/>
  <c r="H323" i="11"/>
  <c r="H322" i="11" s="1"/>
  <c r="G90" i="12"/>
  <c r="J90" i="12" s="1"/>
  <c r="AX26" i="9"/>
  <c r="S31" i="7"/>
  <c r="M31" i="7" s="1"/>
  <c r="O31" i="7"/>
  <c r="Q231" i="6"/>
  <c r="G81" i="25"/>
  <c r="F81" i="57"/>
  <c r="F81" i="58"/>
  <c r="F673" i="22"/>
  <c r="H673" i="22"/>
  <c r="H672" i="22" s="1"/>
  <c r="G54" i="25" s="1"/>
  <c r="F688" i="22"/>
  <c r="H688" i="22" s="1"/>
  <c r="H687" i="22"/>
  <c r="F452" i="11"/>
  <c r="H452" i="11" s="1"/>
  <c r="H451" i="11"/>
  <c r="G129" i="12" s="1"/>
  <c r="J129" i="12"/>
  <c r="F33" i="11"/>
  <c r="H33" i="11"/>
  <c r="H32" i="11" s="1"/>
  <c r="G16" i="12" s="1"/>
  <c r="J16" i="12" s="1"/>
  <c r="F496" i="11"/>
  <c r="H496" i="11"/>
  <c r="H495" i="11" s="1"/>
  <c r="G146" i="12" s="1"/>
  <c r="J146" i="12" s="1"/>
  <c r="F289" i="11"/>
  <c r="H289" i="11" s="1"/>
  <c r="H288" i="11" s="1"/>
  <c r="G80" i="12" s="1"/>
  <c r="J80" i="12" s="1"/>
  <c r="F1193" i="22"/>
  <c r="H1193" i="22" s="1"/>
  <c r="H1192" i="22" s="1"/>
  <c r="F568" i="11"/>
  <c r="H568" i="11" s="1"/>
  <c r="H567" i="11" s="1"/>
  <c r="G162" i="12" s="1"/>
  <c r="J162" i="12" s="1"/>
  <c r="F179" i="11"/>
  <c r="H179" i="11" s="1"/>
  <c r="H178" i="11" s="1"/>
  <c r="G60" i="12" s="1"/>
  <c r="J60" i="12" s="1"/>
  <c r="F773" i="22"/>
  <c r="H773" i="22"/>
  <c r="H772" i="22"/>
  <c r="F328" i="11"/>
  <c r="H328" i="11"/>
  <c r="H327" i="11" s="1"/>
  <c r="G92" i="12" s="1"/>
  <c r="J92" i="12"/>
  <c r="F614" i="22"/>
  <c r="H614" i="22" s="1"/>
  <c r="H613" i="22" s="1"/>
  <c r="G49" i="25" s="1"/>
  <c r="F469" i="11"/>
  <c r="H469" i="11" s="1"/>
  <c r="H468" i="11" s="1"/>
  <c r="G135" i="12" s="1"/>
  <c r="J135" i="12" s="1"/>
  <c r="F236" i="11"/>
  <c r="H236" i="11" s="1"/>
  <c r="H235" i="11" s="1"/>
  <c r="G70" i="12" s="1"/>
  <c r="J70" i="12" s="1"/>
  <c r="F982" i="22"/>
  <c r="H982" i="22" s="1"/>
  <c r="H981" i="22" s="1"/>
  <c r="F1029" i="22"/>
  <c r="H1029" i="22" s="1"/>
  <c r="H1028" i="22" s="1"/>
  <c r="F1258" i="22"/>
  <c r="H1258" i="22"/>
  <c r="H1257" i="22"/>
  <c r="F93" i="57" s="1"/>
  <c r="F373" i="11"/>
  <c r="H373" i="11" s="1"/>
  <c r="H372" i="11" s="1"/>
  <c r="G101" i="12" s="1"/>
  <c r="J101" i="12" s="1"/>
  <c r="F399" i="22"/>
  <c r="H399" i="22"/>
  <c r="H398" i="22" s="1"/>
  <c r="G38" i="25" s="1"/>
  <c r="F1106" i="22"/>
  <c r="H1106" i="22" s="1"/>
  <c r="H1105" i="22" s="1"/>
  <c r="F73" i="22"/>
  <c r="H73" i="22"/>
  <c r="H72" i="22" s="1"/>
  <c r="F294" i="11"/>
  <c r="H294" i="11"/>
  <c r="H293" i="11"/>
  <c r="G82" i="12" s="1"/>
  <c r="J82" i="12" s="1"/>
  <c r="F533" i="11"/>
  <c r="H533" i="11" s="1"/>
  <c r="H532" i="11" s="1"/>
  <c r="G156" i="12" s="1"/>
  <c r="J156" i="12" s="1"/>
  <c r="P57" i="7"/>
  <c r="R57" i="7"/>
  <c r="L57" i="7"/>
  <c r="G71" i="7"/>
  <c r="N71" i="7"/>
  <c r="I56" i="7"/>
  <c r="I61" i="7"/>
  <c r="G56" i="7"/>
  <c r="G61" i="7"/>
  <c r="AT25" i="9"/>
  <c r="AU25" i="9"/>
  <c r="N75" i="7"/>
  <c r="G75" i="7"/>
  <c r="E11" i="9"/>
  <c r="AU37" i="9"/>
  <c r="L12" i="7"/>
  <c r="G12" i="7"/>
  <c r="I16" i="7"/>
  <c r="AX7" i="9"/>
  <c r="AX40" i="9"/>
  <c r="AY40" i="9"/>
  <c r="AX10" i="9"/>
  <c r="Q68" i="6"/>
  <c r="S12" i="7"/>
  <c r="M12" i="7" s="1"/>
  <c r="AU16" i="9"/>
  <c r="E18" i="10"/>
  <c r="AA18" i="10"/>
  <c r="K172" i="5"/>
  <c r="F72" i="2"/>
  <c r="H81" i="7"/>
  <c r="L35" i="7"/>
  <c r="E30" i="10"/>
  <c r="AA30" i="10"/>
  <c r="I35" i="7"/>
  <c r="E30" i="9"/>
  <c r="I144" i="12"/>
  <c r="K144" i="12"/>
  <c r="I58" i="7"/>
  <c r="O58" i="7"/>
  <c r="G66" i="7"/>
  <c r="L24" i="7"/>
  <c r="E19" i="10"/>
  <c r="AA19" i="10"/>
  <c r="G24" i="7"/>
  <c r="Y12" i="10"/>
  <c r="Z12" i="10"/>
  <c r="AW12" i="9"/>
  <c r="AO12" i="9"/>
  <c r="E70" i="57"/>
  <c r="F70" i="25"/>
  <c r="E39" i="9"/>
  <c r="I45" i="7"/>
  <c r="E24" i="9"/>
  <c r="L29" i="7"/>
  <c r="I23" i="7"/>
  <c r="L45" i="7"/>
  <c r="G70" i="7"/>
  <c r="N70" i="7"/>
  <c r="G25" i="7"/>
  <c r="E20" i="10"/>
  <c r="AA20" i="10" s="1"/>
  <c r="AT13" i="9"/>
  <c r="AW31" i="9"/>
  <c r="AO31" i="9"/>
  <c r="Y31" i="10"/>
  <c r="Z31" i="10" s="1"/>
  <c r="O56" i="7"/>
  <c r="P56" i="7" s="1"/>
  <c r="K56" i="7"/>
  <c r="L56" i="7"/>
  <c r="F75" i="25"/>
  <c r="E75" i="57"/>
  <c r="I17" i="15"/>
  <c r="AT24" i="9"/>
  <c r="AU24" i="9"/>
  <c r="AT17" i="9"/>
  <c r="AU17" i="9"/>
  <c r="AX17" i="9" s="1"/>
  <c r="H16" i="15"/>
  <c r="H20" i="15" s="1"/>
  <c r="I16" i="15"/>
  <c r="AT19" i="9"/>
  <c r="AU19" i="9" s="1"/>
  <c r="J286" i="6"/>
  <c r="I7" i="7"/>
  <c r="J233" i="6"/>
  <c r="J231" i="6"/>
  <c r="E31" i="7" s="1"/>
  <c r="N241" i="6"/>
  <c r="K236" i="6"/>
  <c r="L390" i="6"/>
  <c r="E85" i="7"/>
  <c r="N85" i="7" s="1"/>
  <c r="C201" i="22"/>
  <c r="E175" i="22"/>
  <c r="C619" i="22"/>
  <c r="E1319" i="22"/>
  <c r="C563" i="22"/>
  <c r="E656" i="22"/>
  <c r="E272" i="22"/>
  <c r="C319" i="22"/>
  <c r="E48" i="22"/>
  <c r="E890" i="22"/>
  <c r="E136" i="22"/>
  <c r="E1265" i="22"/>
  <c r="E604" i="22"/>
  <c r="E1017" i="22"/>
  <c r="C61" i="22"/>
  <c r="C582" i="22"/>
  <c r="E905" i="22"/>
  <c r="C890" i="22"/>
  <c r="C839" i="22"/>
  <c r="C1265" i="22"/>
  <c r="E1332" i="22"/>
  <c r="C123" i="22"/>
  <c r="E301" i="22"/>
  <c r="E793" i="22"/>
  <c r="C1319" i="22"/>
  <c r="E1306" i="22"/>
  <c r="C1017" i="22"/>
  <c r="E201" i="22"/>
  <c r="C940" i="22"/>
  <c r="E153" i="22"/>
  <c r="C469" i="22"/>
  <c r="E957" i="22"/>
  <c r="E715" i="22"/>
  <c r="G18" i="13"/>
  <c r="E319" i="22"/>
  <c r="E808" i="22"/>
  <c r="E332" i="22"/>
  <c r="E1139" i="22"/>
  <c r="E1090" i="22"/>
  <c r="E839" i="22"/>
  <c r="E97" i="22"/>
  <c r="E970" i="22"/>
  <c r="E821" i="22"/>
  <c r="C382" i="22"/>
  <c r="E678" i="22"/>
  <c r="C715" i="22"/>
  <c r="E535" i="22"/>
  <c r="E940" i="22"/>
  <c r="C1176" i="22"/>
  <c r="C535" i="22"/>
  <c r="C1241" i="22"/>
  <c r="C970" i="22"/>
  <c r="E780" i="22"/>
  <c r="E13" i="22"/>
  <c r="E1156" i="22"/>
  <c r="C656" i="22"/>
  <c r="C175" i="22"/>
  <c r="E987" i="22"/>
  <c r="E61" i="22"/>
  <c r="E852" i="22"/>
  <c r="C13" i="22"/>
  <c r="E1109" i="22"/>
  <c r="C301" i="22"/>
  <c r="C1109" i="22"/>
  <c r="C1306" i="22"/>
  <c r="C905" i="22"/>
  <c r="E449" i="22"/>
  <c r="E1047" i="22"/>
  <c r="E736" i="22"/>
  <c r="C406" i="22"/>
  <c r="C362" i="22"/>
  <c r="C97" i="22"/>
  <c r="K148" i="12"/>
  <c r="AT21" i="9"/>
  <c r="AU21" i="9" s="1"/>
  <c r="Y13" i="10"/>
  <c r="Z13" i="10"/>
  <c r="AW13" i="9"/>
  <c r="AO13" i="9"/>
  <c r="E8" i="9"/>
  <c r="E8" i="10"/>
  <c r="AA8" i="10" s="1"/>
  <c r="L13" i="7"/>
  <c r="AU42" i="9"/>
  <c r="P63" i="7"/>
  <c r="R63" i="7" s="1"/>
  <c r="I26" i="12"/>
  <c r="J26" i="12"/>
  <c r="AW33" i="9"/>
  <c r="AO33" i="9"/>
  <c r="Q9" i="7"/>
  <c r="E37" i="6"/>
  <c r="L39" i="6"/>
  <c r="E87" i="7" s="1"/>
  <c r="F23" i="1"/>
  <c r="C22" i="12" s="1"/>
  <c r="T25" i="7"/>
  <c r="T32" i="7"/>
  <c r="C434" i="22"/>
  <c r="C721" i="22"/>
  <c r="C762" i="22"/>
  <c r="C159" i="22"/>
  <c r="C19" i="22"/>
  <c r="C54" i="22"/>
  <c r="C946" i="22"/>
  <c r="C1325" i="22"/>
  <c r="E871" i="22"/>
  <c r="C50" i="22"/>
  <c r="K99" i="12"/>
  <c r="N78" i="6"/>
  <c r="E72" i="12"/>
  <c r="Y34" i="10"/>
  <c r="Z34" i="10"/>
  <c r="AA34" i="10"/>
  <c r="Z35" i="10"/>
  <c r="T18" i="7"/>
  <c r="T24" i="7"/>
  <c r="R299" i="6"/>
  <c r="R102" i="6"/>
  <c r="K346" i="6"/>
  <c r="L194" i="6"/>
  <c r="V70" i="1"/>
  <c r="V170" i="1"/>
  <c r="V171" i="1"/>
  <c r="J330" i="6"/>
  <c r="E15" i="7" s="1"/>
  <c r="R424" i="6"/>
  <c r="R323" i="6"/>
  <c r="K201" i="5"/>
  <c r="K200" i="5"/>
  <c r="K194" i="5"/>
  <c r="F74" i="2" s="1"/>
  <c r="H83" i="7" s="1"/>
  <c r="E100" i="6"/>
  <c r="V41" i="1"/>
  <c r="K55" i="7"/>
  <c r="L55" i="7"/>
  <c r="L61" i="7" s="1"/>
  <c r="T17" i="7"/>
  <c r="R269" i="6"/>
  <c r="E738" i="22"/>
  <c r="I9" i="15"/>
  <c r="O86" i="7"/>
  <c r="K241" i="5"/>
  <c r="K235" i="5" s="1"/>
  <c r="F80" i="2" s="1"/>
  <c r="H88" i="7" s="1"/>
  <c r="O88" i="7" s="1"/>
  <c r="P88" i="7" s="1"/>
  <c r="K112" i="5"/>
  <c r="K111" i="5" s="1"/>
  <c r="K108" i="5" s="1"/>
  <c r="F65" i="2" s="1"/>
  <c r="H74" i="7" s="1"/>
  <c r="R481" i="6"/>
  <c r="C875" i="22"/>
  <c r="C1053" i="22"/>
  <c r="C610" i="22"/>
  <c r="C103" i="22"/>
  <c r="C388" i="22"/>
  <c r="E1124" i="22"/>
  <c r="J393" i="6"/>
  <c r="E18" i="7"/>
  <c r="L18" i="7" s="1"/>
  <c r="I9" i="7"/>
  <c r="E176" i="6"/>
  <c r="W62" i="1"/>
  <c r="W170" i="1" s="1"/>
  <c r="W171" i="1" s="1"/>
  <c r="H11" i="13" s="1"/>
  <c r="H10" i="13" s="1"/>
  <c r="P61" i="7"/>
  <c r="R56" i="7"/>
  <c r="R61" i="7" s="1"/>
  <c r="AX21" i="9"/>
  <c r="Q148" i="6"/>
  <c r="S26" i="7"/>
  <c r="M26" i="7"/>
  <c r="Q322" i="6"/>
  <c r="Q449" i="6"/>
  <c r="Q254" i="6"/>
  <c r="Q208" i="6"/>
  <c r="Q331" i="6"/>
  <c r="S20" i="7"/>
  <c r="M20" i="7" s="1"/>
  <c r="N20" i="7" s="1"/>
  <c r="Q157" i="6"/>
  <c r="AX15" i="9"/>
  <c r="Q489" i="6"/>
  <c r="Q458" i="6"/>
  <c r="Q285" i="6"/>
  <c r="O12" i="7"/>
  <c r="N12" i="7"/>
  <c r="S30" i="7"/>
  <c r="M30" i="7"/>
  <c r="AX25" i="9"/>
  <c r="F49" i="57"/>
  <c r="F49" i="58"/>
  <c r="H1064" i="22"/>
  <c r="H1062" i="22"/>
  <c r="I19" i="7"/>
  <c r="L19" i="7"/>
  <c r="G19" i="7"/>
  <c r="E14" i="9"/>
  <c r="E14" i="10"/>
  <c r="AA14" i="10" s="1"/>
  <c r="S34" i="7"/>
  <c r="M34" i="7"/>
  <c r="O34" i="7"/>
  <c r="AX29" i="9"/>
  <c r="Q105" i="6"/>
  <c r="O74" i="7"/>
  <c r="F558" i="22" s="1"/>
  <c r="H558" i="22" s="1"/>
  <c r="AT12" i="9"/>
  <c r="AU12" i="9"/>
  <c r="S17" i="7" s="1"/>
  <c r="F38" i="57"/>
  <c r="F38" i="58"/>
  <c r="H67" i="22"/>
  <c r="H68" i="22"/>
  <c r="H10" i="57" s="1"/>
  <c r="I10" i="57" s="1"/>
  <c r="AV16" i="9"/>
  <c r="Q269" i="6"/>
  <c r="AX19" i="9"/>
  <c r="AY19" i="9"/>
  <c r="Q323" i="6"/>
  <c r="Q481" i="6"/>
  <c r="AV19" i="9"/>
  <c r="Q200" i="6"/>
  <c r="F60" i="57"/>
  <c r="G60" i="25"/>
  <c r="F60" i="58"/>
  <c r="F55" i="58"/>
  <c r="F55" i="57"/>
  <c r="G55" i="25"/>
  <c r="AU36" i="9"/>
  <c r="G93" i="25"/>
  <c r="F93" i="58"/>
  <c r="F54" i="58"/>
  <c r="F54" i="57"/>
  <c r="F548" i="22"/>
  <c r="H548" i="22" s="1"/>
  <c r="Q31" i="7"/>
  <c r="F258" i="11"/>
  <c r="H258" i="11"/>
  <c r="AX8" i="9"/>
  <c r="S13" i="7"/>
  <c r="M13" i="7"/>
  <c r="Q469" i="6"/>
  <c r="G85" i="7"/>
  <c r="I85" i="7"/>
  <c r="L85" i="7"/>
  <c r="F79" i="58"/>
  <c r="F79" i="57"/>
  <c r="G79" i="25"/>
  <c r="N73" i="7"/>
  <c r="AV38" i="9"/>
  <c r="K110" i="6"/>
  <c r="AT33" i="9"/>
  <c r="AU33" i="9" s="1"/>
  <c r="AX42" i="9"/>
  <c r="S48" i="7"/>
  <c r="M48" i="7" s="1"/>
  <c r="AV24" i="9"/>
  <c r="Q58" i="7"/>
  <c r="F304" i="11"/>
  <c r="H304" i="11"/>
  <c r="H303" i="11" s="1"/>
  <c r="G86" i="12" s="1"/>
  <c r="J86" i="12" s="1"/>
  <c r="F634" i="22"/>
  <c r="H634" i="22"/>
  <c r="H633" i="22"/>
  <c r="F52" i="57" s="1"/>
  <c r="P58" i="7"/>
  <c r="R58" i="7"/>
  <c r="F383" i="11"/>
  <c r="H383" i="11" s="1"/>
  <c r="H382" i="11" s="1"/>
  <c r="G106" i="12" s="1"/>
  <c r="J106" i="12" s="1"/>
  <c r="F40" i="22"/>
  <c r="H40" i="22"/>
  <c r="H39" i="22"/>
  <c r="G9" i="25" s="1"/>
  <c r="F1119" i="22"/>
  <c r="H1119" i="22"/>
  <c r="H1118" i="22" s="1"/>
  <c r="F950" i="22"/>
  <c r="H950" i="22"/>
  <c r="H949" i="22"/>
  <c r="F8" i="22"/>
  <c r="H8" i="22"/>
  <c r="H7" i="22" s="1"/>
  <c r="F138" i="11"/>
  <c r="H138" i="11" s="1"/>
  <c r="H137" i="11" s="1"/>
  <c r="G48" i="12" s="1"/>
  <c r="J48" i="12" s="1"/>
  <c r="L48" i="12" s="1"/>
  <c r="F831" i="22"/>
  <c r="H831" i="22" s="1"/>
  <c r="H830" i="22" s="1"/>
  <c r="F311" i="22"/>
  <c r="H311" i="22" s="1"/>
  <c r="H310" i="22" s="1"/>
  <c r="F32" i="58" s="1"/>
  <c r="F1010" i="22"/>
  <c r="H1010" i="22"/>
  <c r="H1009" i="22" s="1"/>
  <c r="F1087" i="22"/>
  <c r="H1087" i="22"/>
  <c r="H1086" i="22" s="1"/>
  <c r="F84" i="58" s="1"/>
  <c r="F388" i="11"/>
  <c r="H388" i="11"/>
  <c r="H387" i="11"/>
  <c r="G108" i="12"/>
  <c r="J108" i="12"/>
  <c r="L108" i="12" s="1"/>
  <c r="F818" i="22"/>
  <c r="H818" i="22" s="1"/>
  <c r="H817" i="22" s="1"/>
  <c r="F391" i="11"/>
  <c r="H391" i="11"/>
  <c r="H390" i="11"/>
  <c r="G110" i="12" s="1"/>
  <c r="J110" i="12" s="1"/>
  <c r="F482" i="11"/>
  <c r="H482" i="11" s="1"/>
  <c r="H481" i="11" s="1"/>
  <c r="G142" i="12" s="1"/>
  <c r="J142" i="12"/>
  <c r="F1072" i="22"/>
  <c r="H1072" i="22"/>
  <c r="H1071" i="22" s="1"/>
  <c r="F283" i="22"/>
  <c r="H283" i="22"/>
  <c r="H282" i="22"/>
  <c r="G30" i="25" s="1"/>
  <c r="F1136" i="22"/>
  <c r="H1136" i="22"/>
  <c r="H1135" i="22" s="1"/>
  <c r="F133" i="11"/>
  <c r="H133" i="11" s="1"/>
  <c r="H132" i="11" s="1"/>
  <c r="G46" i="12" s="1"/>
  <c r="J46" i="12" s="1"/>
  <c r="L46" i="12" s="1"/>
  <c r="Q56" i="7"/>
  <c r="F8" i="11"/>
  <c r="H8" i="11"/>
  <c r="H7" i="11" s="1"/>
  <c r="G8" i="12" s="1"/>
  <c r="J8" i="12" s="1"/>
  <c r="F506" i="11"/>
  <c r="H506" i="11"/>
  <c r="H505" i="11"/>
  <c r="G150" i="12" s="1"/>
  <c r="J150" i="12" s="1"/>
  <c r="F487" i="11"/>
  <c r="H487" i="11" s="1"/>
  <c r="H486" i="11" s="1"/>
  <c r="G144" i="12" s="1"/>
  <c r="J144" i="12" s="1"/>
  <c r="F460" i="11"/>
  <c r="H460" i="11" s="1"/>
  <c r="H459" i="11" s="1"/>
  <c r="G133" i="12" s="1"/>
  <c r="J133" i="12" s="1"/>
  <c r="F499" i="11"/>
  <c r="H499" i="11"/>
  <c r="H498" i="11" s="1"/>
  <c r="G148" i="12" s="1"/>
  <c r="J148" i="12" s="1"/>
  <c r="L148" i="12" s="1"/>
  <c r="F23" i="22"/>
  <c r="H23" i="22"/>
  <c r="H22" i="22"/>
  <c r="F8" i="58" s="1"/>
  <c r="F803" i="22"/>
  <c r="H803" i="22"/>
  <c r="H802" i="22" s="1"/>
  <c r="F13" i="11"/>
  <c r="H13" i="11" s="1"/>
  <c r="H12" i="11" s="1"/>
  <c r="G10" i="12" s="1"/>
  <c r="J10" i="12" s="1"/>
  <c r="F298" i="22"/>
  <c r="H298" i="22" s="1"/>
  <c r="H297" i="22" s="1"/>
  <c r="F141" i="11"/>
  <c r="H141" i="11" s="1"/>
  <c r="H140" i="11" s="1"/>
  <c r="G50" i="12" s="1"/>
  <c r="J50" i="12"/>
  <c r="F440" i="11"/>
  <c r="H440" i="11"/>
  <c r="H439" i="11" s="1"/>
  <c r="G125" i="12" s="1"/>
  <c r="J125" i="12" s="1"/>
  <c r="F20" i="11"/>
  <c r="H20" i="11" s="1"/>
  <c r="H19" i="11" s="1"/>
  <c r="G12" i="12" s="1"/>
  <c r="J12" i="12" s="1"/>
  <c r="K81" i="7"/>
  <c r="O81" i="7"/>
  <c r="F240" i="22" s="1"/>
  <c r="H240" i="22" s="1"/>
  <c r="G76" i="25"/>
  <c r="F76" i="58"/>
  <c r="F76" i="57"/>
  <c r="F90" i="58"/>
  <c r="F90" i="57"/>
  <c r="G90" i="25"/>
  <c r="Q487" i="6"/>
  <c r="Q468" i="6"/>
  <c r="O471" i="6" s="1"/>
  <c r="Q67" i="6"/>
  <c r="Q155" i="6"/>
  <c r="Q252" i="6"/>
  <c r="Q168" i="6"/>
  <c r="Q300" i="6"/>
  <c r="Q456" i="6"/>
  <c r="AX43" i="9"/>
  <c r="Q310" i="6"/>
  <c r="Q206" i="6"/>
  <c r="Q283" i="6"/>
  <c r="Q329" i="6"/>
  <c r="S49" i="7"/>
  <c r="M49" i="7" s="1"/>
  <c r="O49" i="7" s="1"/>
  <c r="F499" i="22" s="1"/>
  <c r="H499" i="22" s="1"/>
  <c r="AV8" i="9"/>
  <c r="AY8" i="9"/>
  <c r="G31" i="7"/>
  <c r="E26" i="10"/>
  <c r="I31" i="7"/>
  <c r="E26" i="9"/>
  <c r="L31" i="7"/>
  <c r="N31" i="7"/>
  <c r="P31" i="7"/>
  <c r="S22" i="7"/>
  <c r="M22" i="7" s="1"/>
  <c r="O22" i="7" s="1"/>
  <c r="AX37" i="9"/>
  <c r="S43" i="7"/>
  <c r="M43" i="7"/>
  <c r="O43" i="7" s="1"/>
  <c r="Q104" i="6"/>
  <c r="Q92" i="6"/>
  <c r="P99" i="6"/>
  <c r="E42" i="7"/>
  <c r="G42" i="7" s="1"/>
  <c r="Q321" i="6"/>
  <c r="Q147" i="6"/>
  <c r="S27" i="7"/>
  <c r="M27" i="7"/>
  <c r="AX22" i="9"/>
  <c r="Q479" i="6"/>
  <c r="Q198" i="6"/>
  <c r="Q448" i="6"/>
  <c r="M181" i="6"/>
  <c r="J179" i="6"/>
  <c r="E14" i="7"/>
  <c r="K183" i="6"/>
  <c r="L185" i="6"/>
  <c r="E84" i="7" s="1"/>
  <c r="J178" i="6"/>
  <c r="E50" i="7"/>
  <c r="G50" i="7" s="1"/>
  <c r="J180" i="6"/>
  <c r="E37" i="7"/>
  <c r="L37" i="7" s="1"/>
  <c r="AU13" i="9"/>
  <c r="Q424" i="6" s="1"/>
  <c r="S29" i="7"/>
  <c r="M29" i="7" s="1"/>
  <c r="O29" i="7" s="1"/>
  <c r="Q268" i="6"/>
  <c r="O270" i="6"/>
  <c r="AX24" i="9"/>
  <c r="AY24" i="9"/>
  <c r="AT31" i="9"/>
  <c r="AU31" i="9"/>
  <c r="Q490" i="6" s="1"/>
  <c r="Q69" i="6"/>
  <c r="S21" i="7"/>
  <c r="M21" i="7"/>
  <c r="N21" i="7" s="1"/>
  <c r="AX16" i="9"/>
  <c r="AY16" i="9"/>
  <c r="AY11" i="9"/>
  <c r="AV11" i="9"/>
  <c r="G11" i="25"/>
  <c r="F11" i="57"/>
  <c r="F11" i="58"/>
  <c r="K65" i="7"/>
  <c r="O65" i="7"/>
  <c r="F251" i="11" s="1"/>
  <c r="G48" i="7"/>
  <c r="E42" i="10"/>
  <c r="AA42" i="10"/>
  <c r="E42" i="9"/>
  <c r="L48" i="7"/>
  <c r="I48" i="7"/>
  <c r="H81" i="25"/>
  <c r="G81" i="57"/>
  <c r="G81" i="58"/>
  <c r="Q332" i="6"/>
  <c r="S36" i="7"/>
  <c r="M36" i="7"/>
  <c r="O36" i="7" s="1"/>
  <c r="Q470" i="6"/>
  <c r="S37" i="7"/>
  <c r="M37" i="7" s="1"/>
  <c r="O37" i="7" s="1"/>
  <c r="Q170" i="6"/>
  <c r="Q70" i="6"/>
  <c r="Q286" i="6"/>
  <c r="M17" i="7"/>
  <c r="Q425" i="6"/>
  <c r="AX12" i="9"/>
  <c r="AY12" i="9" s="1"/>
  <c r="AV12" i="9"/>
  <c r="H10" i="58"/>
  <c r="I10" i="58" s="1"/>
  <c r="F9" i="57"/>
  <c r="F9" i="58"/>
  <c r="O26" i="7"/>
  <c r="F553" i="11" s="1"/>
  <c r="F267" i="22"/>
  <c r="H267" i="22"/>
  <c r="F268" i="22" s="1"/>
  <c r="H268" i="22" s="1"/>
  <c r="G8" i="25"/>
  <c r="F8" i="57"/>
  <c r="G52" i="25"/>
  <c r="F52" i="58"/>
  <c r="F268" i="11"/>
  <c r="H268" i="11" s="1"/>
  <c r="O27" i="7"/>
  <c r="AV26" i="9"/>
  <c r="AY26" i="9"/>
  <c r="F30" i="57"/>
  <c r="H286" i="22"/>
  <c r="F32" i="57"/>
  <c r="G32" i="25"/>
  <c r="G84" i="25"/>
  <c r="H1088" i="22"/>
  <c r="H1090" i="22" s="1"/>
  <c r="E31" i="9"/>
  <c r="E31" i="10"/>
  <c r="AA31" i="10"/>
  <c r="I37" i="7"/>
  <c r="P37" i="7"/>
  <c r="G37" i="7"/>
  <c r="F83" i="57"/>
  <c r="F83" i="58"/>
  <c r="F66" i="57"/>
  <c r="K83" i="7"/>
  <c r="L83" i="7" s="1"/>
  <c r="K88" i="7"/>
  <c r="L88" i="7" s="1"/>
  <c r="I88" i="7"/>
  <c r="L42" i="7"/>
  <c r="E36" i="10"/>
  <c r="AA36" i="10" s="1"/>
  <c r="I42" i="7"/>
  <c r="AX13" i="9"/>
  <c r="E44" i="10"/>
  <c r="AA44" i="10" s="1"/>
  <c r="O21" i="7"/>
  <c r="F187" i="22" s="1"/>
  <c r="H187" i="22" s="1"/>
  <c r="F258" i="22"/>
  <c r="H258" i="22"/>
  <c r="Q34" i="7"/>
  <c r="F118" i="11"/>
  <c r="H118" i="11"/>
  <c r="P12" i="7"/>
  <c r="R12" i="7"/>
  <c r="F403" i="11"/>
  <c r="H403" i="11"/>
  <c r="F510" i="11"/>
  <c r="H510" i="11"/>
  <c r="Q12" i="7"/>
  <c r="F1150" i="22"/>
  <c r="H1150" i="22" s="1"/>
  <c r="F502" i="11"/>
  <c r="H502" i="11" s="1"/>
  <c r="F863" i="22"/>
  <c r="H863" i="22" s="1"/>
  <c r="F156" i="11"/>
  <c r="H156" i="11" s="1"/>
  <c r="F356" i="22"/>
  <c r="H356" i="22" s="1"/>
  <c r="F1132" i="22"/>
  <c r="H1132" i="22" s="1"/>
  <c r="O20" i="7"/>
  <c r="F231" i="11" s="1"/>
  <c r="F279" i="11"/>
  <c r="H279" i="11"/>
  <c r="H278" i="11" s="1"/>
  <c r="H77" i="12" s="1"/>
  <c r="K77" i="12" s="1"/>
  <c r="F579" i="22"/>
  <c r="H579" i="22" s="1"/>
  <c r="H578" i="22"/>
  <c r="H47" i="25" s="1"/>
  <c r="F592" i="11"/>
  <c r="H592" i="11"/>
  <c r="H251" i="11"/>
  <c r="F1302" i="22"/>
  <c r="H1302" i="22"/>
  <c r="F581" i="11"/>
  <c r="H581" i="11" s="1"/>
  <c r="H580" i="11" s="1"/>
  <c r="H164" i="12"/>
  <c r="K164" i="12" s="1"/>
  <c r="F313" i="11"/>
  <c r="H313" i="11" s="1"/>
  <c r="H312" i="11"/>
  <c r="H88" i="12"/>
  <c r="K88" i="12" s="1"/>
  <c r="F653" i="22"/>
  <c r="H653" i="22"/>
  <c r="H652" i="22" s="1"/>
  <c r="G53" i="58" s="1"/>
  <c r="F1281" i="22"/>
  <c r="H1281" i="22" s="1"/>
  <c r="H1280" i="22"/>
  <c r="F531" i="22"/>
  <c r="H531" i="22"/>
  <c r="Q65" i="7"/>
  <c r="F109" i="11"/>
  <c r="H109" i="11" s="1"/>
  <c r="F266" i="22"/>
  <c r="H266" i="22" s="1"/>
  <c r="F239" i="22"/>
  <c r="H239" i="22" s="1"/>
  <c r="F126" i="11"/>
  <c r="H126" i="11" s="1"/>
  <c r="G7" i="25"/>
  <c r="AY42" i="9"/>
  <c r="AV42" i="9"/>
  <c r="N29" i="7"/>
  <c r="Q43" i="7"/>
  <c r="F103" i="11"/>
  <c r="H103" i="11" s="1"/>
  <c r="R31" i="7"/>
  <c r="H299" i="22"/>
  <c r="F31" i="57"/>
  <c r="F65" i="58"/>
  <c r="F74" i="58"/>
  <c r="F74" i="57"/>
  <c r="G74" i="25"/>
  <c r="N13" i="7"/>
  <c r="O13" i="7"/>
  <c r="I14" i="7"/>
  <c r="L14" i="7"/>
  <c r="G14" i="7"/>
  <c r="E9" i="9"/>
  <c r="E9" i="10"/>
  <c r="AA9" i="10" s="1"/>
  <c r="H1120" i="22"/>
  <c r="F86" i="58"/>
  <c r="S42" i="7"/>
  <c r="M42" i="7" s="1"/>
  <c r="O42" i="7"/>
  <c r="Q233" i="6"/>
  <c r="Q58" i="6"/>
  <c r="AX36" i="9"/>
  <c r="O30" i="7"/>
  <c r="F425" i="11" s="1"/>
  <c r="H269" i="22"/>
  <c r="H265" i="22" s="1"/>
  <c r="Q13" i="7"/>
  <c r="F540" i="11"/>
  <c r="H540" i="11" s="1"/>
  <c r="F432" i="11"/>
  <c r="H432" i="11" s="1"/>
  <c r="F766" i="22"/>
  <c r="H766" i="22" s="1"/>
  <c r="F561" i="11"/>
  <c r="H561" i="11"/>
  <c r="F345" i="11"/>
  <c r="H345" i="11" s="1"/>
  <c r="F185" i="22"/>
  <c r="H185" i="22" s="1"/>
  <c r="F229" i="11"/>
  <c r="H229" i="11" s="1"/>
  <c r="F172" i="11"/>
  <c r="H172" i="11" s="1"/>
  <c r="F932" i="22"/>
  <c r="H932" i="22" s="1"/>
  <c r="F334" i="11"/>
  <c r="H334" i="11" s="1"/>
  <c r="F1251" i="22"/>
  <c r="H1251" i="22" s="1"/>
  <c r="F187" i="11"/>
  <c r="H187" i="11" s="1"/>
  <c r="F1210" i="22"/>
  <c r="H1210" i="22" s="1"/>
  <c r="F417" i="22"/>
  <c r="H417" i="22" s="1"/>
  <c r="F592" i="22"/>
  <c r="H592" i="22" s="1"/>
  <c r="F1186" i="22"/>
  <c r="H1186" i="22" s="1"/>
  <c r="N36" i="7"/>
  <c r="Q88" i="7"/>
  <c r="F39" i="11"/>
  <c r="H39" i="11"/>
  <c r="F79" i="22"/>
  <c r="H79" i="22" s="1"/>
  <c r="R88" i="7"/>
  <c r="AV31" i="9"/>
  <c r="H288" i="22"/>
  <c r="H289" i="22"/>
  <c r="H290" i="22"/>
  <c r="Q42" i="7"/>
  <c r="G94" i="57"/>
  <c r="F503" i="11"/>
  <c r="H503" i="11"/>
  <c r="H504" i="11"/>
  <c r="H501" i="11"/>
  <c r="F150" i="12" s="1"/>
  <c r="I150" i="12" s="1"/>
  <c r="L150" i="12" s="1"/>
  <c r="H425" i="11"/>
  <c r="Q30" i="7"/>
  <c r="F915" i="22"/>
  <c r="H915" i="22"/>
  <c r="H302" i="22"/>
  <c r="H301" i="22"/>
  <c r="H304" i="22" s="1"/>
  <c r="H303" i="22"/>
  <c r="F529" i="11"/>
  <c r="H529" i="11" s="1"/>
  <c r="F727" i="22"/>
  <c r="H727" i="22" s="1"/>
  <c r="F200" i="11"/>
  <c r="H200" i="11"/>
  <c r="F564" i="11"/>
  <c r="H564" i="11" s="1"/>
  <c r="F336" i="11"/>
  <c r="H336" i="11"/>
  <c r="F93" i="11"/>
  <c r="H93" i="11"/>
  <c r="F395" i="22"/>
  <c r="H395" i="22" s="1"/>
  <c r="F188" i="22"/>
  <c r="H188" i="22" s="1"/>
  <c r="F706" i="22"/>
  <c r="H706" i="22" s="1"/>
  <c r="F461" i="22"/>
  <c r="H461" i="22"/>
  <c r="F369" i="11"/>
  <c r="H369" i="11" s="1"/>
  <c r="F1212" i="22"/>
  <c r="H1212" i="22" s="1"/>
  <c r="F232" i="11"/>
  <c r="H232" i="11"/>
  <c r="F1254" i="22"/>
  <c r="H1254" i="22" s="1"/>
  <c r="F502" i="22"/>
  <c r="H502" i="22" s="1"/>
  <c r="F213" i="22"/>
  <c r="H213" i="22" s="1"/>
  <c r="Q37" i="7"/>
  <c r="F285" i="11"/>
  <c r="H285" i="11" s="1"/>
  <c r="F595" i="22"/>
  <c r="H595" i="22"/>
  <c r="F175" i="11"/>
  <c r="H175" i="11" s="1"/>
  <c r="F669" i="22"/>
  <c r="H669" i="22"/>
  <c r="F419" i="22"/>
  <c r="H419" i="22" s="1"/>
  <c r="F319" i="11"/>
  <c r="H319" i="11" s="1"/>
  <c r="F347" i="11"/>
  <c r="H347" i="11"/>
  <c r="F1189" i="22"/>
  <c r="H1189" i="22"/>
  <c r="F769" i="22"/>
  <c r="H769" i="22"/>
  <c r="F189" i="11"/>
  <c r="H189" i="11" s="1"/>
  <c r="F440" i="22"/>
  <c r="H440" i="22"/>
  <c r="F78" i="11"/>
  <c r="H78" i="11"/>
  <c r="F211" i="11"/>
  <c r="H211" i="11"/>
  <c r="F542" i="11"/>
  <c r="H542" i="11" s="1"/>
  <c r="P29" i="7"/>
  <c r="R29" i="7" s="1"/>
  <c r="F299" i="11"/>
  <c r="H299" i="11" s="1"/>
  <c r="H53" i="25"/>
  <c r="G53" i="57"/>
  <c r="N37" i="7"/>
  <c r="Q26" i="7"/>
  <c r="H553" i="11"/>
  <c r="F164" i="11"/>
  <c r="H164" i="11" s="1"/>
  <c r="F1168" i="22"/>
  <c r="H1168" i="22"/>
  <c r="F481" i="22"/>
  <c r="H481" i="22" s="1"/>
  <c r="F358" i="11"/>
  <c r="H358" i="11" s="1"/>
  <c r="F748" i="22"/>
  <c r="H748" i="22"/>
  <c r="F221" i="11"/>
  <c r="H221" i="11" s="1"/>
  <c r="F77" i="11"/>
  <c r="H77" i="11" s="1"/>
  <c r="P21" i="7"/>
  <c r="R21" i="7" s="1"/>
  <c r="Q27" i="7"/>
  <c r="F1232" i="22"/>
  <c r="H1232" i="22"/>
  <c r="F552" i="11"/>
  <c r="H552" i="11" s="1"/>
  <c r="F747" i="22"/>
  <c r="H747" i="22"/>
  <c r="F220" i="11"/>
  <c r="H220" i="11"/>
  <c r="F1167" i="22"/>
  <c r="H1167" i="22"/>
  <c r="F357" i="11"/>
  <c r="H357" i="11"/>
  <c r="F373" i="22"/>
  <c r="H373" i="22" s="1"/>
  <c r="F517" i="11"/>
  <c r="H517" i="11" s="1"/>
  <c r="F480" i="22"/>
  <c r="H480" i="22"/>
  <c r="F163" i="11"/>
  <c r="H163" i="11" s="1"/>
  <c r="H1124" i="22"/>
  <c r="H1123" i="22"/>
  <c r="H1122" i="22"/>
  <c r="H1125" i="22" s="1"/>
  <c r="F155" i="11"/>
  <c r="H155" i="11" s="1"/>
  <c r="H157" i="11" s="1"/>
  <c r="H154" i="11" s="1"/>
  <c r="F56" i="12" s="1"/>
  <c r="I56" i="12" s="1"/>
  <c r="L56" i="12" s="1"/>
  <c r="F368" i="11"/>
  <c r="H368" i="11" s="1"/>
  <c r="F501" i="22"/>
  <c r="H501" i="22"/>
  <c r="F1253" i="22"/>
  <c r="H1253" i="22" s="1"/>
  <c r="F174" i="11"/>
  <c r="H174" i="11" s="1"/>
  <c r="F1188" i="22"/>
  <c r="H1188" i="22" s="1"/>
  <c r="Q20" i="7"/>
  <c r="F668" i="22"/>
  <c r="H668" i="22" s="1"/>
  <c r="H231" i="11"/>
  <c r="F318" i="11"/>
  <c r="H318" i="11"/>
  <c r="P20" i="7"/>
  <c r="R20" i="7" s="1"/>
  <c r="F528" i="11"/>
  <c r="H528" i="11" s="1"/>
  <c r="N17" i="7"/>
  <c r="O17" i="7"/>
  <c r="P17" i="7" s="1"/>
  <c r="F934" i="22"/>
  <c r="H934" i="22" s="1"/>
  <c r="F434" i="11"/>
  <c r="H434" i="11" s="1"/>
  <c r="G24" i="58"/>
  <c r="F491" i="11"/>
  <c r="H491" i="11" s="1"/>
  <c r="F1101" i="22"/>
  <c r="H1101" i="22" s="1"/>
  <c r="H291" i="22"/>
  <c r="H292" i="22" s="1"/>
  <c r="H935" i="22"/>
  <c r="H931" i="22" s="1"/>
  <c r="H305" i="22"/>
  <c r="H306" i="22"/>
  <c r="H1126" i="22"/>
  <c r="H1127" i="22"/>
  <c r="R17" i="7"/>
  <c r="H293" i="22"/>
  <c r="H1128" i="22"/>
  <c r="H1129" i="22"/>
  <c r="H86" i="57" s="1"/>
  <c r="I86" i="57" s="1"/>
  <c r="H294" i="22"/>
  <c r="H295" i="22"/>
  <c r="H30" i="57"/>
  <c r="H30" i="58"/>
  <c r="I30" i="25"/>
  <c r="E72" i="58" l="1"/>
  <c r="E72" i="57"/>
  <c r="F72" i="25"/>
  <c r="H307" i="22"/>
  <c r="H308" i="22" s="1"/>
  <c r="I86" i="25"/>
  <c r="J86" i="25" s="1"/>
  <c r="F565" i="11"/>
  <c r="H565" i="11" s="1"/>
  <c r="H24" i="25"/>
  <c r="G24" i="57"/>
  <c r="F260" i="11"/>
  <c r="H260" i="11" s="1"/>
  <c r="F550" i="22"/>
  <c r="H550" i="22" s="1"/>
  <c r="F64" i="11"/>
  <c r="H64" i="11" s="1"/>
  <c r="F1296" i="22"/>
  <c r="H1296" i="22" s="1"/>
  <c r="F245" i="11"/>
  <c r="H245" i="11" s="1"/>
  <c r="F164" i="22"/>
  <c r="H164" i="22" s="1"/>
  <c r="F525" i="22"/>
  <c r="H525" i="22" s="1"/>
  <c r="P42" i="7"/>
  <c r="R42" i="7" s="1"/>
  <c r="F586" i="11"/>
  <c r="H586" i="11" s="1"/>
  <c r="F1211" i="22"/>
  <c r="H1211" i="22" s="1"/>
  <c r="F541" i="11"/>
  <c r="H541" i="11" s="1"/>
  <c r="F543" i="11" s="1"/>
  <c r="H543" i="11" s="1"/>
  <c r="P13" i="7"/>
  <c r="R13" i="7" s="1"/>
  <c r="F1133" i="22"/>
  <c r="H1133" i="22" s="1"/>
  <c r="H1134" i="22" s="1"/>
  <c r="H1131" i="22" s="1"/>
  <c r="Q29" i="7"/>
  <c r="F629" i="22"/>
  <c r="H629" i="22" s="1"/>
  <c r="G47" i="57"/>
  <c r="G47" i="58"/>
  <c r="H86" i="58"/>
  <c r="I86" i="58" s="1"/>
  <c r="G94" i="58"/>
  <c r="H94" i="25"/>
  <c r="F87" i="58"/>
  <c r="G87" i="25"/>
  <c r="F87" i="57"/>
  <c r="F1149" i="22"/>
  <c r="H1149" i="22" s="1"/>
  <c r="H1151" i="22" s="1"/>
  <c r="H1148" i="22" s="1"/>
  <c r="F355" i="22"/>
  <c r="H355" i="22" s="1"/>
  <c r="H357" i="22" s="1"/>
  <c r="H354" i="22" s="1"/>
  <c r="F509" i="11"/>
  <c r="H509" i="11" s="1"/>
  <c r="H511" i="11" s="1"/>
  <c r="H508" i="11" s="1"/>
  <c r="F152" i="12" s="1"/>
  <c r="I152" i="12" s="1"/>
  <c r="L152" i="12" s="1"/>
  <c r="F862" i="22"/>
  <c r="H862" i="22" s="1"/>
  <c r="H864" i="22" s="1"/>
  <c r="H861" i="22" s="1"/>
  <c r="F402" i="11"/>
  <c r="H402" i="11" s="1"/>
  <c r="H404" i="11" s="1"/>
  <c r="H401" i="11" s="1"/>
  <c r="F114" i="12" s="1"/>
  <c r="I114" i="12" s="1"/>
  <c r="L114" i="12" s="1"/>
  <c r="Q22" i="7"/>
  <c r="F241" i="22"/>
  <c r="H241" i="22" s="1"/>
  <c r="H242" i="22" s="1"/>
  <c r="H238" i="22" s="1"/>
  <c r="Q17" i="7"/>
  <c r="F394" i="22"/>
  <c r="H394" i="22" s="1"/>
  <c r="H544" i="11"/>
  <c r="H539" i="11" s="1"/>
  <c r="F158" i="12" s="1"/>
  <c r="I158" i="12" s="1"/>
  <c r="H1091" i="22"/>
  <c r="H1092" i="22"/>
  <c r="Q36" i="7"/>
  <c r="P36" i="7"/>
  <c r="R36" i="7" s="1"/>
  <c r="O48" i="7"/>
  <c r="N48" i="7"/>
  <c r="F1213" i="22"/>
  <c r="H1213" i="22" s="1"/>
  <c r="F284" i="11"/>
  <c r="H284" i="11" s="1"/>
  <c r="F768" i="22"/>
  <c r="H768" i="22" s="1"/>
  <c r="F594" i="22"/>
  <c r="H594" i="22" s="1"/>
  <c r="O71" i="6"/>
  <c r="O83" i="7"/>
  <c r="I83" i="7"/>
  <c r="N84" i="7"/>
  <c r="L84" i="7"/>
  <c r="P84" i="7"/>
  <c r="G84" i="7"/>
  <c r="S39" i="7"/>
  <c r="M39" i="7" s="1"/>
  <c r="Q230" i="6"/>
  <c r="AX33" i="9"/>
  <c r="F563" i="11"/>
  <c r="H563" i="11" s="1"/>
  <c r="H566" i="11" s="1"/>
  <c r="H560" i="11" s="1"/>
  <c r="F162" i="12" s="1"/>
  <c r="I162" i="12" s="1"/>
  <c r="Q21" i="7"/>
  <c r="I84" i="7"/>
  <c r="R37" i="7"/>
  <c r="F78" i="58"/>
  <c r="G78" i="25"/>
  <c r="F78" i="57"/>
  <c r="F64" i="58"/>
  <c r="G64" i="25"/>
  <c r="F7" i="58"/>
  <c r="F7" i="57"/>
  <c r="K74" i="7"/>
  <c r="L74" i="7" s="1"/>
  <c r="I74" i="7"/>
  <c r="N15" i="7"/>
  <c r="P15" i="7"/>
  <c r="E10" i="10"/>
  <c r="L15" i="7"/>
  <c r="I15" i="7"/>
  <c r="F1233" i="22"/>
  <c r="H1233" i="22" s="1"/>
  <c r="Q49" i="7"/>
  <c r="F366" i="11"/>
  <c r="H366" i="11" s="1"/>
  <c r="F75" i="11"/>
  <c r="H75" i="11" s="1"/>
  <c r="F282" i="11"/>
  <c r="H282" i="11" s="1"/>
  <c r="E36" i="9"/>
  <c r="G83" i="25"/>
  <c r="F84" i="57"/>
  <c r="F64" i="57"/>
  <c r="G65" i="25"/>
  <c r="F65" i="57"/>
  <c r="L144" i="12"/>
  <c r="G85" i="25"/>
  <c r="F85" i="58"/>
  <c r="F85" i="57"/>
  <c r="P86" i="7"/>
  <c r="R86" i="7" s="1"/>
  <c r="F218" i="22"/>
  <c r="H218" i="22" s="1"/>
  <c r="H217" i="22" s="1"/>
  <c r="F98" i="11"/>
  <c r="H98" i="11" s="1"/>
  <c r="H97" i="11" s="1"/>
  <c r="H36" i="12" s="1"/>
  <c r="K36" i="12" s="1"/>
  <c r="M108" i="6"/>
  <c r="M4" i="6" s="1"/>
  <c r="G51" i="7" s="1"/>
  <c r="J103" i="6"/>
  <c r="E38" i="7" s="1"/>
  <c r="N114" i="6"/>
  <c r="N4" i="6" s="1"/>
  <c r="G89" i="7" s="1"/>
  <c r="L112" i="6"/>
  <c r="E65" i="7" s="1"/>
  <c r="P114" i="6"/>
  <c r="L113" i="6"/>
  <c r="E81" i="7" s="1"/>
  <c r="J106" i="6"/>
  <c r="E11" i="7" s="1"/>
  <c r="J104" i="6"/>
  <c r="E43" i="7" s="1"/>
  <c r="J102" i="6"/>
  <c r="E32" i="7" s="1"/>
  <c r="J107" i="6"/>
  <c r="E41" i="7" s="1"/>
  <c r="J105" i="6"/>
  <c r="E34" i="7" s="1"/>
  <c r="F518" i="11"/>
  <c r="H518" i="11" s="1"/>
  <c r="F374" i="22"/>
  <c r="H374" i="22" s="1"/>
  <c r="N42" i="7"/>
  <c r="F526" i="11"/>
  <c r="H526" i="11" s="1"/>
  <c r="F666" i="22"/>
  <c r="H666" i="22" s="1"/>
  <c r="F704" i="22"/>
  <c r="H704" i="22" s="1"/>
  <c r="F91" i="11"/>
  <c r="H91" i="11" s="1"/>
  <c r="G15" i="7"/>
  <c r="F211" i="22"/>
  <c r="H211" i="22" s="1"/>
  <c r="F316" i="11"/>
  <c r="H316" i="11" s="1"/>
  <c r="H819" i="22"/>
  <c r="E10" i="9"/>
  <c r="F31" i="58"/>
  <c r="G31" i="25"/>
  <c r="F66" i="58"/>
  <c r="G66" i="25"/>
  <c r="G86" i="25"/>
  <c r="F86" i="57"/>
  <c r="Q86" i="7"/>
  <c r="F257" i="22"/>
  <c r="H257" i="22" s="1"/>
  <c r="F233" i="22"/>
  <c r="H233" i="22" s="1"/>
  <c r="F117" i="11"/>
  <c r="H117" i="11" s="1"/>
  <c r="F392" i="22"/>
  <c r="H392" i="22" s="1"/>
  <c r="F725" i="22"/>
  <c r="H725" i="22" s="1"/>
  <c r="Q74" i="7"/>
  <c r="P74" i="7"/>
  <c r="R74" i="7" s="1"/>
  <c r="N87" i="7"/>
  <c r="G87" i="7"/>
  <c r="I50" i="7"/>
  <c r="L50" i="7"/>
  <c r="F30" i="58"/>
  <c r="F127" i="11"/>
  <c r="H127" i="11" s="1"/>
  <c r="F128" i="11" s="1"/>
  <c r="H128" i="11" s="1"/>
  <c r="Q180" i="6"/>
  <c r="Q302" i="6"/>
  <c r="F879" i="22"/>
  <c r="H879" i="22" s="1"/>
  <c r="F409" i="11"/>
  <c r="H409" i="11" s="1"/>
  <c r="P40" i="7"/>
  <c r="R40" i="7" s="1"/>
  <c r="Q40" i="7"/>
  <c r="I18" i="7"/>
  <c r="E44" i="9"/>
  <c r="S18" i="7"/>
  <c r="M18" i="7" s="1"/>
  <c r="F110" i="11"/>
  <c r="H110" i="11" s="1"/>
  <c r="F111" i="11" s="1"/>
  <c r="H111" i="11" s="1"/>
  <c r="I10" i="25"/>
  <c r="J10" i="25" s="1"/>
  <c r="Q209" i="6"/>
  <c r="Q312" i="6"/>
  <c r="Q158" i="6"/>
  <c r="G18" i="7"/>
  <c r="Q199" i="6"/>
  <c r="Q480" i="6"/>
  <c r="AX31" i="9"/>
  <c r="AY31" i="9" s="1"/>
  <c r="Q255" i="6"/>
  <c r="Q81" i="7"/>
  <c r="Q459" i="6"/>
  <c r="O460" i="6" s="1"/>
  <c r="E13" i="10"/>
  <c r="AA13" i="10" s="1"/>
  <c r="Q149" i="6"/>
  <c r="Q450" i="6"/>
  <c r="S24" i="7"/>
  <c r="M24" i="7" s="1"/>
  <c r="H800" i="22"/>
  <c r="E13" i="9"/>
  <c r="H1063" i="22"/>
  <c r="H1065" i="22" s="1"/>
  <c r="G91" i="25"/>
  <c r="F71" i="22"/>
  <c r="H71" i="22" s="1"/>
  <c r="H70" i="22" s="1"/>
  <c r="Q16" i="7"/>
  <c r="F31" i="11"/>
  <c r="H31" i="11" s="1"/>
  <c r="H30" i="11" s="1"/>
  <c r="F16" i="12" s="1"/>
  <c r="I16" i="12" s="1"/>
  <c r="G39" i="25"/>
  <c r="F39" i="58"/>
  <c r="H799" i="22"/>
  <c r="F91" i="57"/>
  <c r="F41" i="58"/>
  <c r="F44" i="57"/>
  <c r="F44" i="58"/>
  <c r="H1005" i="22"/>
  <c r="H1004" i="22"/>
  <c r="E15" i="9"/>
  <c r="I20" i="7"/>
  <c r="P16" i="7"/>
  <c r="R16" i="7" s="1"/>
  <c r="F88" i="58"/>
  <c r="F37" i="57"/>
  <c r="G37" i="25"/>
  <c r="N83" i="7"/>
  <c r="G83" i="7"/>
  <c r="K66" i="7"/>
  <c r="O66" i="7"/>
  <c r="F558" i="11"/>
  <c r="H558" i="11" s="1"/>
  <c r="H557" i="11" s="1"/>
  <c r="G160" i="12" s="1"/>
  <c r="J160" i="12" s="1"/>
  <c r="F731" i="22"/>
  <c r="H731" i="22" s="1"/>
  <c r="H730" i="22" s="1"/>
  <c r="F753" i="22"/>
  <c r="H753" i="22" s="1"/>
  <c r="H752" i="22" s="1"/>
  <c r="F76" i="11"/>
  <c r="H76" i="11" s="1"/>
  <c r="F367" i="11"/>
  <c r="H367" i="11" s="1"/>
  <c r="F230" i="11"/>
  <c r="H230" i="11" s="1"/>
  <c r="F233" i="11" s="1"/>
  <c r="H233" i="11" s="1"/>
  <c r="F433" i="11"/>
  <c r="H433" i="11" s="1"/>
  <c r="H435" i="11" s="1"/>
  <c r="H431" i="11" s="1"/>
  <c r="F122" i="12" s="1"/>
  <c r="I122" i="12" s="1"/>
  <c r="L122" i="12" s="1"/>
  <c r="F667" i="22"/>
  <c r="H667" i="22" s="1"/>
  <c r="F186" i="22"/>
  <c r="H186" i="22" s="1"/>
  <c r="F393" i="22"/>
  <c r="H393" i="22" s="1"/>
  <c r="F1187" i="22"/>
  <c r="H1187" i="22" s="1"/>
  <c r="F593" i="22"/>
  <c r="H593" i="22" s="1"/>
  <c r="F283" i="11"/>
  <c r="H283" i="11" s="1"/>
  <c r="F767" i="22"/>
  <c r="H767" i="22" s="1"/>
  <c r="F770" i="22" s="1"/>
  <c r="H770" i="22" s="1"/>
  <c r="F1252" i="22"/>
  <c r="H1252" i="22" s="1"/>
  <c r="F1255" i="22" s="1"/>
  <c r="H1255" i="22" s="1"/>
  <c r="Q15" i="7"/>
  <c r="F527" i="11"/>
  <c r="H527" i="11" s="1"/>
  <c r="AX32" i="9"/>
  <c r="Q103" i="6"/>
  <c r="Q91" i="6"/>
  <c r="S38" i="7"/>
  <c r="M38" i="7" s="1"/>
  <c r="O38" i="7" s="1"/>
  <c r="O80" i="7"/>
  <c r="K80" i="7"/>
  <c r="L80" i="7" s="1"/>
  <c r="G57" i="25"/>
  <c r="F486" i="22"/>
  <c r="H486" i="22" s="1"/>
  <c r="H485" i="22" s="1"/>
  <c r="F577" i="22"/>
  <c r="H577" i="22" s="1"/>
  <c r="H576" i="22" s="1"/>
  <c r="I57" i="7"/>
  <c r="F173" i="11"/>
  <c r="H173" i="11" s="1"/>
  <c r="F176" i="11" s="1"/>
  <c r="H176" i="11" s="1"/>
  <c r="AT23" i="9"/>
  <c r="AU23" i="9" s="1"/>
  <c r="G40" i="25"/>
  <c r="F57" i="57"/>
  <c r="F107" i="11"/>
  <c r="H107" i="11" s="1"/>
  <c r="H106" i="11" s="1"/>
  <c r="G38" i="12" s="1"/>
  <c r="J38" i="12" s="1"/>
  <c r="F500" i="22"/>
  <c r="H500" i="22" s="1"/>
  <c r="F503" i="22" s="1"/>
  <c r="H503" i="22" s="1"/>
  <c r="F317" i="11"/>
  <c r="H317" i="11" s="1"/>
  <c r="F70" i="57"/>
  <c r="F70" i="58"/>
  <c r="G22" i="25"/>
  <c r="F22" i="58"/>
  <c r="H905" i="22"/>
  <c r="H907" i="22"/>
  <c r="F579" i="11"/>
  <c r="H579" i="11" s="1"/>
  <c r="H578" i="11" s="1"/>
  <c r="G164" i="12" s="1"/>
  <c r="J164" i="12" s="1"/>
  <c r="F124" i="11"/>
  <c r="H124" i="11" s="1"/>
  <c r="H123" i="11" s="1"/>
  <c r="G40" i="12" s="1"/>
  <c r="J40" i="12" s="1"/>
  <c r="F192" i="22"/>
  <c r="H192" i="22" s="1"/>
  <c r="H191" i="22" s="1"/>
  <c r="F1299" i="22"/>
  <c r="H1299" i="22" s="1"/>
  <c r="H1298" i="22" s="1"/>
  <c r="F1279" i="22"/>
  <c r="H1279" i="22" s="1"/>
  <c r="H1278" i="22" s="1"/>
  <c r="F919" i="22"/>
  <c r="H919" i="22" s="1"/>
  <c r="H918" i="22" s="1"/>
  <c r="F82" i="11"/>
  <c r="H82" i="11" s="1"/>
  <c r="H81" i="11" s="1"/>
  <c r="G33" i="12" s="1"/>
  <c r="J33" i="12" s="1"/>
  <c r="F883" i="22"/>
  <c r="H883" i="22" s="1"/>
  <c r="H882" i="22" s="1"/>
  <c r="F248" i="11"/>
  <c r="H248" i="11" s="1"/>
  <c r="H247" i="11" s="1"/>
  <c r="G72" i="12" s="1"/>
  <c r="J72" i="12" s="1"/>
  <c r="F1173" i="22"/>
  <c r="H1173" i="22" s="1"/>
  <c r="H1172" i="22" s="1"/>
  <c r="F351" i="11"/>
  <c r="H351" i="11" s="1"/>
  <c r="H350" i="11" s="1"/>
  <c r="G97" i="12" s="1"/>
  <c r="J97" i="12" s="1"/>
  <c r="F937" i="22"/>
  <c r="H937" i="22" s="1"/>
  <c r="H936" i="22" s="1"/>
  <c r="H938" i="22" s="1"/>
  <c r="F169" i="11"/>
  <c r="H169" i="11" s="1"/>
  <c r="H168" i="11" s="1"/>
  <c r="G58" i="12" s="1"/>
  <c r="J58" i="12" s="1"/>
  <c r="F1238" i="22"/>
  <c r="H1238" i="22" s="1"/>
  <c r="H1237" i="22" s="1"/>
  <c r="F237" i="22"/>
  <c r="H237" i="22" s="1"/>
  <c r="H236" i="22" s="1"/>
  <c r="F651" i="22"/>
  <c r="H651" i="22" s="1"/>
  <c r="H650" i="22" s="1"/>
  <c r="F60" i="11"/>
  <c r="H60" i="11" s="1"/>
  <c r="H59" i="11" s="1"/>
  <c r="G29" i="12" s="1"/>
  <c r="J29" i="12" s="1"/>
  <c r="J173" i="12" s="1"/>
  <c r="J174" i="12" s="1"/>
  <c r="P24" i="6"/>
  <c r="P353" i="6"/>
  <c r="H78" i="7"/>
  <c r="G28" i="7"/>
  <c r="O85" i="7"/>
  <c r="F195" i="11"/>
  <c r="H195" i="11" s="1"/>
  <c r="H194" i="11" s="1"/>
  <c r="H62" i="12" s="1"/>
  <c r="K62" i="12" s="1"/>
  <c r="S41" i="7"/>
  <c r="M41" i="7" s="1"/>
  <c r="O41" i="7" s="1"/>
  <c r="Q107" i="6"/>
  <c r="F76" i="22"/>
  <c r="H76" i="22" s="1"/>
  <c r="Q79" i="7"/>
  <c r="F36" i="11"/>
  <c r="H36" i="11" s="1"/>
  <c r="L28" i="7"/>
  <c r="AX34" i="9"/>
  <c r="AY34" i="9" s="1"/>
  <c r="N69" i="7"/>
  <c r="Q84" i="7"/>
  <c r="AT6" i="9"/>
  <c r="AU6" i="9" s="1"/>
  <c r="O67" i="7"/>
  <c r="K67" i="7"/>
  <c r="Q57" i="6"/>
  <c r="O59" i="6" s="1"/>
  <c r="S44" i="7"/>
  <c r="M44" i="7" s="1"/>
  <c r="AX38" i="9"/>
  <c r="AY38" i="9" s="1"/>
  <c r="AU44" i="9"/>
  <c r="H77" i="7"/>
  <c r="P131" i="6"/>
  <c r="E49" i="7"/>
  <c r="Q330" i="6"/>
  <c r="O333" i="6" s="1"/>
  <c r="AT41" i="9"/>
  <c r="AU41" i="9" s="1"/>
  <c r="N66" i="7"/>
  <c r="L66" i="7"/>
  <c r="I66" i="7"/>
  <c r="AT20" i="9"/>
  <c r="AU20" i="9" s="1"/>
  <c r="I86" i="7"/>
  <c r="K60" i="7"/>
  <c r="Q229" i="6"/>
  <c r="S46" i="7"/>
  <c r="M46" i="7" s="1"/>
  <c r="I14" i="17"/>
  <c r="E7" i="9"/>
  <c r="E7" i="10"/>
  <c r="AA7" i="10" s="1"/>
  <c r="K76" i="7"/>
  <c r="L76" i="7" s="1"/>
  <c r="AU9" i="9"/>
  <c r="E33" i="9"/>
  <c r="L39" i="7"/>
  <c r="E33" i="10"/>
  <c r="AA33" i="10" s="1"/>
  <c r="Q253" i="6"/>
  <c r="Q284" i="6"/>
  <c r="O287" i="6" s="1"/>
  <c r="Q488" i="6"/>
  <c r="O491" i="6" s="1"/>
  <c r="Q156" i="6"/>
  <c r="O159" i="6" s="1"/>
  <c r="Q207" i="6"/>
  <c r="O210" i="6" s="1"/>
  <c r="F79" i="2"/>
  <c r="F78" i="2"/>
  <c r="H87" i="7" s="1"/>
  <c r="I87" i="7" s="1"/>
  <c r="E26" i="7"/>
  <c r="F599" i="22"/>
  <c r="H599" i="22" s="1"/>
  <c r="H598" i="22" s="1"/>
  <c r="Q57" i="7"/>
  <c r="F506" i="22"/>
  <c r="H506" i="22" s="1"/>
  <c r="H505" i="22" s="1"/>
  <c r="F446" i="22"/>
  <c r="H446" i="22" s="1"/>
  <c r="H445" i="22" s="1"/>
  <c r="F353" i="11"/>
  <c r="H353" i="11" s="1"/>
  <c r="H352" i="11" s="1"/>
  <c r="H97" i="12" s="1"/>
  <c r="K97" i="12" s="1"/>
  <c r="F466" i="22"/>
  <c r="H466" i="22" s="1"/>
  <c r="H465" i="22" s="1"/>
  <c r="F1218" i="22"/>
  <c r="H1218" i="22" s="1"/>
  <c r="H1217" i="22" s="1"/>
  <c r="F206" i="11"/>
  <c r="H206" i="11" s="1"/>
  <c r="H205" i="11" s="1"/>
  <c r="H64" i="12" s="1"/>
  <c r="K64" i="12" s="1"/>
  <c r="F425" i="22"/>
  <c r="H425" i="22" s="1"/>
  <c r="H424" i="22" s="1"/>
  <c r="F733" i="22"/>
  <c r="H733" i="22" s="1"/>
  <c r="H732" i="22" s="1"/>
  <c r="F548" i="11"/>
  <c r="H548" i="11" s="1"/>
  <c r="H547" i="11" s="1"/>
  <c r="H158" i="12" s="1"/>
  <c r="K158" i="12" s="1"/>
  <c r="F712" i="22"/>
  <c r="H712" i="22" s="1"/>
  <c r="H711" i="22" s="1"/>
  <c r="K6" i="5"/>
  <c r="F55" i="2" s="1"/>
  <c r="L23" i="7"/>
  <c r="E18" i="9"/>
  <c r="G23" i="7"/>
  <c r="H968" i="22"/>
  <c r="E75" i="58"/>
  <c r="E11" i="10"/>
  <c r="AA11" i="10" s="1"/>
  <c r="E40" i="10"/>
  <c r="AA40" i="10" s="1"/>
  <c r="E22" i="7"/>
  <c r="AU30" i="9"/>
  <c r="L131" i="12"/>
  <c r="K387" i="6"/>
  <c r="L389" i="6"/>
  <c r="E78" i="7" s="1"/>
  <c r="K444" i="6"/>
  <c r="E60" i="7" s="1"/>
  <c r="J441" i="6"/>
  <c r="AT28" i="9"/>
  <c r="AU28" i="9" s="1"/>
  <c r="G80" i="7"/>
  <c r="E12" i="10"/>
  <c r="AA12" i="10" s="1"/>
  <c r="K416" i="6"/>
  <c r="L418" i="6"/>
  <c r="E67" i="7" s="1"/>
  <c r="I24" i="7"/>
  <c r="I80" i="7"/>
  <c r="I17" i="7"/>
  <c r="E27" i="7"/>
  <c r="K377" i="6"/>
  <c r="E59" i="7" s="1"/>
  <c r="J375" i="6"/>
  <c r="E33" i="7" s="1"/>
  <c r="J374" i="6"/>
  <c r="E30" i="7" s="1"/>
  <c r="K121" i="5"/>
  <c r="K115" i="5" s="1"/>
  <c r="F66" i="2" s="1"/>
  <c r="AU27" i="9"/>
  <c r="J168" i="12"/>
  <c r="I168" i="12"/>
  <c r="L46" i="7"/>
  <c r="K127" i="6"/>
  <c r="L129" i="6"/>
  <c r="E77" i="7" s="1"/>
  <c r="AU18" i="9"/>
  <c r="C608" i="22"/>
  <c r="E697" i="22"/>
  <c r="C432" i="22"/>
  <c r="E140" i="22"/>
  <c r="C1310" i="22"/>
  <c r="C88" i="22"/>
  <c r="C323" i="22"/>
  <c r="E1092" i="22"/>
  <c r="C742" i="22"/>
  <c r="C1227" i="22"/>
  <c r="C858" i="22"/>
  <c r="C1006" i="22"/>
  <c r="C129" i="22"/>
  <c r="C307" i="22"/>
  <c r="C1068" i="22"/>
  <c r="C325" i="22"/>
  <c r="I11" i="15"/>
  <c r="I20" i="15" s="1"/>
  <c r="J480" i="6"/>
  <c r="E17" i="22"/>
  <c r="E1004" i="22"/>
  <c r="C205" i="22"/>
  <c r="E52" i="22"/>
  <c r="E305" i="22"/>
  <c r="C825" i="22"/>
  <c r="E336" i="22"/>
  <c r="C1038" i="22"/>
  <c r="AW14" i="9"/>
  <c r="AO14" i="9" s="1"/>
  <c r="C911" i="22"/>
  <c r="C827" i="22"/>
  <c r="C845" i="22"/>
  <c r="C699" i="22"/>
  <c r="C116" i="22"/>
  <c r="C227" i="22"/>
  <c r="C1083" i="22"/>
  <c r="C1206" i="22"/>
  <c r="AW39" i="9"/>
  <c r="AO39" i="9" s="1"/>
  <c r="E1336" i="22"/>
  <c r="E517" i="22"/>
  <c r="E493" i="22"/>
  <c r="C660" i="22"/>
  <c r="C909" i="22"/>
  <c r="C1051" i="22"/>
  <c r="C1143" i="22"/>
  <c r="E386" i="22"/>
  <c r="Y26" i="10"/>
  <c r="Z26" i="10" s="1"/>
  <c r="AA26" i="10" s="1"/>
  <c r="C961" i="22"/>
  <c r="C1323" i="22"/>
  <c r="C179" i="22"/>
  <c r="E1066" i="22"/>
  <c r="E797" i="22"/>
  <c r="E991" i="22"/>
  <c r="C473" i="22"/>
  <c r="E225" i="22"/>
  <c r="E795" i="22"/>
  <c r="C1124" i="22"/>
  <c r="C475" i="22"/>
  <c r="C351" i="22"/>
  <c r="C278" i="22"/>
  <c r="C36" i="22"/>
  <c r="C1247" i="22"/>
  <c r="E1019" i="22"/>
  <c r="C569" i="22"/>
  <c r="E1323" i="22"/>
  <c r="E349" i="22"/>
  <c r="E1143" i="22"/>
  <c r="E1160" i="22"/>
  <c r="C974" i="22"/>
  <c r="C760" i="22"/>
  <c r="E1225" i="22"/>
  <c r="C386" i="22"/>
  <c r="Y10" i="10"/>
  <c r="Z10" i="10" s="1"/>
  <c r="E155" i="22"/>
  <c r="C854" i="22"/>
  <c r="E1310" i="22"/>
  <c r="C1066" i="22"/>
  <c r="E856" i="22"/>
  <c r="C1336" i="22"/>
  <c r="E1081" i="22"/>
  <c r="E660" i="22"/>
  <c r="C517" i="22"/>
  <c r="G22" i="13"/>
  <c r="C963" i="22"/>
  <c r="C1145" i="22"/>
  <c r="C338" i="22"/>
  <c r="C1040" i="22"/>
  <c r="C251" i="22"/>
  <c r="C495" i="22"/>
  <c r="K54" i="5"/>
  <c r="K48" i="5" s="1"/>
  <c r="F59" i="2" s="1"/>
  <c r="H68" i="7" s="1"/>
  <c r="K87" i="5"/>
  <c r="K77" i="5"/>
  <c r="K74" i="5" s="1"/>
  <c r="K68" i="5" s="1"/>
  <c r="F61" i="2" s="1"/>
  <c r="H70" i="7" s="1"/>
  <c r="K17" i="5"/>
  <c r="K14" i="5" s="1"/>
  <c r="K124" i="5"/>
  <c r="K106" i="5"/>
  <c r="K104" i="5" s="1"/>
  <c r="K98" i="5" s="1"/>
  <c r="F64" i="2" s="1"/>
  <c r="K97" i="5"/>
  <c r="K94" i="5" s="1"/>
  <c r="K88" i="5" s="1"/>
  <c r="F63" i="2" s="1"/>
  <c r="K86" i="5"/>
  <c r="U95" i="1"/>
  <c r="U170" i="1" s="1"/>
  <c r="U171" i="1" s="1"/>
  <c r="H7" i="13" s="1"/>
  <c r="E87" i="57" l="1"/>
  <c r="E87" i="58"/>
  <c r="H1137" i="22"/>
  <c r="F87" i="25"/>
  <c r="Q478" i="6"/>
  <c r="O482" i="6" s="1"/>
  <c r="S28" i="7"/>
  <c r="M28" i="7" s="1"/>
  <c r="Q426" i="6"/>
  <c r="O427" i="6" s="1"/>
  <c r="Q447" i="6"/>
  <c r="O451" i="6" s="1"/>
  <c r="Q197" i="6"/>
  <c r="O201" i="6" s="1"/>
  <c r="Q320" i="6"/>
  <c r="O324" i="6" s="1"/>
  <c r="Q146" i="6"/>
  <c r="O150" i="6" s="1"/>
  <c r="AV23" i="9"/>
  <c r="AX23" i="9"/>
  <c r="AY23" i="9" s="1"/>
  <c r="H31" i="57"/>
  <c r="H29" i="57" s="1"/>
  <c r="I29" i="57" s="1"/>
  <c r="H31" i="58"/>
  <c r="H29" i="58" s="1"/>
  <c r="I29" i="58" s="1"/>
  <c r="I31" i="25"/>
  <c r="I29" i="25" s="1"/>
  <c r="J29" i="25" s="1"/>
  <c r="P60" i="7"/>
  <c r="I60" i="7"/>
  <c r="G60" i="7"/>
  <c r="L60" i="7"/>
  <c r="O70" i="7"/>
  <c r="K70" i="7"/>
  <c r="L70" i="7" s="1"/>
  <c r="I70" i="7"/>
  <c r="H75" i="7"/>
  <c r="P36" i="6"/>
  <c r="AX41" i="9"/>
  <c r="AY41" i="9" s="1"/>
  <c r="S47" i="7"/>
  <c r="M47" i="7" s="1"/>
  <c r="AV41" i="9"/>
  <c r="H940" i="22"/>
  <c r="H941" i="22"/>
  <c r="H942" i="22"/>
  <c r="O68" i="7"/>
  <c r="I68" i="7"/>
  <c r="K68" i="7"/>
  <c r="L68" i="7" s="1"/>
  <c r="H72" i="7"/>
  <c r="G59" i="7"/>
  <c r="L59" i="7"/>
  <c r="P59" i="7"/>
  <c r="I59" i="7"/>
  <c r="S11" i="7"/>
  <c r="M11" i="7" s="1"/>
  <c r="O11" i="7" s="1"/>
  <c r="AX6" i="9"/>
  <c r="Q106" i="6"/>
  <c r="H1066" i="22"/>
  <c r="H1067" i="22" s="1"/>
  <c r="P64" i="6"/>
  <c r="H73" i="7"/>
  <c r="P241" i="6"/>
  <c r="S33" i="7"/>
  <c r="M33" i="7" s="1"/>
  <c r="O33" i="7" s="1"/>
  <c r="AX28" i="9"/>
  <c r="AX20" i="9"/>
  <c r="AY20" i="9" s="1"/>
  <c r="Q167" i="6"/>
  <c r="O171" i="6" s="1"/>
  <c r="Q299" i="6"/>
  <c r="O303" i="6" s="1"/>
  <c r="S25" i="7"/>
  <c r="M25" i="7" s="1"/>
  <c r="AV20" i="9"/>
  <c r="G23" i="57"/>
  <c r="G23" i="58"/>
  <c r="H23" i="25"/>
  <c r="N77" i="7"/>
  <c r="G77" i="7"/>
  <c r="P77" i="7"/>
  <c r="R77" i="7" s="1"/>
  <c r="I77" i="7"/>
  <c r="E28" i="9"/>
  <c r="I33" i="7"/>
  <c r="N33" i="7"/>
  <c r="P33" i="7"/>
  <c r="E28" i="10"/>
  <c r="AA28" i="10" s="1"/>
  <c r="G33" i="7"/>
  <c r="L33" i="7"/>
  <c r="G78" i="7"/>
  <c r="I78" i="7"/>
  <c r="N78" i="7"/>
  <c r="H971" i="22"/>
  <c r="H972" i="22"/>
  <c r="H970" i="22"/>
  <c r="G57" i="58"/>
  <c r="H57" i="25"/>
  <c r="G57" i="57"/>
  <c r="G40" i="58"/>
  <c r="G40" i="57"/>
  <c r="H40" i="25"/>
  <c r="Q179" i="6"/>
  <c r="Q311" i="6"/>
  <c r="O313" i="6" s="1"/>
  <c r="Q169" i="6"/>
  <c r="Q301" i="6"/>
  <c r="AX9" i="9"/>
  <c r="AY9" i="9" s="1"/>
  <c r="S14" i="7"/>
  <c r="M14" i="7" s="1"/>
  <c r="AV9" i="9"/>
  <c r="O44" i="7"/>
  <c r="N44" i="7"/>
  <c r="F89" i="58"/>
  <c r="F89" i="57"/>
  <c r="G89" i="25"/>
  <c r="F596" i="22"/>
  <c r="H596" i="22" s="1"/>
  <c r="H597" i="22"/>
  <c r="H591" i="22" s="1"/>
  <c r="H881" i="22"/>
  <c r="H878" i="22" s="1"/>
  <c r="F880" i="22"/>
  <c r="H880" i="22" s="1"/>
  <c r="G81" i="7"/>
  <c r="N81" i="7"/>
  <c r="L81" i="7"/>
  <c r="I81" i="7"/>
  <c r="P81" i="7"/>
  <c r="F370" i="11"/>
  <c r="H370" i="11" s="1"/>
  <c r="H371" i="11"/>
  <c r="H365" i="11" s="1"/>
  <c r="F101" i="12" s="1"/>
  <c r="I101" i="12" s="1"/>
  <c r="E36" i="58"/>
  <c r="E36" i="57"/>
  <c r="F36" i="25"/>
  <c r="H360" i="22"/>
  <c r="F43" i="57"/>
  <c r="F43" i="58"/>
  <c r="G43" i="25"/>
  <c r="G49" i="7"/>
  <c r="I49" i="7"/>
  <c r="E43" i="9"/>
  <c r="E43" i="10"/>
  <c r="AA43" i="10" s="1"/>
  <c r="L49" i="7"/>
  <c r="N49" i="7"/>
  <c r="P49" i="7"/>
  <c r="F59" i="58"/>
  <c r="F59" i="57"/>
  <c r="G59" i="25"/>
  <c r="O24" i="7"/>
  <c r="N24" i="7"/>
  <c r="O18" i="7"/>
  <c r="N18" i="7"/>
  <c r="F396" i="22"/>
  <c r="H396" i="22" s="1"/>
  <c r="H397" i="22" s="1"/>
  <c r="H391" i="22" s="1"/>
  <c r="H112" i="11"/>
  <c r="H108" i="11" s="1"/>
  <c r="H38" i="12" s="1"/>
  <c r="K38" i="12" s="1"/>
  <c r="F88" i="25"/>
  <c r="E88" i="57"/>
  <c r="E88" i="58"/>
  <c r="H1154" i="22"/>
  <c r="H177" i="11"/>
  <c r="H171" i="11" s="1"/>
  <c r="F60" i="12" s="1"/>
  <c r="I60" i="12" s="1"/>
  <c r="E25" i="10"/>
  <c r="AA25" i="10" s="1"/>
  <c r="E25" i="9"/>
  <c r="G30" i="7"/>
  <c r="L30" i="7"/>
  <c r="I30" i="7"/>
  <c r="N30" i="7"/>
  <c r="P30" i="7"/>
  <c r="P371" i="6"/>
  <c r="H64" i="7"/>
  <c r="F21" i="57"/>
  <c r="G21" i="25"/>
  <c r="F21" i="58"/>
  <c r="F256" i="22"/>
  <c r="H256" i="22" s="1"/>
  <c r="Q38" i="7"/>
  <c r="F232" i="22"/>
  <c r="H232" i="22" s="1"/>
  <c r="F102" i="11"/>
  <c r="H102" i="11" s="1"/>
  <c r="F116" i="11"/>
  <c r="H116" i="11" s="1"/>
  <c r="H1006" i="22"/>
  <c r="H1007" i="22" s="1"/>
  <c r="I61" i="25"/>
  <c r="J61" i="25" s="1"/>
  <c r="H61" i="58"/>
  <c r="I61" i="58" s="1"/>
  <c r="H61" i="57"/>
  <c r="I61" i="57" s="1"/>
  <c r="F410" i="11"/>
  <c r="H410" i="11" s="1"/>
  <c r="H411" i="11" s="1"/>
  <c r="H408" i="11" s="1"/>
  <c r="F116" i="12" s="1"/>
  <c r="I116" i="12" s="1"/>
  <c r="F320" i="11"/>
  <c r="H320" i="11" s="1"/>
  <c r="H321" i="11" s="1"/>
  <c r="H315" i="11" s="1"/>
  <c r="F90" i="12" s="1"/>
  <c r="I90" i="12" s="1"/>
  <c r="L90" i="12" s="1"/>
  <c r="G27" i="7"/>
  <c r="E22" i="10"/>
  <c r="AA22" i="10" s="1"/>
  <c r="I27" i="7"/>
  <c r="L27" i="7"/>
  <c r="E22" i="9"/>
  <c r="N27" i="7"/>
  <c r="P27" i="7"/>
  <c r="G58" i="58"/>
  <c r="G58" i="57"/>
  <c r="H58" i="25"/>
  <c r="F120" i="11"/>
  <c r="H120" i="11" s="1"/>
  <c r="F260" i="22"/>
  <c r="H260" i="22" s="1"/>
  <c r="Q41" i="7"/>
  <c r="G53" i="25"/>
  <c r="F53" i="58"/>
  <c r="F53" i="57"/>
  <c r="F69" i="58"/>
  <c r="G69" i="25"/>
  <c r="F69" i="57"/>
  <c r="G47" i="25"/>
  <c r="F47" i="58"/>
  <c r="F47" i="57"/>
  <c r="F58" i="57"/>
  <c r="F58" i="58"/>
  <c r="G58" i="25"/>
  <c r="F11" i="25"/>
  <c r="E11" i="57"/>
  <c r="E11" i="58"/>
  <c r="AV44" i="9"/>
  <c r="E29" i="10"/>
  <c r="AA29" i="10" s="1"/>
  <c r="I34" i="7"/>
  <c r="G34" i="7"/>
  <c r="L34" i="7"/>
  <c r="N34" i="7"/>
  <c r="E29" i="9"/>
  <c r="P34" i="7"/>
  <c r="G65" i="7"/>
  <c r="I65" i="7"/>
  <c r="L65" i="7"/>
  <c r="P65" i="7"/>
  <c r="R65" i="7" s="1"/>
  <c r="N65" i="7"/>
  <c r="R84" i="7"/>
  <c r="H129" i="11"/>
  <c r="H125" i="11" s="1"/>
  <c r="H40" i="12" s="1"/>
  <c r="K40" i="12" s="1"/>
  <c r="H771" i="22"/>
  <c r="H765" i="22" s="1"/>
  <c r="H1214" i="22"/>
  <c r="H1209" i="22" s="1"/>
  <c r="E6" i="9"/>
  <c r="I11" i="7"/>
  <c r="L11" i="7"/>
  <c r="L52" i="7" s="1"/>
  <c r="E6" i="10"/>
  <c r="AA6" i="10" s="1"/>
  <c r="G11" i="7"/>
  <c r="P11" i="7"/>
  <c r="N11" i="7"/>
  <c r="G22" i="57"/>
  <c r="H22" i="25"/>
  <c r="G22" i="58"/>
  <c r="F79" i="11"/>
  <c r="H79" i="11" s="1"/>
  <c r="H80" i="11" s="1"/>
  <c r="H74" i="11" s="1"/>
  <c r="F33" i="12" s="1"/>
  <c r="I33" i="12" s="1"/>
  <c r="AX30" i="9"/>
  <c r="AY30" i="9" s="1"/>
  <c r="Q51" i="6"/>
  <c r="O52" i="6" s="1"/>
  <c r="S35" i="7"/>
  <c r="M35" i="7" s="1"/>
  <c r="AV30" i="9"/>
  <c r="G39" i="58"/>
  <c r="H39" i="25"/>
  <c r="G39" i="57"/>
  <c r="G48" i="25"/>
  <c r="F48" i="57"/>
  <c r="F48" i="58"/>
  <c r="O256" i="6"/>
  <c r="AV7" i="9"/>
  <c r="AY7" i="9"/>
  <c r="K77" i="7"/>
  <c r="L77" i="7" s="1"/>
  <c r="O77" i="7"/>
  <c r="F23" i="57"/>
  <c r="F23" i="58"/>
  <c r="G23" i="25"/>
  <c r="G42" i="25"/>
  <c r="F42" i="57"/>
  <c r="F42" i="58"/>
  <c r="H190" i="22"/>
  <c r="H184" i="22" s="1"/>
  <c r="F189" i="22"/>
  <c r="H189" i="22" s="1"/>
  <c r="N41" i="7"/>
  <c r="P41" i="7"/>
  <c r="E35" i="9"/>
  <c r="G41" i="7"/>
  <c r="L41" i="7"/>
  <c r="E35" i="10"/>
  <c r="AA35" i="10" s="1"/>
  <c r="I41" i="7"/>
  <c r="H504" i="22"/>
  <c r="H498" i="22" s="1"/>
  <c r="Q232" i="6"/>
  <c r="AX18" i="9"/>
  <c r="S23" i="7"/>
  <c r="M23" i="7" s="1"/>
  <c r="I22" i="7"/>
  <c r="E17" i="10"/>
  <c r="AA17" i="10" s="1"/>
  <c r="E17" i="9"/>
  <c r="G22" i="7"/>
  <c r="L22" i="7"/>
  <c r="P22" i="7"/>
  <c r="N22" i="7"/>
  <c r="I26" i="7"/>
  <c r="E21" i="10"/>
  <c r="AA21" i="10" s="1"/>
  <c r="L26" i="7"/>
  <c r="G26" i="7"/>
  <c r="E21" i="9"/>
  <c r="N26" i="7"/>
  <c r="P26" i="7"/>
  <c r="F16" i="11"/>
  <c r="H16" i="11" s="1"/>
  <c r="H17" i="11" s="1"/>
  <c r="H14" i="11" s="1"/>
  <c r="H10" i="12" s="1"/>
  <c r="K10" i="12" s="1"/>
  <c r="L10" i="12" s="1"/>
  <c r="F443" i="11"/>
  <c r="H443" i="11" s="1"/>
  <c r="Q85" i="7"/>
  <c r="F463" i="11"/>
  <c r="H463" i="11" s="1"/>
  <c r="F43" i="22"/>
  <c r="H43" i="22" s="1"/>
  <c r="F26" i="22"/>
  <c r="H26" i="22" s="1"/>
  <c r="H27" i="22" s="1"/>
  <c r="H24" i="22" s="1"/>
  <c r="F23" i="11"/>
  <c r="H23" i="11" s="1"/>
  <c r="F834" i="22"/>
  <c r="H834" i="22" s="1"/>
  <c r="F144" i="11"/>
  <c r="H144" i="11" s="1"/>
  <c r="F314" i="22"/>
  <c r="H314" i="22" s="1"/>
  <c r="F1013" i="22"/>
  <c r="H1013" i="22" s="1"/>
  <c r="F953" i="22"/>
  <c r="H953" i="22" s="1"/>
  <c r="F394" i="11"/>
  <c r="H394" i="11" s="1"/>
  <c r="P85" i="7"/>
  <c r="R85" i="7" s="1"/>
  <c r="G92" i="25"/>
  <c r="F92" i="57"/>
  <c r="F92" i="58"/>
  <c r="F71" i="58"/>
  <c r="G71" i="25"/>
  <c r="F71" i="57"/>
  <c r="H908" i="22"/>
  <c r="Q66" i="7"/>
  <c r="F10" i="22"/>
  <c r="H10" i="22" s="1"/>
  <c r="H9" i="22" s="1"/>
  <c r="F10" i="11"/>
  <c r="H10" i="11" s="1"/>
  <c r="H9" i="11" s="1"/>
  <c r="H8" i="12" s="1"/>
  <c r="K8" i="12" s="1"/>
  <c r="P66" i="7"/>
  <c r="R66" i="7" s="1"/>
  <c r="G32" i="7"/>
  <c r="L32" i="7"/>
  <c r="I32" i="7"/>
  <c r="E27" i="9"/>
  <c r="E27" i="10"/>
  <c r="AA27" i="10" s="1"/>
  <c r="E32" i="9"/>
  <c r="I38" i="7"/>
  <c r="P38" i="7"/>
  <c r="R38" i="7" s="1"/>
  <c r="N38" i="7"/>
  <c r="E32" i="10"/>
  <c r="AA32" i="10" s="1"/>
  <c r="L38" i="7"/>
  <c r="G38" i="7"/>
  <c r="H1093" i="22"/>
  <c r="F1190" i="22"/>
  <c r="H1190" i="22" s="1"/>
  <c r="H1191" i="22" s="1"/>
  <c r="H1185" i="22" s="1"/>
  <c r="H234" i="11"/>
  <c r="H228" i="11" s="1"/>
  <c r="F70" i="12" s="1"/>
  <c r="I70" i="12" s="1"/>
  <c r="AU39" i="9"/>
  <c r="AT39" i="9"/>
  <c r="AT14" i="9"/>
  <c r="AU14" i="9" s="1"/>
  <c r="K84" i="5"/>
  <c r="K78" i="5" s="1"/>
  <c r="F62" i="2" s="1"/>
  <c r="H71" i="7" s="1"/>
  <c r="S32" i="7"/>
  <c r="M32" i="7" s="1"/>
  <c r="O32" i="7" s="1"/>
  <c r="P32" i="7" s="1"/>
  <c r="R32" i="7" s="1"/>
  <c r="AX27" i="9"/>
  <c r="Q90" i="6"/>
  <c r="O93" i="6" s="1"/>
  <c r="Q102" i="6"/>
  <c r="O108" i="6" s="1"/>
  <c r="AV18" i="9"/>
  <c r="AY18" i="9"/>
  <c r="H91" i="25"/>
  <c r="G91" i="57"/>
  <c r="G91" i="58"/>
  <c r="O87" i="7"/>
  <c r="K87" i="7"/>
  <c r="L87" i="7" s="1"/>
  <c r="O46" i="7"/>
  <c r="N46" i="7"/>
  <c r="F805" i="22"/>
  <c r="H805" i="22" s="1"/>
  <c r="H804" i="22" s="1"/>
  <c r="F484" i="11"/>
  <c r="H484" i="11" s="1"/>
  <c r="H483" i="11" s="1"/>
  <c r="H142" i="12" s="1"/>
  <c r="K142" i="12" s="1"/>
  <c r="L142" i="12" s="1"/>
  <c r="F1074" i="22"/>
  <c r="H1074" i="22" s="1"/>
  <c r="H1073" i="22" s="1"/>
  <c r="Q67" i="7"/>
  <c r="F385" i="11"/>
  <c r="H385" i="11" s="1"/>
  <c r="H384" i="11" s="1"/>
  <c r="H106" i="12" s="1"/>
  <c r="K106" i="12" s="1"/>
  <c r="L106" i="12" s="1"/>
  <c r="F94" i="57"/>
  <c r="F94" i="58"/>
  <c r="G94" i="25"/>
  <c r="H1256" i="22"/>
  <c r="H1250" i="22" s="1"/>
  <c r="AY15" i="9"/>
  <c r="AV15" i="9"/>
  <c r="AY10" i="9"/>
  <c r="AV10" i="9"/>
  <c r="F670" i="22"/>
  <c r="H670" i="22" s="1"/>
  <c r="H671" i="22"/>
  <c r="H665" i="22" s="1"/>
  <c r="AV36" i="9"/>
  <c r="AY36" i="9"/>
  <c r="AA10" i="10"/>
  <c r="F243" i="11"/>
  <c r="H243" i="11" s="1"/>
  <c r="F523" i="22"/>
  <c r="H523" i="22" s="1"/>
  <c r="F1294" i="22"/>
  <c r="H1294" i="22" s="1"/>
  <c r="F584" i="11"/>
  <c r="H584" i="11" s="1"/>
  <c r="Q48" i="7"/>
  <c r="P48" i="7"/>
  <c r="R48" i="7" s="1"/>
  <c r="L158" i="12"/>
  <c r="G67" i="7"/>
  <c r="I67" i="7"/>
  <c r="L67" i="7"/>
  <c r="N67" i="7"/>
  <c r="P67" i="7"/>
  <c r="R67" i="7" s="1"/>
  <c r="G41" i="57"/>
  <c r="G41" i="58"/>
  <c r="H41" i="25"/>
  <c r="AY33" i="9"/>
  <c r="AV33" i="9"/>
  <c r="AX44" i="9"/>
  <c r="AY44" i="9" s="1"/>
  <c r="Q178" i="6"/>
  <c r="O181" i="6" s="1"/>
  <c r="S50" i="7"/>
  <c r="M50" i="7" s="1"/>
  <c r="O78" i="7"/>
  <c r="P78" i="7" s="1"/>
  <c r="R78" i="7" s="1"/>
  <c r="K78" i="7"/>
  <c r="L78" i="7" s="1"/>
  <c r="G72" i="25"/>
  <c r="F72" i="58"/>
  <c r="F72" i="57"/>
  <c r="F95" i="58"/>
  <c r="F95" i="57"/>
  <c r="G95" i="25"/>
  <c r="Q80" i="7"/>
  <c r="P80" i="7"/>
  <c r="R80" i="7" s="1"/>
  <c r="F557" i="22"/>
  <c r="H557" i="22" s="1"/>
  <c r="F267" i="11"/>
  <c r="H267" i="11" s="1"/>
  <c r="AY13" i="9"/>
  <c r="AV13" i="9"/>
  <c r="H822" i="22"/>
  <c r="H821" i="22"/>
  <c r="H824" i="22" s="1"/>
  <c r="H823" i="22"/>
  <c r="F530" i="11"/>
  <c r="H530" i="11" s="1"/>
  <c r="H531" i="11" s="1"/>
  <c r="H525" i="11" s="1"/>
  <c r="F156" i="12" s="1"/>
  <c r="I156" i="12" s="1"/>
  <c r="E37" i="10"/>
  <c r="AA37" i="10" s="1"/>
  <c r="E37" i="9"/>
  <c r="I43" i="7"/>
  <c r="G43" i="7"/>
  <c r="P43" i="7"/>
  <c r="R43" i="7" s="1"/>
  <c r="L43" i="7"/>
  <c r="N43" i="7"/>
  <c r="F286" i="11"/>
  <c r="H286" i="11" s="1"/>
  <c r="H287" i="11" s="1"/>
  <c r="H281" i="11" s="1"/>
  <c r="F80" i="12" s="1"/>
  <c r="I80" i="12" s="1"/>
  <c r="L80" i="12" s="1"/>
  <c r="R15" i="7"/>
  <c r="N39" i="7"/>
  <c r="O39" i="7"/>
  <c r="F775" i="22"/>
  <c r="H775" i="22" s="1"/>
  <c r="F535" i="11"/>
  <c r="H535" i="11" s="1"/>
  <c r="F375" i="11"/>
  <c r="H375" i="11" s="1"/>
  <c r="F401" i="22"/>
  <c r="H401" i="22" s="1"/>
  <c r="F675" i="22"/>
  <c r="H675" i="22" s="1"/>
  <c r="H674" i="22" s="1"/>
  <c r="F508" i="22"/>
  <c r="H508" i="22" s="1"/>
  <c r="F181" i="11"/>
  <c r="H181" i="11" s="1"/>
  <c r="F84" i="11"/>
  <c r="H84" i="11" s="1"/>
  <c r="F291" i="11"/>
  <c r="H291" i="11" s="1"/>
  <c r="H290" i="11" s="1"/>
  <c r="H80" i="12" s="1"/>
  <c r="K80" i="12" s="1"/>
  <c r="F325" i="11"/>
  <c r="H325" i="11" s="1"/>
  <c r="H324" i="11" s="1"/>
  <c r="H90" i="12" s="1"/>
  <c r="K90" i="12" s="1"/>
  <c r="F238" i="11"/>
  <c r="H238" i="11" s="1"/>
  <c r="P83" i="7"/>
  <c r="R83" i="7" s="1"/>
  <c r="F601" i="22"/>
  <c r="H601" i="22" s="1"/>
  <c r="H600" i="22" s="1"/>
  <c r="Q83" i="7"/>
  <c r="F194" i="22"/>
  <c r="H194" i="22" s="1"/>
  <c r="F1260" i="22"/>
  <c r="H1260" i="22" s="1"/>
  <c r="F1195" i="22"/>
  <c r="H1195" i="22" s="1"/>
  <c r="F570" i="11"/>
  <c r="H570" i="11" s="1"/>
  <c r="E68" i="57"/>
  <c r="F68" i="25"/>
  <c r="H867" i="22"/>
  <c r="E68" i="58"/>
  <c r="E90" i="58" l="1"/>
  <c r="F90" i="25"/>
  <c r="E90" i="57"/>
  <c r="S19" i="7"/>
  <c r="M19" i="7" s="1"/>
  <c r="AX14" i="9"/>
  <c r="AY14" i="9" s="1"/>
  <c r="AV14" i="9"/>
  <c r="H77" i="57"/>
  <c r="I77" i="57" s="1"/>
  <c r="I77" i="25"/>
  <c r="J77" i="25" s="1"/>
  <c r="H77" i="58"/>
  <c r="I77" i="58" s="1"/>
  <c r="E38" i="58"/>
  <c r="F38" i="25"/>
  <c r="E38" i="57"/>
  <c r="P4" i="6"/>
  <c r="P89" i="7" s="1"/>
  <c r="R89" i="7" s="1"/>
  <c r="H1068" i="22"/>
  <c r="H1069" i="22"/>
  <c r="G83" i="58"/>
  <c r="G83" i="57"/>
  <c r="H83" i="25"/>
  <c r="H1075" i="22"/>
  <c r="I52" i="7"/>
  <c r="G48" i="57"/>
  <c r="G48" i="58"/>
  <c r="H48" i="25"/>
  <c r="AY6" i="9"/>
  <c r="AV6" i="9"/>
  <c r="H943" i="22"/>
  <c r="E54" i="58"/>
  <c r="E54" i="57"/>
  <c r="H676" i="22"/>
  <c r="F54" i="25"/>
  <c r="G64" i="58"/>
  <c r="H64" i="25"/>
  <c r="G64" i="57"/>
  <c r="H806" i="22"/>
  <c r="H1094" i="22"/>
  <c r="H1095" i="22" s="1"/>
  <c r="L8" i="12"/>
  <c r="R26" i="7"/>
  <c r="R22" i="7"/>
  <c r="N23" i="7"/>
  <c r="O23" i="7"/>
  <c r="AV35" i="9"/>
  <c r="AY35" i="9"/>
  <c r="O35" i="7"/>
  <c r="N35" i="7"/>
  <c r="F91" i="25"/>
  <c r="H1219" i="22"/>
  <c r="E91" i="57"/>
  <c r="E91" i="58"/>
  <c r="G90" i="7"/>
  <c r="R27" i="7"/>
  <c r="O64" i="7"/>
  <c r="K64" i="7"/>
  <c r="L64" i="7" s="1"/>
  <c r="I64" i="7"/>
  <c r="I90" i="7" s="1"/>
  <c r="O72" i="7"/>
  <c r="I72" i="7"/>
  <c r="K72" i="7"/>
  <c r="L72" i="7" s="1"/>
  <c r="F462" i="11"/>
  <c r="H462" i="11" s="1"/>
  <c r="H464" i="11" s="1"/>
  <c r="H461" i="11" s="1"/>
  <c r="H133" i="12" s="1"/>
  <c r="K133" i="12" s="1"/>
  <c r="L133" i="12" s="1"/>
  <c r="Q70" i="7"/>
  <c r="F1012" i="22"/>
  <c r="H1012" i="22" s="1"/>
  <c r="H1014" i="22" s="1"/>
  <c r="H1011" i="22" s="1"/>
  <c r="P70" i="7"/>
  <c r="R70" i="7" s="1"/>
  <c r="N32" i="7"/>
  <c r="E48" i="57"/>
  <c r="H602" i="22"/>
  <c r="F48" i="25"/>
  <c r="E48" i="58"/>
  <c r="AV37" i="9"/>
  <c r="AY37" i="9"/>
  <c r="G54" i="58"/>
  <c r="H54" i="25"/>
  <c r="G54" i="57"/>
  <c r="P78" i="6"/>
  <c r="N28" i="7"/>
  <c r="O28" i="7"/>
  <c r="G7" i="58"/>
  <c r="G7" i="57"/>
  <c r="H7" i="25"/>
  <c r="H11" i="22"/>
  <c r="R41" i="7"/>
  <c r="O4" i="6"/>
  <c r="P51" i="7" s="1"/>
  <c r="R51" i="7" s="1"/>
  <c r="E60" i="57"/>
  <c r="F60" i="25"/>
  <c r="E60" i="58"/>
  <c r="R34" i="7"/>
  <c r="R49" i="7"/>
  <c r="R81" i="7"/>
  <c r="O50" i="7"/>
  <c r="N50" i="7"/>
  <c r="AV43" i="9"/>
  <c r="AY43" i="9"/>
  <c r="O25" i="7"/>
  <c r="N25" i="7"/>
  <c r="O75" i="7"/>
  <c r="K75" i="7"/>
  <c r="L75" i="7" s="1"/>
  <c r="I75" i="7"/>
  <c r="F93" i="25"/>
  <c r="E93" i="57"/>
  <c r="E93" i="58"/>
  <c r="H871" i="22"/>
  <c r="H869" i="22"/>
  <c r="H870" i="22"/>
  <c r="AY25" i="9"/>
  <c r="AV25" i="9"/>
  <c r="R33" i="7"/>
  <c r="H825" i="22"/>
  <c r="H826" i="22" s="1"/>
  <c r="F273" i="11"/>
  <c r="H273" i="11" s="1"/>
  <c r="P46" i="7"/>
  <c r="R46" i="7" s="1"/>
  <c r="F573" i="22"/>
  <c r="H573" i="22" s="1"/>
  <c r="F647" i="22"/>
  <c r="H647" i="22" s="1"/>
  <c r="F307" i="11"/>
  <c r="H307" i="11" s="1"/>
  <c r="F256" i="11"/>
  <c r="H256" i="11" s="1"/>
  <c r="F546" i="22"/>
  <c r="H546" i="22" s="1"/>
  <c r="Q46" i="7"/>
  <c r="AY27" i="9"/>
  <c r="AV27" i="9"/>
  <c r="G8" i="58"/>
  <c r="G8" i="57"/>
  <c r="H8" i="25"/>
  <c r="H28" i="22"/>
  <c r="AY21" i="9"/>
  <c r="AV21" i="9"/>
  <c r="R11" i="7"/>
  <c r="AV29" i="9"/>
  <c r="AY29" i="9"/>
  <c r="AV22" i="9"/>
  <c r="AY22" i="9"/>
  <c r="R30" i="7"/>
  <c r="H1158" i="22"/>
  <c r="H1157" i="22"/>
  <c r="H1156" i="22"/>
  <c r="F450" i="11"/>
  <c r="H450" i="11" s="1"/>
  <c r="H449" i="11" s="1"/>
  <c r="F129" i="12" s="1"/>
  <c r="I129" i="12" s="1"/>
  <c r="L129" i="12" s="1"/>
  <c r="F1100" i="22"/>
  <c r="H1100" i="22" s="1"/>
  <c r="Q18" i="7"/>
  <c r="F467" i="11"/>
  <c r="H467" i="11" s="1"/>
  <c r="H466" i="11" s="1"/>
  <c r="F135" i="12" s="1"/>
  <c r="I135" i="12" s="1"/>
  <c r="P18" i="7"/>
  <c r="R18" i="7" s="1"/>
  <c r="F1027" i="22"/>
  <c r="H1027" i="22" s="1"/>
  <c r="H1026" i="22" s="1"/>
  <c r="F490" i="11"/>
  <c r="H490" i="11" s="1"/>
  <c r="F980" i="22"/>
  <c r="H980" i="22" s="1"/>
  <c r="H979" i="22" s="1"/>
  <c r="E69" i="58"/>
  <c r="E69" i="57"/>
  <c r="F69" i="25"/>
  <c r="AY28" i="9"/>
  <c r="AV28" i="9"/>
  <c r="Q33" i="7"/>
  <c r="F426" i="11"/>
  <c r="H426" i="11" s="1"/>
  <c r="H427" i="11" s="1"/>
  <c r="H424" i="11" s="1"/>
  <c r="F120" i="12" s="1"/>
  <c r="I120" i="12" s="1"/>
  <c r="L120" i="12" s="1"/>
  <c r="F916" i="22"/>
  <c r="H916" i="22" s="1"/>
  <c r="H917" i="22" s="1"/>
  <c r="H914" i="22" s="1"/>
  <c r="F259" i="22"/>
  <c r="H259" i="22" s="1"/>
  <c r="Q11" i="7"/>
  <c r="F119" i="11"/>
  <c r="H119" i="11" s="1"/>
  <c r="N47" i="7"/>
  <c r="O47" i="7"/>
  <c r="H1139" i="22"/>
  <c r="H1140" i="22"/>
  <c r="H1141" i="22"/>
  <c r="K71" i="7"/>
  <c r="L71" i="7" s="1"/>
  <c r="O71" i="7"/>
  <c r="I71" i="7"/>
  <c r="AX39" i="9"/>
  <c r="AY39" i="9" s="1"/>
  <c r="Q228" i="6"/>
  <c r="O234" i="6" s="1"/>
  <c r="S45" i="7"/>
  <c r="M45" i="7" s="1"/>
  <c r="AV39" i="9"/>
  <c r="H909" i="22"/>
  <c r="H910" i="22" s="1"/>
  <c r="AY17" i="9"/>
  <c r="AV17" i="9"/>
  <c r="E43" i="57"/>
  <c r="E43" i="58"/>
  <c r="F43" i="25"/>
  <c r="G52" i="7"/>
  <c r="H364" i="22"/>
  <c r="H363" i="22"/>
  <c r="H362" i="22"/>
  <c r="P68" i="7"/>
  <c r="R68" i="7" s="1"/>
  <c r="F1031" i="22"/>
  <c r="H1031" i="22" s="1"/>
  <c r="H1030" i="22" s="1"/>
  <c r="F984" i="22"/>
  <c r="H984" i="22" s="1"/>
  <c r="H983" i="22" s="1"/>
  <c r="F471" i="11"/>
  <c r="H471" i="11" s="1"/>
  <c r="H470" i="11" s="1"/>
  <c r="H135" i="12" s="1"/>
  <c r="K135" i="12" s="1"/>
  <c r="F454" i="11"/>
  <c r="H454" i="11" s="1"/>
  <c r="H453" i="11" s="1"/>
  <c r="H129" i="12" s="1"/>
  <c r="K129" i="12" s="1"/>
  <c r="Q68" i="7"/>
  <c r="F255" i="22"/>
  <c r="H255" i="22" s="1"/>
  <c r="F231" i="22"/>
  <c r="H231" i="22" s="1"/>
  <c r="Q32" i="7"/>
  <c r="F101" i="11"/>
  <c r="H101" i="11" s="1"/>
  <c r="F115" i="11"/>
  <c r="H115" i="11" s="1"/>
  <c r="E21" i="57"/>
  <c r="F21" i="25"/>
  <c r="E21" i="58"/>
  <c r="O14" i="7"/>
  <c r="N14" i="7"/>
  <c r="AV32" i="9"/>
  <c r="AY32" i="9"/>
  <c r="F547" i="22"/>
  <c r="H547" i="22" s="1"/>
  <c r="P39" i="7"/>
  <c r="R39" i="7" s="1"/>
  <c r="F257" i="11"/>
  <c r="H257" i="11" s="1"/>
  <c r="Q39" i="7"/>
  <c r="F952" i="22"/>
  <c r="H952" i="22" s="1"/>
  <c r="H954" i="22" s="1"/>
  <c r="H951" i="22" s="1"/>
  <c r="F393" i="11"/>
  <c r="H393" i="11" s="1"/>
  <c r="F42" i="22"/>
  <c r="H42" i="22" s="1"/>
  <c r="Q78" i="7"/>
  <c r="F833" i="22"/>
  <c r="H833" i="22" s="1"/>
  <c r="F22" i="11"/>
  <c r="H22" i="11" s="1"/>
  <c r="F442" i="11"/>
  <c r="H442" i="11" s="1"/>
  <c r="H444" i="11" s="1"/>
  <c r="H441" i="11" s="1"/>
  <c r="H125" i="12" s="1"/>
  <c r="K125" i="12" s="1"/>
  <c r="L125" i="12" s="1"/>
  <c r="F149" i="11"/>
  <c r="H149" i="11" s="1"/>
  <c r="H148" i="11" s="1"/>
  <c r="H52" i="12" s="1"/>
  <c r="K52" i="12" s="1"/>
  <c r="L52" i="12" s="1"/>
  <c r="F47" i="11"/>
  <c r="H47" i="11" s="1"/>
  <c r="H46" i="11" s="1"/>
  <c r="H21" i="12" s="1"/>
  <c r="K21" i="12" s="1"/>
  <c r="L21" i="12" s="1"/>
  <c r="F342" i="22"/>
  <c r="H342" i="22" s="1"/>
  <c r="H341" i="22" s="1"/>
  <c r="F133" i="22"/>
  <c r="H133" i="22" s="1"/>
  <c r="H132" i="22" s="1"/>
  <c r="F596" i="11"/>
  <c r="H596" i="11" s="1"/>
  <c r="H595" i="11" s="1"/>
  <c r="H168" i="12" s="1"/>
  <c r="K168" i="12" s="1"/>
  <c r="L168" i="12" s="1"/>
  <c r="F50" i="11"/>
  <c r="H50" i="11" s="1"/>
  <c r="H49" i="11" s="1"/>
  <c r="H23" i="12" s="1"/>
  <c r="K23" i="12" s="1"/>
  <c r="L23" i="12" s="1"/>
  <c r="F152" i="11"/>
  <c r="H152" i="11" s="1"/>
  <c r="H151" i="11" s="1"/>
  <c r="H54" i="12" s="1"/>
  <c r="K54" i="12" s="1"/>
  <c r="L54" i="12" s="1"/>
  <c r="F44" i="11"/>
  <c r="H44" i="11" s="1"/>
  <c r="H43" i="11" s="1"/>
  <c r="H18" i="12" s="1"/>
  <c r="K18" i="12" s="1"/>
  <c r="L18" i="12" s="1"/>
  <c r="Q87" i="7"/>
  <c r="F94" i="22"/>
  <c r="H94" i="22" s="1"/>
  <c r="H93" i="22" s="1"/>
  <c r="F599" i="11"/>
  <c r="H599" i="11" s="1"/>
  <c r="H598" i="11" s="1"/>
  <c r="H170" i="12" s="1"/>
  <c r="K170" i="12" s="1"/>
  <c r="L170" i="12" s="1"/>
  <c r="F120" i="22"/>
  <c r="H120" i="22" s="1"/>
  <c r="H119" i="22" s="1"/>
  <c r="F107" i="22"/>
  <c r="H107" i="22" s="1"/>
  <c r="H106" i="22" s="1"/>
  <c r="F329" i="22"/>
  <c r="H329" i="22" s="1"/>
  <c r="H328" i="22" s="1"/>
  <c r="F1316" i="22"/>
  <c r="H1316" i="22" s="1"/>
  <c r="H1315" i="22" s="1"/>
  <c r="F474" i="11"/>
  <c r="H474" i="11" s="1"/>
  <c r="H473" i="11" s="1"/>
  <c r="H137" i="12" s="1"/>
  <c r="K137" i="12" s="1"/>
  <c r="L137" i="12" s="1"/>
  <c r="F1329" i="22"/>
  <c r="H1329" i="22" s="1"/>
  <c r="H1328" i="22" s="1"/>
  <c r="F1044" i="22"/>
  <c r="H1044" i="22" s="1"/>
  <c r="H1043" i="22" s="1"/>
  <c r="F53" i="11"/>
  <c r="H53" i="11" s="1"/>
  <c r="H52" i="11" s="1"/>
  <c r="H26" i="12" s="1"/>
  <c r="K26" i="12" s="1"/>
  <c r="L26" i="12" s="1"/>
  <c r="F849" i="22"/>
  <c r="H849" i="22" s="1"/>
  <c r="H848" i="22" s="1"/>
  <c r="F399" i="11"/>
  <c r="H399" i="11" s="1"/>
  <c r="H398" i="11" s="1"/>
  <c r="H112" i="12" s="1"/>
  <c r="K112" i="12" s="1"/>
  <c r="L112" i="12" s="1"/>
  <c r="P87" i="7"/>
  <c r="R87" i="7" s="1"/>
  <c r="F313" i="22"/>
  <c r="H313" i="22" s="1"/>
  <c r="F143" i="11"/>
  <c r="H143" i="11" s="1"/>
  <c r="Q77" i="7"/>
  <c r="N90" i="7"/>
  <c r="F749" i="22"/>
  <c r="H749" i="22" s="1"/>
  <c r="F222" i="11"/>
  <c r="H222" i="11" s="1"/>
  <c r="F165" i="11"/>
  <c r="H165" i="11" s="1"/>
  <c r="F359" i="11"/>
  <c r="H359" i="11" s="1"/>
  <c r="F519" i="11"/>
  <c r="H519" i="11" s="1"/>
  <c r="F630" i="22"/>
  <c r="H630" i="22" s="1"/>
  <c r="Q24" i="7"/>
  <c r="F1169" i="22"/>
  <c r="H1169" i="22" s="1"/>
  <c r="F554" i="11"/>
  <c r="H554" i="11" s="1"/>
  <c r="F1234" i="22"/>
  <c r="H1234" i="22" s="1"/>
  <c r="F300" i="11"/>
  <c r="H300" i="11" s="1"/>
  <c r="F482" i="22"/>
  <c r="H482" i="22" s="1"/>
  <c r="P24" i="7"/>
  <c r="R24" i="7" s="1"/>
  <c r="F375" i="22"/>
  <c r="H375" i="22" s="1"/>
  <c r="F163" i="22"/>
  <c r="H163" i="22" s="1"/>
  <c r="Q44" i="7"/>
  <c r="F63" i="11"/>
  <c r="H63" i="11" s="1"/>
  <c r="P44" i="7"/>
  <c r="R44" i="7" s="1"/>
  <c r="H973" i="22"/>
  <c r="I73" i="7"/>
  <c r="O73" i="7"/>
  <c r="K73" i="7"/>
  <c r="L73" i="7" s="1"/>
  <c r="R59" i="7"/>
  <c r="R60" i="7"/>
  <c r="H1096" i="22" l="1"/>
  <c r="H1097" i="22" s="1"/>
  <c r="H827" i="22"/>
  <c r="H828" i="22" s="1"/>
  <c r="H911" i="22"/>
  <c r="H912" i="22" s="1"/>
  <c r="G98" i="58"/>
  <c r="H98" i="25"/>
  <c r="H1330" i="22"/>
  <c r="G98" i="57"/>
  <c r="E76" i="58"/>
  <c r="E76" i="57"/>
  <c r="F76" i="25"/>
  <c r="H985" i="22"/>
  <c r="F631" i="22"/>
  <c r="H631" i="22" s="1"/>
  <c r="H632" i="22" s="1"/>
  <c r="H628" i="22" s="1"/>
  <c r="F145" i="11"/>
  <c r="H145" i="11" s="1"/>
  <c r="H146" i="11" s="1"/>
  <c r="H142" i="11" s="1"/>
  <c r="H50" i="12" s="1"/>
  <c r="K50" i="12" s="1"/>
  <c r="L50" i="12" s="1"/>
  <c r="F395" i="11"/>
  <c r="H395" i="11" s="1"/>
  <c r="H396" i="11" s="1"/>
  <c r="H392" i="11" s="1"/>
  <c r="H110" i="12" s="1"/>
  <c r="K110" i="12" s="1"/>
  <c r="L110" i="12" s="1"/>
  <c r="H1142" i="22"/>
  <c r="F162" i="11"/>
  <c r="H162" i="11" s="1"/>
  <c r="F1166" i="22"/>
  <c r="H1166" i="22" s="1"/>
  <c r="F1231" i="22"/>
  <c r="H1231" i="22" s="1"/>
  <c r="F479" i="22"/>
  <c r="H479" i="22" s="1"/>
  <c r="F1102" i="22"/>
  <c r="H1102" i="22" s="1"/>
  <c r="Q28" i="7"/>
  <c r="F492" i="11"/>
  <c r="H492" i="11" s="1"/>
  <c r="F219" i="11"/>
  <c r="H219" i="11" s="1"/>
  <c r="F356" i="11"/>
  <c r="H356" i="11" s="1"/>
  <c r="F516" i="11"/>
  <c r="H516" i="11" s="1"/>
  <c r="F551" i="11"/>
  <c r="H551" i="11" s="1"/>
  <c r="P28" i="7"/>
  <c r="R28" i="7" s="1"/>
  <c r="F372" i="22"/>
  <c r="H372" i="22" s="1"/>
  <c r="F746" i="22"/>
  <c r="H746" i="22" s="1"/>
  <c r="L90" i="7"/>
  <c r="N19" i="7"/>
  <c r="O19" i="7"/>
  <c r="P25" i="7"/>
  <c r="R25" i="7" s="1"/>
  <c r="F333" i="11"/>
  <c r="H333" i="11" s="1"/>
  <c r="F703" i="22"/>
  <c r="H703" i="22" s="1"/>
  <c r="F416" i="22"/>
  <c r="H416" i="22" s="1"/>
  <c r="Q25" i="7"/>
  <c r="F186" i="11"/>
  <c r="H186" i="11" s="1"/>
  <c r="G97" i="57"/>
  <c r="H97" i="25"/>
  <c r="H1317" i="22"/>
  <c r="G97" i="58"/>
  <c r="G74" i="58"/>
  <c r="H74" i="25"/>
  <c r="G74" i="57"/>
  <c r="H955" i="22"/>
  <c r="H122" i="11"/>
  <c r="H114" i="11" s="1"/>
  <c r="F40" i="12" s="1"/>
  <c r="I40" i="12" s="1"/>
  <c r="L40" i="12" s="1"/>
  <c r="F121" i="11"/>
  <c r="H121" i="11" s="1"/>
  <c r="G76" i="58"/>
  <c r="G76" i="57"/>
  <c r="H76" i="25"/>
  <c r="P47" i="7"/>
  <c r="R47" i="7" s="1"/>
  <c r="Q47" i="7"/>
  <c r="F575" i="11"/>
  <c r="H575" i="11" s="1"/>
  <c r="F1275" i="22"/>
  <c r="H1275" i="22" s="1"/>
  <c r="F79" i="25"/>
  <c r="H1032" i="22"/>
  <c r="E79" i="58"/>
  <c r="E79" i="57"/>
  <c r="H1159" i="22"/>
  <c r="H14" i="22"/>
  <c r="H13" i="22"/>
  <c r="H15" i="22"/>
  <c r="G78" i="58"/>
  <c r="G78" i="57"/>
  <c r="H78" i="25"/>
  <c r="H1015" i="22"/>
  <c r="F690" i="22"/>
  <c r="H690" i="22" s="1"/>
  <c r="H689" i="22" s="1"/>
  <c r="F330" i="11"/>
  <c r="H330" i="11" s="1"/>
  <c r="H329" i="11" s="1"/>
  <c r="H92" i="12" s="1"/>
  <c r="K92" i="12" s="1"/>
  <c r="L92" i="12" s="1"/>
  <c r="F296" i="11"/>
  <c r="H296" i="11" s="1"/>
  <c r="H295" i="11" s="1"/>
  <c r="H82" i="12" s="1"/>
  <c r="K82" i="12" s="1"/>
  <c r="L82" i="12" s="1"/>
  <c r="F616" i="22"/>
  <c r="H616" i="22" s="1"/>
  <c r="H615" i="22" s="1"/>
  <c r="Q64" i="7"/>
  <c r="F885" i="22"/>
  <c r="H885" i="22" s="1"/>
  <c r="F415" i="11"/>
  <c r="H415" i="11" s="1"/>
  <c r="P64" i="7"/>
  <c r="F56" i="11"/>
  <c r="H56" i="11" s="1"/>
  <c r="F146" i="22"/>
  <c r="H146" i="22" s="1"/>
  <c r="Q35" i="7"/>
  <c r="P35" i="7"/>
  <c r="R35" i="7" s="1"/>
  <c r="H678" i="22"/>
  <c r="H679" i="22"/>
  <c r="H680" i="22"/>
  <c r="H80" i="25"/>
  <c r="H1045" i="22"/>
  <c r="G80" i="57"/>
  <c r="G80" i="58"/>
  <c r="G34" i="58"/>
  <c r="G34" i="57"/>
  <c r="H330" i="22"/>
  <c r="H34" i="25"/>
  <c r="F104" i="11"/>
  <c r="H104" i="11" s="1"/>
  <c r="H105" i="11"/>
  <c r="H100" i="11" s="1"/>
  <c r="F38" i="12" s="1"/>
  <c r="I38" i="12" s="1"/>
  <c r="L38" i="12" s="1"/>
  <c r="G79" i="57"/>
  <c r="H79" i="25"/>
  <c r="G79" i="58"/>
  <c r="F1261" i="22"/>
  <c r="H1261" i="22" s="1"/>
  <c r="H1262" i="22" s="1"/>
  <c r="H1259" i="22" s="1"/>
  <c r="F536" i="11"/>
  <c r="H536" i="11" s="1"/>
  <c r="H537" i="11" s="1"/>
  <c r="H534" i="11" s="1"/>
  <c r="H156" i="12" s="1"/>
  <c r="K156" i="12" s="1"/>
  <c r="L156" i="12" s="1"/>
  <c r="F196" i="22"/>
  <c r="H196" i="22" s="1"/>
  <c r="F376" i="11"/>
  <c r="H376" i="11" s="1"/>
  <c r="H377" i="11" s="1"/>
  <c r="H374" i="11" s="1"/>
  <c r="H101" i="12" s="1"/>
  <c r="K101" i="12" s="1"/>
  <c r="L101" i="12" s="1"/>
  <c r="F182" i="11"/>
  <c r="H182" i="11" s="1"/>
  <c r="H183" i="11" s="1"/>
  <c r="H180" i="11" s="1"/>
  <c r="H60" i="12" s="1"/>
  <c r="K60" i="12" s="1"/>
  <c r="L60" i="12" s="1"/>
  <c r="F86" i="11"/>
  <c r="H86" i="11" s="1"/>
  <c r="F1196" i="22"/>
  <c r="H1196" i="22" s="1"/>
  <c r="H1197" i="22" s="1"/>
  <c r="H1194" i="22" s="1"/>
  <c r="Q71" i="7"/>
  <c r="F571" i="11"/>
  <c r="H571" i="11" s="1"/>
  <c r="H572" i="11" s="1"/>
  <c r="H569" i="11" s="1"/>
  <c r="H162" i="12" s="1"/>
  <c r="K162" i="12" s="1"/>
  <c r="L162" i="12" s="1"/>
  <c r="F402" i="22"/>
  <c r="H402" i="22" s="1"/>
  <c r="H403" i="22" s="1"/>
  <c r="H400" i="22" s="1"/>
  <c r="P71" i="7"/>
  <c r="R71" i="7" s="1"/>
  <c r="F509" i="22"/>
  <c r="H509" i="22" s="1"/>
  <c r="H510" i="22" s="1"/>
  <c r="H507" i="22" s="1"/>
  <c r="F239" i="11"/>
  <c r="H239" i="11" s="1"/>
  <c r="H240" i="11" s="1"/>
  <c r="H237" i="11" s="1"/>
  <c r="H70" i="12" s="1"/>
  <c r="K70" i="12" s="1"/>
  <c r="L70" i="12" s="1"/>
  <c r="F776" i="22"/>
  <c r="H776" i="22" s="1"/>
  <c r="H777" i="22" s="1"/>
  <c r="H774" i="22" s="1"/>
  <c r="F301" i="11"/>
  <c r="H301" i="11" s="1"/>
  <c r="H302" i="11" s="1"/>
  <c r="H298" i="11" s="1"/>
  <c r="F86" i="12" s="1"/>
  <c r="I86" i="12" s="1"/>
  <c r="L86" i="12" s="1"/>
  <c r="N45" i="7"/>
  <c r="O45" i="7"/>
  <c r="L135" i="12"/>
  <c r="F459" i="22"/>
  <c r="H459" i="22" s="1"/>
  <c r="F198" i="11"/>
  <c r="H198" i="11" s="1"/>
  <c r="F438" i="22"/>
  <c r="H438" i="22" s="1"/>
  <c r="F209" i="11"/>
  <c r="H209" i="11" s="1"/>
  <c r="H212" i="11" s="1"/>
  <c r="H208" i="11" s="1"/>
  <c r="F66" i="12" s="1"/>
  <c r="I66" i="12" s="1"/>
  <c r="L66" i="12" s="1"/>
  <c r="Q50" i="7"/>
  <c r="P50" i="7"/>
  <c r="R50" i="7" s="1"/>
  <c r="I81" i="25"/>
  <c r="J81" i="25" s="1"/>
  <c r="H81" i="58"/>
  <c r="I81" i="58" s="1"/>
  <c r="H81" i="57"/>
  <c r="I81" i="57" s="1"/>
  <c r="H13" i="25"/>
  <c r="G13" i="57"/>
  <c r="G13" i="58"/>
  <c r="H95" i="22"/>
  <c r="E71" i="58"/>
  <c r="F71" i="25"/>
  <c r="E71" i="57"/>
  <c r="H920" i="22"/>
  <c r="H1221" i="22"/>
  <c r="H1223" i="22"/>
  <c r="H1222" i="22"/>
  <c r="F315" i="22"/>
  <c r="H315" i="22" s="1"/>
  <c r="H316" i="22"/>
  <c r="H312" i="22" s="1"/>
  <c r="G14" i="57"/>
  <c r="G14" i="58"/>
  <c r="H14" i="25"/>
  <c r="H108" i="22"/>
  <c r="H850" i="22"/>
  <c r="G67" i="58"/>
  <c r="G67" i="57"/>
  <c r="H67" i="25"/>
  <c r="G16" i="57"/>
  <c r="H16" i="25"/>
  <c r="H121" i="22"/>
  <c r="G16" i="58"/>
  <c r="H134" i="22"/>
  <c r="G17" i="57"/>
  <c r="G17" i="58"/>
  <c r="H17" i="25"/>
  <c r="F24" i="11"/>
  <c r="H24" i="11" s="1"/>
  <c r="H25" i="11" s="1"/>
  <c r="H21" i="11" s="1"/>
  <c r="H12" i="12" s="1"/>
  <c r="K12" i="12" s="1"/>
  <c r="F210" i="11"/>
  <c r="H210" i="11" s="1"/>
  <c r="F418" i="22"/>
  <c r="H418" i="22" s="1"/>
  <c r="F439" i="22"/>
  <c r="H439" i="22" s="1"/>
  <c r="F212" i="22"/>
  <c r="H212" i="22" s="1"/>
  <c r="H214" i="22" s="1"/>
  <c r="H210" i="22" s="1"/>
  <c r="F199" i="11"/>
  <c r="H199" i="11" s="1"/>
  <c r="F705" i="22"/>
  <c r="H705" i="22" s="1"/>
  <c r="F726" i="22"/>
  <c r="H726" i="22" s="1"/>
  <c r="F460" i="22"/>
  <c r="H460" i="22" s="1"/>
  <c r="F335" i="11"/>
  <c r="H335" i="11" s="1"/>
  <c r="F346" i="11"/>
  <c r="H346" i="11" s="1"/>
  <c r="F188" i="11"/>
  <c r="H188" i="11" s="1"/>
  <c r="F92" i="11"/>
  <c r="H92" i="11" s="1"/>
  <c r="H94" i="11" s="1"/>
  <c r="H90" i="11" s="1"/>
  <c r="F36" i="12" s="1"/>
  <c r="I36" i="12" s="1"/>
  <c r="L36" i="12" s="1"/>
  <c r="Q14" i="7"/>
  <c r="P14" i="7"/>
  <c r="F234" i="22"/>
  <c r="H234" i="22" s="1"/>
  <c r="H235" i="22" s="1"/>
  <c r="H230" i="22" s="1"/>
  <c r="H606" i="22"/>
  <c r="H605" i="22"/>
  <c r="H604" i="22"/>
  <c r="P23" i="7"/>
  <c r="R23" i="7" s="1"/>
  <c r="Q23" i="7"/>
  <c r="F259" i="11"/>
  <c r="H259" i="11" s="1"/>
  <c r="F549" i="22"/>
  <c r="H549" i="22" s="1"/>
  <c r="H809" i="22"/>
  <c r="H810" i="22"/>
  <c r="H808" i="22"/>
  <c r="P72" i="7"/>
  <c r="R72" i="7" s="1"/>
  <c r="F85" i="11"/>
  <c r="H85" i="11" s="1"/>
  <c r="Q72" i="7"/>
  <c r="F195" i="22"/>
  <c r="H195" i="22" s="1"/>
  <c r="F165" i="22"/>
  <c r="H165" i="22" s="1"/>
  <c r="H166" i="22"/>
  <c r="H162" i="22" s="1"/>
  <c r="F44" i="22"/>
  <c r="H44" i="22" s="1"/>
  <c r="H45" i="22" s="1"/>
  <c r="H41" i="22" s="1"/>
  <c r="F1301" i="22"/>
  <c r="H1301" i="22" s="1"/>
  <c r="H1303" i="22" s="1"/>
  <c r="H1300" i="22" s="1"/>
  <c r="F530" i="22"/>
  <c r="H530" i="22" s="1"/>
  <c r="H532" i="22" s="1"/>
  <c r="H529" i="22" s="1"/>
  <c r="Q73" i="7"/>
  <c r="F266" i="11"/>
  <c r="H266" i="11" s="1"/>
  <c r="F170" i="22"/>
  <c r="H170" i="22" s="1"/>
  <c r="P73" i="7"/>
  <c r="R73" i="7" s="1"/>
  <c r="F556" i="22"/>
  <c r="H556" i="22" s="1"/>
  <c r="F250" i="11"/>
  <c r="H250" i="11" s="1"/>
  <c r="H252" i="11" s="1"/>
  <c r="H249" i="11" s="1"/>
  <c r="H72" i="12" s="1"/>
  <c r="K72" i="12" s="1"/>
  <c r="F591" i="11"/>
  <c r="H591" i="11" s="1"/>
  <c r="H593" i="11" s="1"/>
  <c r="H590" i="11" s="1"/>
  <c r="H166" i="12" s="1"/>
  <c r="K166" i="12" s="1"/>
  <c r="F70" i="11"/>
  <c r="H70" i="11" s="1"/>
  <c r="H974" i="22"/>
  <c r="H975" i="22" s="1"/>
  <c r="F65" i="11"/>
  <c r="H65" i="11" s="1"/>
  <c r="H66" i="11"/>
  <c r="H62" i="11" s="1"/>
  <c r="F31" i="12" s="1"/>
  <c r="I31" i="12" s="1"/>
  <c r="G35" i="57"/>
  <c r="G35" i="58"/>
  <c r="H35" i="25"/>
  <c r="H343" i="22"/>
  <c r="F835" i="22"/>
  <c r="H835" i="22" s="1"/>
  <c r="H836" i="22" s="1"/>
  <c r="H832" i="22" s="1"/>
  <c r="F261" i="22"/>
  <c r="H261" i="22" s="1"/>
  <c r="H262" i="22" s="1"/>
  <c r="H254" i="22" s="1"/>
  <c r="H365" i="22"/>
  <c r="F1103" i="22"/>
  <c r="H1103" i="22" s="1"/>
  <c r="H1104" i="22" s="1"/>
  <c r="H1099" i="22" s="1"/>
  <c r="H30" i="22"/>
  <c r="H32" i="22"/>
  <c r="H31" i="22"/>
  <c r="H872" i="22"/>
  <c r="F77" i="22"/>
  <c r="H77" i="22" s="1"/>
  <c r="Q75" i="7"/>
  <c r="P75" i="7"/>
  <c r="R75" i="7" s="1"/>
  <c r="F37" i="11"/>
  <c r="H37" i="11" s="1"/>
  <c r="H944" i="22"/>
  <c r="H945" i="22"/>
  <c r="H1078" i="22"/>
  <c r="H1077" i="22"/>
  <c r="H1079" i="22"/>
  <c r="H9" i="25" l="1"/>
  <c r="G9" i="58"/>
  <c r="H46" i="22"/>
  <c r="G9" i="57"/>
  <c r="L12" i="12"/>
  <c r="E23" i="57"/>
  <c r="E23" i="58"/>
  <c r="H243" i="22"/>
  <c r="F23" i="25"/>
  <c r="H65" i="58"/>
  <c r="H65" i="57"/>
  <c r="I65" i="25"/>
  <c r="E52" i="57"/>
  <c r="F52" i="25"/>
  <c r="E52" i="58"/>
  <c r="H635" i="22"/>
  <c r="G66" i="58"/>
  <c r="G66" i="57"/>
  <c r="H66" i="25"/>
  <c r="H837" i="22"/>
  <c r="H84" i="57"/>
  <c r="I84" i="57" s="1"/>
  <c r="H84" i="58"/>
  <c r="I84" i="58" s="1"/>
  <c r="I84" i="25"/>
  <c r="J84" i="25" s="1"/>
  <c r="E85" i="58"/>
  <c r="H1107" i="22"/>
  <c r="F85" i="25"/>
  <c r="E85" i="57"/>
  <c r="E24" i="58"/>
  <c r="F24" i="25"/>
  <c r="H270" i="22"/>
  <c r="E24" i="57"/>
  <c r="H976" i="22"/>
  <c r="H977" i="22"/>
  <c r="I70" i="25"/>
  <c r="J70" i="25" s="1"/>
  <c r="H70" i="57"/>
  <c r="I70" i="57" s="1"/>
  <c r="H70" i="58"/>
  <c r="I70" i="58" s="1"/>
  <c r="E20" i="58"/>
  <c r="E20" i="57"/>
  <c r="F20" i="25"/>
  <c r="H854" i="22"/>
  <c r="H853" i="22"/>
  <c r="H852" i="22"/>
  <c r="H97" i="22"/>
  <c r="H98" i="22"/>
  <c r="H99" i="22"/>
  <c r="F197" i="22"/>
  <c r="H197" i="22" s="1"/>
  <c r="H198" i="22" s="1"/>
  <c r="H193" i="22" s="1"/>
  <c r="G93" i="58"/>
  <c r="G93" i="57"/>
  <c r="H93" i="25"/>
  <c r="H1263" i="22"/>
  <c r="H123" i="22"/>
  <c r="H124" i="22"/>
  <c r="H125" i="22"/>
  <c r="H1224" i="22"/>
  <c r="F416" i="11"/>
  <c r="H416" i="11" s="1"/>
  <c r="H417" i="11" s="1"/>
  <c r="H414" i="11" s="1"/>
  <c r="H116" i="12" s="1"/>
  <c r="K116" i="12" s="1"/>
  <c r="L116" i="12" s="1"/>
  <c r="H1160" i="22"/>
  <c r="H1161" i="22"/>
  <c r="F420" i="22"/>
  <c r="H420" i="22" s="1"/>
  <c r="H421" i="22" s="1"/>
  <c r="H415" i="22" s="1"/>
  <c r="F493" i="11"/>
  <c r="H493" i="11" s="1"/>
  <c r="H494" i="11" s="1"/>
  <c r="H489" i="11" s="1"/>
  <c r="F146" i="12" s="1"/>
  <c r="I146" i="12" s="1"/>
  <c r="L146" i="12" s="1"/>
  <c r="H33" i="22"/>
  <c r="H347" i="22"/>
  <c r="H345" i="22"/>
  <c r="H348" i="22" s="1"/>
  <c r="H349" i="22" s="1"/>
  <c r="H350" i="22" s="1"/>
  <c r="H346" i="22"/>
  <c r="F71" i="11"/>
  <c r="H71" i="11" s="1"/>
  <c r="H72" i="11" s="1"/>
  <c r="H69" i="11" s="1"/>
  <c r="H31" i="12" s="1"/>
  <c r="K31" i="12" s="1"/>
  <c r="L31" i="12" s="1"/>
  <c r="G44" i="57"/>
  <c r="G44" i="58"/>
  <c r="H44" i="25"/>
  <c r="F87" i="11"/>
  <c r="H87" i="11" s="1"/>
  <c r="H88" i="11" s="1"/>
  <c r="H83" i="11" s="1"/>
  <c r="H33" i="12" s="1"/>
  <c r="K33" i="12" s="1"/>
  <c r="L33" i="12" s="1"/>
  <c r="F201" i="11"/>
  <c r="H201" i="11" s="1"/>
  <c r="H202" i="11"/>
  <c r="H197" i="11" s="1"/>
  <c r="F64" i="12" s="1"/>
  <c r="I64" i="12" s="1"/>
  <c r="L64" i="12" s="1"/>
  <c r="G90" i="57"/>
  <c r="G90" i="58"/>
  <c r="H90" i="25"/>
  <c r="H1198" i="22"/>
  <c r="F886" i="22"/>
  <c r="H886" i="22" s="1"/>
  <c r="H887" i="22" s="1"/>
  <c r="H884" i="22" s="1"/>
  <c r="F707" i="22"/>
  <c r="H707" i="22" s="1"/>
  <c r="H708" i="22" s="1"/>
  <c r="H702" i="22" s="1"/>
  <c r="H751" i="22"/>
  <c r="H745" i="22" s="1"/>
  <c r="F750" i="22"/>
  <c r="H750" i="22" s="1"/>
  <c r="H988" i="22"/>
  <c r="H989" i="22"/>
  <c r="H987" i="22"/>
  <c r="H172" i="22"/>
  <c r="H169" i="22" s="1"/>
  <c r="F171" i="22"/>
  <c r="H171" i="22" s="1"/>
  <c r="F269" i="11"/>
  <c r="H269" i="11" s="1"/>
  <c r="H270" i="11" s="1"/>
  <c r="H265" i="11" s="1"/>
  <c r="H74" i="12" s="1"/>
  <c r="K74" i="12" s="1"/>
  <c r="R64" i="7"/>
  <c r="R90" i="7" s="1"/>
  <c r="H14" i="13" s="1"/>
  <c r="H15" i="13" s="1"/>
  <c r="H12" i="13" s="1"/>
  <c r="P90" i="7"/>
  <c r="H442" i="22"/>
  <c r="H437" i="22" s="1"/>
  <c r="F441" i="22"/>
  <c r="H441" i="22" s="1"/>
  <c r="G95" i="57"/>
  <c r="G95" i="58"/>
  <c r="H95" i="25"/>
  <c r="F728" i="22"/>
  <c r="H728" i="22" s="1"/>
  <c r="H729" i="22"/>
  <c r="H724" i="22" s="1"/>
  <c r="H922" i="22"/>
  <c r="H924" i="22"/>
  <c r="H923" i="22"/>
  <c r="H462" i="22"/>
  <c r="H458" i="22" s="1"/>
  <c r="G60" i="58"/>
  <c r="G60" i="57"/>
  <c r="H60" i="25"/>
  <c r="H778" i="22"/>
  <c r="H681" i="22"/>
  <c r="H338" i="11"/>
  <c r="H332" i="11" s="1"/>
  <c r="F95" i="12" s="1"/>
  <c r="I95" i="12" s="1"/>
  <c r="L95" i="12" s="1"/>
  <c r="F337" i="11"/>
  <c r="H337" i="11" s="1"/>
  <c r="F376" i="22"/>
  <c r="H376" i="22" s="1"/>
  <c r="H377" i="22" s="1"/>
  <c r="H371" i="22" s="1"/>
  <c r="H1143" i="22"/>
  <c r="H1144" i="22" s="1"/>
  <c r="H946" i="22"/>
  <c r="H947" i="22" s="1"/>
  <c r="H138" i="22"/>
  <c r="H136" i="22"/>
  <c r="H137" i="22"/>
  <c r="F348" i="11"/>
  <c r="H348" i="11" s="1"/>
  <c r="H349" i="11" s="1"/>
  <c r="H344" i="11" s="1"/>
  <c r="F97" i="12" s="1"/>
  <c r="I97" i="12" s="1"/>
  <c r="L97" i="12" s="1"/>
  <c r="H111" i="22"/>
  <c r="H112" i="22"/>
  <c r="H110" i="22"/>
  <c r="F223" i="11"/>
  <c r="H223" i="11" s="1"/>
  <c r="H224" i="11"/>
  <c r="H218" i="11" s="1"/>
  <c r="F68" i="12" s="1"/>
  <c r="I68" i="12" s="1"/>
  <c r="L68" i="12" s="1"/>
  <c r="F40" i="11"/>
  <c r="H40" i="11" s="1"/>
  <c r="H41" i="11" s="1"/>
  <c r="H34" i="11" s="1"/>
  <c r="H16" i="12" s="1"/>
  <c r="K16" i="12" s="1"/>
  <c r="R14" i="7"/>
  <c r="R52" i="7" s="1"/>
  <c r="H8" i="13" s="1"/>
  <c r="H9" i="13" s="1"/>
  <c r="H6" i="13" s="1"/>
  <c r="H16" i="13" s="1"/>
  <c r="G32" i="57"/>
  <c r="H32" i="25"/>
  <c r="G32" i="58"/>
  <c r="H317" i="22"/>
  <c r="H49" i="25"/>
  <c r="G49" i="57"/>
  <c r="G49" i="58"/>
  <c r="H617" i="22"/>
  <c r="H1035" i="22"/>
  <c r="H1036" i="22"/>
  <c r="H1034" i="22"/>
  <c r="H1037" i="22" s="1"/>
  <c r="H1038" i="22" s="1"/>
  <c r="H1321" i="22"/>
  <c r="H1320" i="22"/>
  <c r="H1319" i="22"/>
  <c r="F483" i="22"/>
  <c r="H483" i="22" s="1"/>
  <c r="H484" i="22" s="1"/>
  <c r="H478" i="22" s="1"/>
  <c r="G38" i="57"/>
  <c r="H38" i="25"/>
  <c r="G38" i="58"/>
  <c r="H404" i="22"/>
  <c r="H1019" i="22"/>
  <c r="H1018" i="22"/>
  <c r="H1017" i="22"/>
  <c r="H1020" i="22" s="1"/>
  <c r="H1021" i="22" s="1"/>
  <c r="H1022" i="22" s="1"/>
  <c r="F80" i="22"/>
  <c r="H80" i="22" s="1"/>
  <c r="H81" i="22"/>
  <c r="H74" i="22" s="1"/>
  <c r="H811" i="22"/>
  <c r="H1080" i="22"/>
  <c r="H873" i="22"/>
  <c r="H874" i="22" s="1"/>
  <c r="H366" i="22"/>
  <c r="H367" i="22"/>
  <c r="F559" i="22"/>
  <c r="H559" i="22" s="1"/>
  <c r="H560" i="22"/>
  <c r="H555" i="22" s="1"/>
  <c r="H607" i="22"/>
  <c r="Q45" i="7"/>
  <c r="F545" i="22"/>
  <c r="H545" i="22" s="1"/>
  <c r="F255" i="11"/>
  <c r="H255" i="11" s="1"/>
  <c r="P45" i="7"/>
  <c r="R45" i="7" s="1"/>
  <c r="H43" i="25"/>
  <c r="G43" i="58"/>
  <c r="G43" i="57"/>
  <c r="H511" i="22"/>
  <c r="H1049" i="22"/>
  <c r="H1047" i="22"/>
  <c r="H1048" i="22"/>
  <c r="F555" i="11"/>
  <c r="H555" i="11" s="1"/>
  <c r="H556" i="11"/>
  <c r="H550" i="11" s="1"/>
  <c r="F160" i="12" s="1"/>
  <c r="I160" i="12" s="1"/>
  <c r="L160" i="12" s="1"/>
  <c r="F1235" i="22"/>
  <c r="H1235" i="22" s="1"/>
  <c r="H1236" i="22" s="1"/>
  <c r="H1230" i="22" s="1"/>
  <c r="H219" i="22"/>
  <c r="E22" i="57"/>
  <c r="F22" i="25"/>
  <c r="E22" i="58"/>
  <c r="F147" i="22"/>
  <c r="H147" i="22" s="1"/>
  <c r="H148" i="22" s="1"/>
  <c r="H145" i="22" s="1"/>
  <c r="F574" i="22"/>
  <c r="H574" i="22" s="1"/>
  <c r="H575" i="22" s="1"/>
  <c r="H572" i="22" s="1"/>
  <c r="F274" i="11"/>
  <c r="H274" i="11" s="1"/>
  <c r="H275" i="11" s="1"/>
  <c r="H272" i="11" s="1"/>
  <c r="F77" i="12" s="1"/>
  <c r="I77" i="12" s="1"/>
  <c r="L77" i="12" s="1"/>
  <c r="F576" i="11"/>
  <c r="H576" i="11" s="1"/>
  <c r="P19" i="7"/>
  <c r="R19" i="7" s="1"/>
  <c r="F308" i="11"/>
  <c r="H308" i="11" s="1"/>
  <c r="H309" i="11" s="1"/>
  <c r="H306" i="11" s="1"/>
  <c r="F88" i="12" s="1"/>
  <c r="I88" i="12" s="1"/>
  <c r="L88" i="12" s="1"/>
  <c r="F244" i="11"/>
  <c r="H244" i="11" s="1"/>
  <c r="H246" i="11" s="1"/>
  <c r="H242" i="11" s="1"/>
  <c r="F72" i="12" s="1"/>
  <c r="I72" i="12" s="1"/>
  <c r="L72" i="12" s="1"/>
  <c r="F1276" i="22"/>
  <c r="H1276" i="22" s="1"/>
  <c r="H1277" i="22" s="1"/>
  <c r="H1274" i="22" s="1"/>
  <c r="F524" i="22"/>
  <c r="H524" i="22" s="1"/>
  <c r="H526" i="22" s="1"/>
  <c r="H522" i="22" s="1"/>
  <c r="F585" i="11"/>
  <c r="H585" i="11" s="1"/>
  <c r="H587" i="11" s="1"/>
  <c r="H583" i="11" s="1"/>
  <c r="F166" i="12" s="1"/>
  <c r="I166" i="12" s="1"/>
  <c r="L166" i="12" s="1"/>
  <c r="F1295" i="22"/>
  <c r="H1295" i="22" s="1"/>
  <c r="H1297" i="22" s="1"/>
  <c r="H1293" i="22" s="1"/>
  <c r="Q19" i="7"/>
  <c r="F648" i="22"/>
  <c r="H648" i="22" s="1"/>
  <c r="H649" i="22" s="1"/>
  <c r="H646" i="22" s="1"/>
  <c r="F520" i="11"/>
  <c r="H520" i="11" s="1"/>
  <c r="H521" i="11" s="1"/>
  <c r="H515" i="11" s="1"/>
  <c r="F154" i="12" s="1"/>
  <c r="I154" i="12" s="1"/>
  <c r="L154" i="12" s="1"/>
  <c r="F1170" i="22"/>
  <c r="H1170" i="22" s="1"/>
  <c r="H1171" i="22" s="1"/>
  <c r="H1165" i="22" s="1"/>
  <c r="H334" i="22"/>
  <c r="H333" i="22"/>
  <c r="H332" i="22"/>
  <c r="H335" i="22" s="1"/>
  <c r="H336" i="22" s="1"/>
  <c r="H337" i="22" s="1"/>
  <c r="F57" i="11"/>
  <c r="H57" i="11" s="1"/>
  <c r="H58" i="11"/>
  <c r="H55" i="11" s="1"/>
  <c r="F29" i="12" s="1"/>
  <c r="I29" i="12" s="1"/>
  <c r="G55" i="57"/>
  <c r="H691" i="22"/>
  <c r="H55" i="25"/>
  <c r="G55" i="58"/>
  <c r="H16" i="22"/>
  <c r="H577" i="11"/>
  <c r="H574" i="11" s="1"/>
  <c r="F164" i="12" s="1"/>
  <c r="I164" i="12" s="1"/>
  <c r="L164" i="12" s="1"/>
  <c r="H959" i="22"/>
  <c r="H957" i="22"/>
  <c r="H960" i="22" s="1"/>
  <c r="H958" i="22"/>
  <c r="F190" i="11"/>
  <c r="H190" i="11" s="1"/>
  <c r="H191" i="11"/>
  <c r="H185" i="11" s="1"/>
  <c r="F62" i="12" s="1"/>
  <c r="I62" i="12" s="1"/>
  <c r="L62" i="12" s="1"/>
  <c r="N52" i="7"/>
  <c r="F360" i="11"/>
  <c r="H360" i="11" s="1"/>
  <c r="H361" i="11" s="1"/>
  <c r="H355" i="11" s="1"/>
  <c r="F99" i="12" s="1"/>
  <c r="I99" i="12" s="1"/>
  <c r="L99" i="12" s="1"/>
  <c r="H167" i="11"/>
  <c r="H161" i="11" s="1"/>
  <c r="F58" i="12" s="1"/>
  <c r="I58" i="12" s="1"/>
  <c r="L58" i="12" s="1"/>
  <c r="F166" i="11"/>
  <c r="H166" i="11" s="1"/>
  <c r="H1332" i="22"/>
  <c r="H1334" i="22"/>
  <c r="H1333" i="22"/>
  <c r="E94" i="57" l="1"/>
  <c r="E94" i="58"/>
  <c r="H1282" i="22"/>
  <c r="F94" i="25"/>
  <c r="H351" i="22"/>
  <c r="H352" i="22" s="1"/>
  <c r="G21" i="58"/>
  <c r="G21" i="57"/>
  <c r="H21" i="25"/>
  <c r="H199" i="22"/>
  <c r="E42" i="57"/>
  <c r="H487" i="22"/>
  <c r="E42" i="58"/>
  <c r="F42" i="25"/>
  <c r="L16" i="12"/>
  <c r="L173" i="12" s="1"/>
  <c r="L174" i="12" s="1"/>
  <c r="K173" i="12"/>
  <c r="K174" i="12" s="1"/>
  <c r="H1023" i="22"/>
  <c r="H1024" i="22" s="1"/>
  <c r="H72" i="57"/>
  <c r="I72" i="57" s="1"/>
  <c r="H72" i="58"/>
  <c r="I72" i="58" s="1"/>
  <c r="I72" i="25"/>
  <c r="J72" i="25" s="1"/>
  <c r="G69" i="57"/>
  <c r="G69" i="58"/>
  <c r="H69" i="25"/>
  <c r="H888" i="22"/>
  <c r="H1174" i="22"/>
  <c r="E89" i="58"/>
  <c r="E89" i="57"/>
  <c r="F89" i="25"/>
  <c r="H338" i="22"/>
  <c r="H339" i="22" s="1"/>
  <c r="H1145" i="22"/>
  <c r="H1146" i="22"/>
  <c r="E39" i="57"/>
  <c r="H426" i="22"/>
  <c r="F39" i="25"/>
  <c r="E39" i="58"/>
  <c r="F92" i="25"/>
  <c r="H1239" i="22"/>
  <c r="E92" i="57"/>
  <c r="E92" i="58"/>
  <c r="E57" i="57"/>
  <c r="H713" i="22"/>
  <c r="E57" i="58"/>
  <c r="F57" i="25"/>
  <c r="E19" i="58"/>
  <c r="F19" i="25"/>
  <c r="H151" i="22"/>
  <c r="E19" i="57"/>
  <c r="H875" i="22"/>
  <c r="H876" i="22"/>
  <c r="E37" i="58"/>
  <c r="E37" i="57"/>
  <c r="H380" i="22"/>
  <c r="F37" i="25"/>
  <c r="H533" i="22"/>
  <c r="E44" i="58"/>
  <c r="F44" i="25"/>
  <c r="E44" i="57"/>
  <c r="H514" i="22"/>
  <c r="H513" i="22"/>
  <c r="H516" i="22" s="1"/>
  <c r="H517" i="22" s="1"/>
  <c r="H518" i="22" s="1"/>
  <c r="H515" i="22"/>
  <c r="H608" i="22"/>
  <c r="H609" i="22" s="1"/>
  <c r="H812" i="22"/>
  <c r="H813" i="22" s="1"/>
  <c r="H406" i="22"/>
  <c r="H408" i="22"/>
  <c r="H407" i="22"/>
  <c r="H621" i="22"/>
  <c r="H619" i="22"/>
  <c r="H620" i="22"/>
  <c r="P52" i="7"/>
  <c r="H139" i="22"/>
  <c r="H754" i="22"/>
  <c r="E59" i="57"/>
  <c r="E59" i="58"/>
  <c r="F59" i="25"/>
  <c r="H273" i="22"/>
  <c r="H274" i="22"/>
  <c r="H272" i="22"/>
  <c r="G45" i="58"/>
  <c r="G45" i="57"/>
  <c r="H45" i="25"/>
  <c r="H682" i="22"/>
  <c r="H683" i="22" s="1"/>
  <c r="H990" i="22"/>
  <c r="H855" i="22"/>
  <c r="H840" i="22"/>
  <c r="H839" i="22"/>
  <c r="H841" i="22"/>
  <c r="H369" i="22"/>
  <c r="H368" i="22"/>
  <c r="H780" i="22"/>
  <c r="H781" i="22"/>
  <c r="H782" i="22"/>
  <c r="H447" i="22"/>
  <c r="F40" i="25"/>
  <c r="E40" i="57"/>
  <c r="E40" i="58"/>
  <c r="H1162" i="22"/>
  <c r="H1163" i="22" s="1"/>
  <c r="H20" i="25"/>
  <c r="G20" i="58"/>
  <c r="G20" i="57"/>
  <c r="H1039" i="22"/>
  <c r="H321" i="22"/>
  <c r="H319" i="22"/>
  <c r="H322" i="22" s="1"/>
  <c r="H323" i="22" s="1"/>
  <c r="H320" i="22"/>
  <c r="H925" i="22"/>
  <c r="H126" i="22"/>
  <c r="E53" i="57"/>
  <c r="F53" i="25"/>
  <c r="E53" i="58"/>
  <c r="H654" i="22"/>
  <c r="F261" i="11"/>
  <c r="H261" i="11" s="1"/>
  <c r="H262" i="11" s="1"/>
  <c r="H254" i="11" s="1"/>
  <c r="F74" i="12" s="1"/>
  <c r="I74" i="12" s="1"/>
  <c r="L74" i="12" s="1"/>
  <c r="E58" i="57"/>
  <c r="F58" i="25"/>
  <c r="H734" i="22"/>
  <c r="E58" i="58"/>
  <c r="H1200" i="22"/>
  <c r="H1202" i="22"/>
  <c r="H1201" i="22"/>
  <c r="H1267" i="22"/>
  <c r="H1265" i="22"/>
  <c r="H1266" i="22"/>
  <c r="I75" i="25"/>
  <c r="J75" i="25" s="1"/>
  <c r="H75" i="58"/>
  <c r="I75" i="58" s="1"/>
  <c r="H75" i="57"/>
  <c r="I75" i="57" s="1"/>
  <c r="H1111" i="22"/>
  <c r="H1109" i="22"/>
  <c r="H1110" i="22"/>
  <c r="H50" i="22"/>
  <c r="H49" i="22"/>
  <c r="H48" i="22"/>
  <c r="H18" i="13"/>
  <c r="H21" i="13" s="1"/>
  <c r="H22" i="13" s="1"/>
  <c r="H23" i="13" s="1"/>
  <c r="H19" i="13"/>
  <c r="H20" i="13"/>
  <c r="H17" i="22"/>
  <c r="H18" i="22"/>
  <c r="H1335" i="22"/>
  <c r="H961" i="22"/>
  <c r="H962" i="22" s="1"/>
  <c r="H1304" i="22"/>
  <c r="E95" i="57"/>
  <c r="F95" i="25"/>
  <c r="E95" i="58"/>
  <c r="H221" i="22"/>
  <c r="H222" i="22"/>
  <c r="H223" i="22"/>
  <c r="H1050" i="22"/>
  <c r="F551" i="22"/>
  <c r="H551" i="22" s="1"/>
  <c r="H552" i="22" s="1"/>
  <c r="H544" i="22" s="1"/>
  <c r="H639" i="22"/>
  <c r="H638" i="22"/>
  <c r="H637" i="22"/>
  <c r="L29" i="12"/>
  <c r="I173" i="12"/>
  <c r="I174" i="12" s="1"/>
  <c r="G11" i="57"/>
  <c r="H11" i="25"/>
  <c r="G11" i="58"/>
  <c r="H82" i="22"/>
  <c r="H695" i="22"/>
  <c r="H693" i="22"/>
  <c r="H694" i="22"/>
  <c r="H580" i="22"/>
  <c r="E47" i="58"/>
  <c r="F47" i="25"/>
  <c r="E47" i="57"/>
  <c r="H1081" i="22"/>
  <c r="H1082" i="22" s="1"/>
  <c r="H1322" i="22"/>
  <c r="H113" i="22"/>
  <c r="E41" i="58"/>
  <c r="E41" i="57"/>
  <c r="F41" i="25"/>
  <c r="H467" i="22"/>
  <c r="H34" i="22"/>
  <c r="H35" i="22"/>
  <c r="H1225" i="22"/>
  <c r="H1226" i="22" s="1"/>
  <c r="H100" i="22"/>
  <c r="H173" i="22"/>
  <c r="H246" i="22"/>
  <c r="H245" i="22"/>
  <c r="H248" i="22" s="1"/>
  <c r="H247" i="22"/>
  <c r="H963" i="22" l="1"/>
  <c r="H964" i="22" s="1"/>
  <c r="H814" i="22"/>
  <c r="H815" i="22" s="1"/>
  <c r="H35" i="58"/>
  <c r="I35" i="25"/>
  <c r="H35" i="57"/>
  <c r="H34" i="57"/>
  <c r="H33" i="57" s="1"/>
  <c r="I33" i="57" s="1"/>
  <c r="H34" i="58"/>
  <c r="I34" i="25"/>
  <c r="H684" i="22"/>
  <c r="H685" i="22"/>
  <c r="I88" i="25"/>
  <c r="J88" i="25" s="1"/>
  <c r="H88" i="58"/>
  <c r="I88" i="58" s="1"/>
  <c r="H88" i="57"/>
  <c r="I88" i="57" s="1"/>
  <c r="H1227" i="22"/>
  <c r="H1228" i="22" s="1"/>
  <c r="H519" i="22"/>
  <c r="H520" i="22" s="1"/>
  <c r="F45" i="25"/>
  <c r="E45" i="57"/>
  <c r="H561" i="22"/>
  <c r="E45" i="58"/>
  <c r="H78" i="57"/>
  <c r="I78" i="57" s="1"/>
  <c r="I78" i="25"/>
  <c r="J78" i="25" s="1"/>
  <c r="H78" i="58"/>
  <c r="I78" i="58" s="1"/>
  <c r="H610" i="22"/>
  <c r="H611" i="22"/>
  <c r="H1083" i="22"/>
  <c r="H1084" i="22" s="1"/>
  <c r="C5" i="14"/>
  <c r="H24" i="13"/>
  <c r="H25" i="13"/>
  <c r="H85" i="22"/>
  <c r="H86" i="22"/>
  <c r="H84" i="22"/>
  <c r="H1336" i="22"/>
  <c r="H1337" i="22" s="1"/>
  <c r="H737" i="22"/>
  <c r="H736" i="22"/>
  <c r="H739" i="22" s="1"/>
  <c r="H740" i="22" s="1"/>
  <c r="H738" i="22"/>
  <c r="H1040" i="22"/>
  <c r="H1041" i="22" s="1"/>
  <c r="H991" i="22"/>
  <c r="H992" i="22"/>
  <c r="H275" i="22"/>
  <c r="H1243" i="22"/>
  <c r="H1241" i="22"/>
  <c r="H1242" i="22"/>
  <c r="H384" i="22"/>
  <c r="H382" i="22"/>
  <c r="H385" i="22" s="1"/>
  <c r="H383" i="22"/>
  <c r="H386" i="22"/>
  <c r="H387" i="22"/>
  <c r="H101" i="22"/>
  <c r="H102" i="22" s="1"/>
  <c r="H584" i="22"/>
  <c r="H582" i="22"/>
  <c r="H583" i="22"/>
  <c r="H224" i="22"/>
  <c r="H51" i="22"/>
  <c r="H926" i="22"/>
  <c r="H927" i="22"/>
  <c r="H450" i="22"/>
  <c r="H449" i="22"/>
  <c r="H451" i="22"/>
  <c r="H409" i="22"/>
  <c r="H176" i="22"/>
  <c r="H177" i="22"/>
  <c r="H175" i="22"/>
  <c r="H622" i="22"/>
  <c r="H127" i="22"/>
  <c r="H128" i="22" s="1"/>
  <c r="H249" i="22"/>
  <c r="H250" i="22" s="1"/>
  <c r="H68" i="57"/>
  <c r="I68" i="57" s="1"/>
  <c r="I68" i="25"/>
  <c r="J68" i="25" s="1"/>
  <c r="H68" i="58"/>
  <c r="I68" i="58" s="1"/>
  <c r="H717" i="22"/>
  <c r="H715" i="22"/>
  <c r="H716" i="22"/>
  <c r="H428" i="22"/>
  <c r="H431" i="22" s="1"/>
  <c r="H432" i="22" s="1"/>
  <c r="H430" i="22"/>
  <c r="H429" i="22"/>
  <c r="H491" i="22"/>
  <c r="H489" i="22"/>
  <c r="H490" i="22"/>
  <c r="H19" i="22"/>
  <c r="H20" i="22" s="1"/>
  <c r="H36" i="22"/>
  <c r="H37" i="22" s="1"/>
  <c r="H1051" i="22"/>
  <c r="H1052" i="22"/>
  <c r="H658" i="22"/>
  <c r="H657" i="22"/>
  <c r="H656" i="22"/>
  <c r="H324" i="22"/>
  <c r="H842" i="22"/>
  <c r="H1177" i="22"/>
  <c r="H1176" i="22"/>
  <c r="H1178" i="22"/>
  <c r="H1284" i="22"/>
  <c r="H1285" i="22"/>
  <c r="H1286" i="22"/>
  <c r="H36" i="57"/>
  <c r="I36" i="57" s="1"/>
  <c r="H36" i="58"/>
  <c r="I36" i="58" s="1"/>
  <c r="I36" i="25"/>
  <c r="J36" i="25" s="1"/>
  <c r="H114" i="22"/>
  <c r="H115" i="22" s="1"/>
  <c r="H1323" i="22"/>
  <c r="H1324" i="22"/>
  <c r="H696" i="22"/>
  <c r="H640" i="22"/>
  <c r="H1308" i="22"/>
  <c r="H1306" i="22"/>
  <c r="H1309" i="22" s="1"/>
  <c r="H1307" i="22"/>
  <c r="H1112" i="22"/>
  <c r="H1268" i="22"/>
  <c r="H1203" i="22"/>
  <c r="H758" i="22"/>
  <c r="H756" i="22"/>
  <c r="H757" i="22"/>
  <c r="H87" i="58"/>
  <c r="I87" i="58" s="1"/>
  <c r="I87" i="25"/>
  <c r="J87" i="25" s="1"/>
  <c r="H87" i="57"/>
  <c r="I87" i="57" s="1"/>
  <c r="H890" i="22"/>
  <c r="H892" i="22"/>
  <c r="H891" i="22"/>
  <c r="H202" i="22"/>
  <c r="H203" i="22"/>
  <c r="H201" i="22"/>
  <c r="H469" i="22"/>
  <c r="H471" i="22"/>
  <c r="H470" i="22"/>
  <c r="H783" i="22"/>
  <c r="H857" i="22"/>
  <c r="H856" i="22"/>
  <c r="H140" i="22"/>
  <c r="H141" i="22"/>
  <c r="H537" i="22"/>
  <c r="H535" i="22"/>
  <c r="H538" i="22" s="1"/>
  <c r="H539" i="22" s="1"/>
  <c r="H540" i="22" s="1"/>
  <c r="H536" i="22"/>
  <c r="H154" i="22"/>
  <c r="H155" i="22"/>
  <c r="H153" i="22"/>
  <c r="H156" i="22" s="1"/>
  <c r="H157" i="22" s="1"/>
  <c r="H116" i="22" l="1"/>
  <c r="H117" i="22"/>
  <c r="H1338" i="22"/>
  <c r="H1339" i="22" s="1"/>
  <c r="H8" i="58"/>
  <c r="I8" i="58" s="1"/>
  <c r="I8" i="25"/>
  <c r="J8" i="25" s="1"/>
  <c r="H8" i="57"/>
  <c r="I8" i="57" s="1"/>
  <c r="I91" i="25"/>
  <c r="J91" i="25" s="1"/>
  <c r="H91" i="58"/>
  <c r="I91" i="58" s="1"/>
  <c r="H91" i="57"/>
  <c r="I91" i="57" s="1"/>
  <c r="I79" i="25"/>
  <c r="J79" i="25" s="1"/>
  <c r="H79" i="57"/>
  <c r="I79" i="57" s="1"/>
  <c r="H79" i="58"/>
  <c r="I79" i="58" s="1"/>
  <c r="H541" i="22"/>
  <c r="H542" i="22" s="1"/>
  <c r="H103" i="22"/>
  <c r="H104" i="22" s="1"/>
  <c r="I7" i="25"/>
  <c r="J7" i="25" s="1"/>
  <c r="H7" i="57"/>
  <c r="I7" i="57" s="1"/>
  <c r="H7" i="58"/>
  <c r="I7" i="58" s="1"/>
  <c r="H64" i="57"/>
  <c r="H63" i="57" s="1"/>
  <c r="I63" i="57" s="1"/>
  <c r="I64" i="25"/>
  <c r="I63" i="25" s="1"/>
  <c r="J63" i="25" s="1"/>
  <c r="H64" i="58"/>
  <c r="H63" i="58" s="1"/>
  <c r="I63" i="58" s="1"/>
  <c r="H129" i="22"/>
  <c r="H130" i="22" s="1"/>
  <c r="I43" i="25"/>
  <c r="J43" i="25" s="1"/>
  <c r="H43" i="58"/>
  <c r="I43" i="58" s="1"/>
  <c r="H43" i="57"/>
  <c r="I43" i="57" s="1"/>
  <c r="H251" i="22"/>
  <c r="H252" i="22"/>
  <c r="H83" i="57"/>
  <c r="I83" i="57" s="1"/>
  <c r="I83" i="25"/>
  <c r="J83" i="25" s="1"/>
  <c r="H83" i="58"/>
  <c r="I83" i="58" s="1"/>
  <c r="H74" i="57"/>
  <c r="I74" i="57" s="1"/>
  <c r="I74" i="25"/>
  <c r="J74" i="25" s="1"/>
  <c r="H74" i="58"/>
  <c r="I74" i="58" s="1"/>
  <c r="H1113" i="22"/>
  <c r="H1114" i="22" s="1"/>
  <c r="H158" i="22"/>
  <c r="H843" i="22"/>
  <c r="H844" i="22"/>
  <c r="H492" i="22"/>
  <c r="H410" i="22"/>
  <c r="H411" i="22" s="1"/>
  <c r="H52" i="22"/>
  <c r="H53" i="22"/>
  <c r="H87" i="22"/>
  <c r="H564" i="22"/>
  <c r="H563" i="22"/>
  <c r="H566" i="22" s="1"/>
  <c r="H567" i="22" s="1"/>
  <c r="H565" i="22"/>
  <c r="H1269" i="22"/>
  <c r="H1270" i="22"/>
  <c r="H1054" i="22"/>
  <c r="H1053" i="22"/>
  <c r="H325" i="22"/>
  <c r="H326" i="22"/>
  <c r="H225" i="22"/>
  <c r="H226" i="22" s="1"/>
  <c r="H388" i="22"/>
  <c r="H389" i="22"/>
  <c r="H1244" i="22"/>
  <c r="H48" i="57"/>
  <c r="I48" i="57" s="1"/>
  <c r="I48" i="25"/>
  <c r="J48" i="25" s="1"/>
  <c r="H48" i="58"/>
  <c r="I48" i="58" s="1"/>
  <c r="H697" i="22"/>
  <c r="H698" i="22" s="1"/>
  <c r="H142" i="22"/>
  <c r="H143" i="22" s="1"/>
  <c r="H472" i="22"/>
  <c r="H759" i="22"/>
  <c r="H1310" i="22"/>
  <c r="H1311" i="22" s="1"/>
  <c r="H1287" i="22"/>
  <c r="H433" i="22"/>
  <c r="H718" i="22"/>
  <c r="H623" i="22"/>
  <c r="H624" i="22" s="1"/>
  <c r="I54" i="25"/>
  <c r="J54" i="25" s="1"/>
  <c r="H54" i="57"/>
  <c r="I54" i="57" s="1"/>
  <c r="H54" i="58"/>
  <c r="I54" i="58" s="1"/>
  <c r="D5" i="14"/>
  <c r="D6" i="14" s="1"/>
  <c r="E5" i="14"/>
  <c r="E6" i="14" s="1"/>
  <c r="E7" i="14" s="1"/>
  <c r="C6" i="14"/>
  <c r="G8" i="18"/>
  <c r="H1325" i="22"/>
  <c r="H1326" i="22"/>
  <c r="H178" i="22"/>
  <c r="H452" i="22"/>
  <c r="H276" i="22"/>
  <c r="H277" i="22"/>
  <c r="H741" i="22"/>
  <c r="H204" i="22"/>
  <c r="H1179" i="22"/>
  <c r="H659" i="22"/>
  <c r="H585" i="22"/>
  <c r="H993" i="22"/>
  <c r="H994" i="22" s="1"/>
  <c r="G5" i="14"/>
  <c r="H26" i="13"/>
  <c r="I33" i="25"/>
  <c r="J33" i="25" s="1"/>
  <c r="H928" i="22"/>
  <c r="H929" i="22" s="1"/>
  <c r="H858" i="22"/>
  <c r="H859" i="22"/>
  <c r="H893" i="22"/>
  <c r="H784" i="22"/>
  <c r="H785" i="22" s="1"/>
  <c r="H1204" i="22"/>
  <c r="H1205" i="22"/>
  <c r="H642" i="22"/>
  <c r="H641" i="22"/>
  <c r="H33" i="58"/>
  <c r="I33" i="58" s="1"/>
  <c r="H413" i="22" l="1"/>
  <c r="H412" i="22"/>
  <c r="H13" i="57"/>
  <c r="H13" i="58"/>
  <c r="I13" i="25"/>
  <c r="I12" i="25" s="1"/>
  <c r="J12" i="25" s="1"/>
  <c r="I76" i="25"/>
  <c r="J76" i="25" s="1"/>
  <c r="H76" i="57"/>
  <c r="I76" i="57" s="1"/>
  <c r="H76" i="58"/>
  <c r="I76" i="58" s="1"/>
  <c r="I16" i="25"/>
  <c r="I15" i="25" s="1"/>
  <c r="J15" i="25" s="1"/>
  <c r="H16" i="57"/>
  <c r="H16" i="58"/>
  <c r="H44" i="57"/>
  <c r="I44" i="57" s="1"/>
  <c r="I44" i="25"/>
  <c r="J44" i="25" s="1"/>
  <c r="H44" i="58"/>
  <c r="I44" i="58" s="1"/>
  <c r="I17" i="25"/>
  <c r="H17" i="57"/>
  <c r="H17" i="58"/>
  <c r="H98" i="58"/>
  <c r="I98" i="25"/>
  <c r="H98" i="57"/>
  <c r="H786" i="22"/>
  <c r="H787" i="22" s="1"/>
  <c r="H227" i="22"/>
  <c r="H228" i="22" s="1"/>
  <c r="H625" i="22"/>
  <c r="H626" i="22" s="1"/>
  <c r="H699" i="22"/>
  <c r="H700" i="22" s="1"/>
  <c r="H1312" i="22"/>
  <c r="H1313" i="22" s="1"/>
  <c r="I71" i="25"/>
  <c r="J71" i="25" s="1"/>
  <c r="H71" i="57"/>
  <c r="I71" i="57" s="1"/>
  <c r="H71" i="58"/>
  <c r="I71" i="58" s="1"/>
  <c r="H1115" i="22"/>
  <c r="H1116" i="22" s="1"/>
  <c r="H80" i="58"/>
  <c r="I80" i="58" s="1"/>
  <c r="I80" i="25"/>
  <c r="J80" i="25" s="1"/>
  <c r="H80" i="57"/>
  <c r="I80" i="57" s="1"/>
  <c r="I37" i="25"/>
  <c r="J37" i="25" s="1"/>
  <c r="H37" i="57"/>
  <c r="I37" i="57" s="1"/>
  <c r="H37" i="58"/>
  <c r="I37" i="58" s="1"/>
  <c r="H205" i="22"/>
  <c r="H206" i="22"/>
  <c r="N8" i="18"/>
  <c r="N7" i="18" s="1"/>
  <c r="H8" i="18"/>
  <c r="H7" i="18" s="1"/>
  <c r="H6" i="18" s="1"/>
  <c r="O8" i="18"/>
  <c r="O7" i="18" s="1"/>
  <c r="O6" i="18" s="1"/>
  <c r="P8" i="18"/>
  <c r="P7" i="18" s="1"/>
  <c r="G7" i="18"/>
  <c r="H643" i="22"/>
  <c r="H644" i="22" s="1"/>
  <c r="H1245" i="22"/>
  <c r="H1246" i="22" s="1"/>
  <c r="H1180" i="22"/>
  <c r="H1181" i="22" s="1"/>
  <c r="H742" i="22"/>
  <c r="H743" i="22"/>
  <c r="H719" i="22"/>
  <c r="H720" i="22"/>
  <c r="I97" i="25"/>
  <c r="I96" i="25" s="1"/>
  <c r="J96" i="25" s="1"/>
  <c r="H97" i="58"/>
  <c r="H96" i="58" s="1"/>
  <c r="I96" i="58" s="1"/>
  <c r="H97" i="57"/>
  <c r="H96" i="57" s="1"/>
  <c r="I96" i="57" s="1"/>
  <c r="H54" i="22"/>
  <c r="H55" i="22" s="1"/>
  <c r="H159" i="22"/>
  <c r="H160" i="22"/>
  <c r="I23" i="25"/>
  <c r="J23" i="25" s="1"/>
  <c r="H23" i="58"/>
  <c r="I23" i="58" s="1"/>
  <c r="H23" i="57"/>
  <c r="I23" i="57" s="1"/>
  <c r="H1288" i="22"/>
  <c r="H1289" i="22"/>
  <c r="I32" i="25"/>
  <c r="J32" i="25" s="1"/>
  <c r="H32" i="57"/>
  <c r="I32" i="57" s="1"/>
  <c r="H32" i="58"/>
  <c r="I32" i="58" s="1"/>
  <c r="H493" i="22"/>
  <c r="H494" i="22" s="1"/>
  <c r="H473" i="22"/>
  <c r="H474" i="22"/>
  <c r="H88" i="22"/>
  <c r="H89" i="22" s="1"/>
  <c r="H1206" i="22"/>
  <c r="H1207" i="22" s="1"/>
  <c r="H1272" i="22"/>
  <c r="H1271" i="22"/>
  <c r="G6" i="14"/>
  <c r="G7" i="14" s="1"/>
  <c r="F5" i="14"/>
  <c r="F6" i="14" s="1"/>
  <c r="H434" i="22"/>
  <c r="H435" i="22" s="1"/>
  <c r="H67" i="58"/>
  <c r="I67" i="58" s="1"/>
  <c r="I67" i="25"/>
  <c r="J67" i="25" s="1"/>
  <c r="H67" i="57"/>
  <c r="I67" i="57" s="1"/>
  <c r="H568" i="22"/>
  <c r="H845" i="22"/>
  <c r="H846" i="22"/>
  <c r="H14" i="58"/>
  <c r="H14" i="57"/>
  <c r="I14" i="25"/>
  <c r="H660" i="22"/>
  <c r="H661" i="22" s="1"/>
  <c r="H278" i="22"/>
  <c r="H279" i="22"/>
  <c r="H894" i="22"/>
  <c r="H895" i="22" s="1"/>
  <c r="H453" i="22"/>
  <c r="H454" i="22" s="1"/>
  <c r="H587" i="22"/>
  <c r="H586" i="22"/>
  <c r="H179" i="22"/>
  <c r="H180" i="22" s="1"/>
  <c r="H760" i="22"/>
  <c r="H761" i="22" s="1"/>
  <c r="H495" i="22" l="1"/>
  <c r="H496" i="22" s="1"/>
  <c r="H897" i="22"/>
  <c r="H896" i="22"/>
  <c r="H22" i="58"/>
  <c r="I22" i="58" s="1"/>
  <c r="H22" i="57"/>
  <c r="I22" i="57" s="1"/>
  <c r="I22" i="25"/>
  <c r="J22" i="25" s="1"/>
  <c r="H85" i="57"/>
  <c r="I85" i="57" s="1"/>
  <c r="H85" i="58"/>
  <c r="I85" i="58" s="1"/>
  <c r="I85" i="25"/>
  <c r="J85" i="25" s="1"/>
  <c r="H49" i="57"/>
  <c r="I49" i="57" s="1"/>
  <c r="H49" i="58"/>
  <c r="I49" i="58" s="1"/>
  <c r="I49" i="25"/>
  <c r="J49" i="25" s="1"/>
  <c r="H1247" i="22"/>
  <c r="H1248" i="22" s="1"/>
  <c r="H762" i="22"/>
  <c r="H763" i="22"/>
  <c r="H52" i="57"/>
  <c r="I52" i="57" s="1"/>
  <c r="I52" i="25"/>
  <c r="J52" i="25" s="1"/>
  <c r="H52" i="58"/>
  <c r="I52" i="58" s="1"/>
  <c r="H455" i="22"/>
  <c r="H456" i="22" s="1"/>
  <c r="H1182" i="22"/>
  <c r="H1183" i="22" s="1"/>
  <c r="H90" i="58"/>
  <c r="I90" i="58" s="1"/>
  <c r="H90" i="57"/>
  <c r="I90" i="57" s="1"/>
  <c r="I90" i="25"/>
  <c r="J90" i="25" s="1"/>
  <c r="H90" i="22"/>
  <c r="H91" i="22"/>
  <c r="H181" i="22"/>
  <c r="H182" i="22"/>
  <c r="I55" i="25"/>
  <c r="J55" i="25" s="1"/>
  <c r="H55" i="57"/>
  <c r="I55" i="57" s="1"/>
  <c r="H55" i="58"/>
  <c r="I55" i="58" s="1"/>
  <c r="I9" i="25"/>
  <c r="J9" i="25" s="1"/>
  <c r="H9" i="58"/>
  <c r="I9" i="58" s="1"/>
  <c r="H9" i="57"/>
  <c r="I9" i="57" s="1"/>
  <c r="H60" i="58"/>
  <c r="I60" i="58" s="1"/>
  <c r="H60" i="57"/>
  <c r="I60" i="57" s="1"/>
  <c r="I60" i="25"/>
  <c r="J60" i="25" s="1"/>
  <c r="H663" i="22"/>
  <c r="H662" i="22"/>
  <c r="H39" i="58"/>
  <c r="I39" i="58" s="1"/>
  <c r="H39" i="57"/>
  <c r="I39" i="57" s="1"/>
  <c r="I39" i="25"/>
  <c r="J39" i="25" s="1"/>
  <c r="H95" i="58"/>
  <c r="I95" i="58" s="1"/>
  <c r="H95" i="57"/>
  <c r="I95" i="57" s="1"/>
  <c r="I95" i="25"/>
  <c r="J95" i="25" s="1"/>
  <c r="H1291" i="22"/>
  <c r="H1290" i="22"/>
  <c r="I8" i="18"/>
  <c r="H58" i="57"/>
  <c r="I58" i="57" s="1"/>
  <c r="I58" i="25"/>
  <c r="J58" i="25" s="1"/>
  <c r="H58" i="58"/>
  <c r="I58" i="58" s="1"/>
  <c r="M7" i="18"/>
  <c r="G50" i="18"/>
  <c r="G6" i="18"/>
  <c r="I7" i="18"/>
  <c r="I6" i="18" s="1"/>
  <c r="H38" i="57"/>
  <c r="I38" i="57" s="1"/>
  <c r="H38" i="58"/>
  <c r="I38" i="58" s="1"/>
  <c r="I38" i="25"/>
  <c r="J38" i="25" s="1"/>
  <c r="H24" i="58"/>
  <c r="I24" i="58" s="1"/>
  <c r="I24" i="25"/>
  <c r="J24" i="25" s="1"/>
  <c r="H24" i="57"/>
  <c r="I24" i="57" s="1"/>
  <c r="H66" i="57"/>
  <c r="I66" i="57" s="1"/>
  <c r="H66" i="58"/>
  <c r="I66" i="58" s="1"/>
  <c r="I66" i="25"/>
  <c r="J66" i="25" s="1"/>
  <c r="H475" i="22"/>
  <c r="H476" i="22"/>
  <c r="G31" i="18"/>
  <c r="P6" i="18"/>
  <c r="G16" i="18"/>
  <c r="G32" i="18"/>
  <c r="H569" i="22"/>
  <c r="H570" i="22"/>
  <c r="N6" i="18"/>
  <c r="E4" i="36"/>
  <c r="D27" i="18" s="1"/>
  <c r="G27" i="18" s="1"/>
  <c r="H12" i="58"/>
  <c r="I12" i="58" s="1"/>
  <c r="H588" i="22"/>
  <c r="H589" i="22" s="1"/>
  <c r="H93" i="58"/>
  <c r="I93" i="58" s="1"/>
  <c r="I93" i="25"/>
  <c r="J93" i="25" s="1"/>
  <c r="H93" i="57"/>
  <c r="I93" i="57" s="1"/>
  <c r="H19" i="57"/>
  <c r="I19" i="57" s="1"/>
  <c r="I19" i="25"/>
  <c r="J19" i="25" s="1"/>
  <c r="H19" i="58"/>
  <c r="I19" i="58" s="1"/>
  <c r="H721" i="22"/>
  <c r="H722" i="22"/>
  <c r="H207" i="22"/>
  <c r="H208" i="22" s="1"/>
  <c r="H15" i="58"/>
  <c r="I15" i="58" s="1"/>
  <c r="H12" i="57"/>
  <c r="I12" i="57" s="1"/>
  <c r="H15" i="57"/>
  <c r="I15" i="57" s="1"/>
  <c r="I89" i="25" l="1"/>
  <c r="J89" i="25" s="1"/>
  <c r="H89" i="57"/>
  <c r="I89" i="57" s="1"/>
  <c r="H89" i="58"/>
  <c r="I89" i="58" s="1"/>
  <c r="H92" i="58"/>
  <c r="I92" i="58" s="1"/>
  <c r="H92" i="57"/>
  <c r="I92" i="57" s="1"/>
  <c r="I92" i="25"/>
  <c r="J92" i="25" s="1"/>
  <c r="H21" i="58"/>
  <c r="I21" i="58" s="1"/>
  <c r="I21" i="25"/>
  <c r="J21" i="25" s="1"/>
  <c r="J100" i="25" s="1"/>
  <c r="H21" i="57"/>
  <c r="I21" i="57" s="1"/>
  <c r="H47" i="58"/>
  <c r="I47" i="58" s="1"/>
  <c r="I47" i="25"/>
  <c r="J47" i="25" s="1"/>
  <c r="H47" i="57"/>
  <c r="I47" i="57" s="1"/>
  <c r="H40" i="57"/>
  <c r="I40" i="57" s="1"/>
  <c r="I40" i="25"/>
  <c r="J40" i="25" s="1"/>
  <c r="H40" i="58"/>
  <c r="I40" i="58" s="1"/>
  <c r="H42" i="57"/>
  <c r="I42" i="57" s="1"/>
  <c r="I100" i="57" s="1"/>
  <c r="H42" i="58"/>
  <c r="I42" i="58" s="1"/>
  <c r="I42" i="25"/>
  <c r="J42" i="25" s="1"/>
  <c r="H94" i="58"/>
  <c r="I94" i="58" s="1"/>
  <c r="I94" i="25"/>
  <c r="J94" i="25" s="1"/>
  <c r="H94" i="57"/>
  <c r="I94" i="57" s="1"/>
  <c r="H53" i="58"/>
  <c r="I53" i="58" s="1"/>
  <c r="I53" i="25"/>
  <c r="J53" i="25" s="1"/>
  <c r="H53" i="57"/>
  <c r="I53" i="57" s="1"/>
  <c r="H59" i="57"/>
  <c r="I59" i="57" s="1"/>
  <c r="H59" i="58"/>
  <c r="I59" i="58" s="1"/>
  <c r="I59" i="25"/>
  <c r="J59" i="25" s="1"/>
  <c r="H16" i="18"/>
  <c r="I16" i="18" s="1"/>
  <c r="H50" i="18"/>
  <c r="I50" i="18"/>
  <c r="G68" i="18"/>
  <c r="H20" i="57"/>
  <c r="I20" i="57" s="1"/>
  <c r="H20" i="58"/>
  <c r="I20" i="58" s="1"/>
  <c r="I20" i="25"/>
  <c r="J20" i="25" s="1"/>
  <c r="H57" i="57"/>
  <c r="I57" i="57" s="1"/>
  <c r="I57" i="25"/>
  <c r="J57" i="25" s="1"/>
  <c r="H57" i="58"/>
  <c r="I57" i="58" s="1"/>
  <c r="I32" i="18"/>
  <c r="H32" i="18"/>
  <c r="G18" i="18"/>
  <c r="H27" i="18"/>
  <c r="H18" i="18" s="1"/>
  <c r="H31" i="18"/>
  <c r="G61" i="18"/>
  <c r="I31" i="18"/>
  <c r="H45" i="57"/>
  <c r="I45" i="57" s="1"/>
  <c r="I45" i="25"/>
  <c r="J45" i="25" s="1"/>
  <c r="H45" i="58"/>
  <c r="I45" i="58" s="1"/>
  <c r="H41" i="58"/>
  <c r="I41" i="58" s="1"/>
  <c r="H41" i="57"/>
  <c r="I41" i="57" s="1"/>
  <c r="I41" i="25"/>
  <c r="J41" i="25" s="1"/>
  <c r="H11" i="58"/>
  <c r="I11" i="58" s="1"/>
  <c r="I100" i="58" s="1"/>
  <c r="H11" i="57"/>
  <c r="I11" i="57" s="1"/>
  <c r="I11" i="25"/>
  <c r="J11" i="25" s="1"/>
  <c r="H69" i="57"/>
  <c r="I69" i="57" s="1"/>
  <c r="I69" i="25"/>
  <c r="J69" i="25" s="1"/>
  <c r="H69" i="58"/>
  <c r="I69" i="58" s="1"/>
  <c r="L6" i="18"/>
  <c r="E12" i="28" l="1"/>
  <c r="J101" i="25"/>
  <c r="L16" i="18"/>
  <c r="I61" i="18"/>
  <c r="I56" i="18" s="1"/>
  <c r="L56" i="18" s="1"/>
  <c r="L72" i="18" s="1"/>
  <c r="G56" i="18"/>
  <c r="H68" i="18"/>
  <c r="H56" i="18" s="1"/>
  <c r="I68" i="18"/>
  <c r="I27" i="18"/>
  <c r="I18" i="18" s="1"/>
  <c r="L18" i="18" s="1"/>
  <c r="M71" i="18" l="1"/>
  <c r="C15" i="17" s="1"/>
  <c r="J118" i="25"/>
  <c r="J107" i="25"/>
  <c r="J115" i="25"/>
  <c r="J121" i="25"/>
  <c r="I125" i="25"/>
  <c r="I70" i="18"/>
  <c r="E11" i="28"/>
  <c r="E9" i="28" s="1"/>
  <c r="C12" i="28"/>
  <c r="C11" i="28" s="1"/>
  <c r="C9" i="28" s="1"/>
  <c r="G41" i="18" l="1"/>
  <c r="G16" i="28"/>
  <c r="C15" i="27" s="1"/>
  <c r="E15" i="28"/>
  <c r="D12" i="28"/>
  <c r="D11" i="28" s="1"/>
  <c r="D9" i="28" s="1"/>
  <c r="H15" i="17"/>
  <c r="E15" i="17"/>
  <c r="E16" i="17" s="1"/>
  <c r="C16" i="17"/>
  <c r="G70" i="18"/>
  <c r="G69" i="18" s="1"/>
  <c r="G72" i="18" s="1"/>
  <c r="H70" i="18"/>
  <c r="H69" i="18" s="1"/>
  <c r="H72" i="18" s="1"/>
  <c r="H78" i="18" s="1"/>
  <c r="L70" i="18"/>
  <c r="I69" i="18"/>
  <c r="I72" i="18" s="1"/>
  <c r="N72" i="18" l="1"/>
  <c r="I78" i="18"/>
  <c r="I79" i="18" s="1"/>
  <c r="H41" i="18"/>
  <c r="I41" i="18" s="1"/>
  <c r="I15" i="17"/>
  <c r="H16" i="17"/>
  <c r="E15" i="27"/>
  <c r="E16" i="27" s="1"/>
  <c r="H15" i="27"/>
  <c r="C16" i="27"/>
  <c r="I15" i="27" l="1"/>
  <c r="H16" i="27"/>
  <c r="E16" i="28" s="1"/>
  <c r="E14" i="28" s="1"/>
  <c r="C14" i="28" l="1"/>
  <c r="C17" i="28" s="1"/>
  <c r="E17" i="28"/>
  <c r="E18" i="28" s="1"/>
  <c r="G48" i="18" l="1"/>
  <c r="G45" i="18"/>
  <c r="G47" i="18"/>
  <c r="D14" i="28"/>
  <c r="D17" i="28" s="1"/>
  <c r="H45" i="18" l="1"/>
  <c r="I45" i="18" s="1"/>
  <c r="H47" i="18"/>
  <c r="I47" i="18" s="1"/>
  <c r="H48" i="18"/>
  <c r="I48" i="18" s="1"/>
</calcChain>
</file>

<file path=xl/comments1.xml><?xml version="1.0" encoding="utf-8"?>
<comments xmlns="http://schemas.openxmlformats.org/spreadsheetml/2006/main">
  <authors>
    <author>Admin</author>
  </authors>
  <commentList>
    <comment ref="B164" authorId="0" shapeId="0">
      <text>
        <r>
          <rPr>
            <b/>
            <sz val="9"/>
            <color indexed="81"/>
            <rFont val="Tahoma"/>
            <family val="2"/>
          </rPr>
          <t>Admin:</t>
        </r>
        <r>
          <rPr>
            <sz val="9"/>
            <color indexed="81"/>
            <rFont val="Tahoma"/>
            <family val="2"/>
          </rPr>
          <t xml:space="preserve">
Trụ cứu hỏa</t>
        </r>
      </text>
    </comment>
  </commentList>
</comments>
</file>

<file path=xl/comments2.xml><?xml version="1.0" encoding="utf-8"?>
<comments xmlns="http://schemas.openxmlformats.org/spreadsheetml/2006/main">
  <authors>
    <author/>
  </authors>
  <commentList>
    <comment ref="E23" authorId="0" shapeId="0">
      <text>
        <r>
          <rPr>
            <sz val="8.25"/>
            <color indexed="8"/>
            <rFont val="Microsoft Sans Serif"/>
            <family val="2"/>
          </rPr>
          <t>Click vào nút này để áp giá xăng, dầu và điện</t>
        </r>
      </text>
    </comment>
  </commentList>
</comments>
</file>

<file path=xl/sharedStrings.xml><?xml version="1.0" encoding="utf-8"?>
<sst xmlns="http://schemas.openxmlformats.org/spreadsheetml/2006/main" count="6806" uniqueCount="2014">
  <si>
    <t>BẢNG DỰ TOÁN HẠNG MỤC CÔNG TRÌNH</t>
  </si>
  <si>
    <t>(đ)</t>
  </si>
  <si>
    <t>CÔNG TRÌNH : SỬA CHỮA TUYẾN ĐƯỜNG TỪ NHÀ BÀ TRƯỜNG, TỔ 5 PHƯỜNG VẠN HƯƠNG ĐẾN NHÀ BÀ KIM, TỔ DÂN PHỐ BẮC HẢI PHƯỜNG BÀNG LA</t>
  </si>
  <si>
    <t>SỬA CHỮA NỀN MẶT ĐƯỜNG, HỆ THỐNG THOÁT NƯỚC</t>
  </si>
  <si>
    <t>STT</t>
  </si>
  <si>
    <t>Ký hiệu
bản vẽ</t>
  </si>
  <si>
    <t>Mã hiệu
định mức</t>
  </si>
  <si>
    <t>Mã hiệu
vữa</t>
  </si>
  <si>
    <t>Mã hiệu
công tác</t>
  </si>
  <si>
    <t>Danh mục công tác / Diễn giải KL</t>
  </si>
  <si>
    <t>Đơn vị
tính</t>
  </si>
  <si>
    <t>Số
C.K</t>
  </si>
  <si>
    <t>Kích thước</t>
  </si>
  <si>
    <t>Hệ số
phụ</t>
  </si>
  <si>
    <t>Tổng
dài</t>
  </si>
  <si>
    <t>D.tích
(M2)</t>
  </si>
  <si>
    <t>K.L
C.Kiện</t>
  </si>
  <si>
    <t>Khối lượng</t>
  </si>
  <si>
    <t>Hệ số điều chỉnh</t>
  </si>
  <si>
    <t>Dữ liệu đã dùng</t>
  </si>
  <si>
    <t>Hao phí định mức</t>
  </si>
  <si>
    <t>Hệ số định mức</t>
  </si>
  <si>
    <t>Thời điểm thi công</t>
  </si>
  <si>
    <t>Tỉnh TP / Chuyên ngành</t>
  </si>
  <si>
    <t>Dài</t>
  </si>
  <si>
    <t>Rộng</t>
  </si>
  <si>
    <t>Cao</t>
  </si>
  <si>
    <t>Vật liệu</t>
  </si>
  <si>
    <t>V.L phụ</t>
  </si>
  <si>
    <t>Nhân công</t>
  </si>
  <si>
    <t>Máy T.C</t>
  </si>
  <si>
    <t>Máy thi công</t>
  </si>
  <si>
    <t>V.L</t>
  </si>
  <si>
    <t>N.C</t>
  </si>
  <si>
    <t>Máy</t>
  </si>
  <si>
    <t>Đơn giá</t>
  </si>
  <si>
    <t>Giá máy</t>
  </si>
  <si>
    <t>Bắt đầu</t>
  </si>
  <si>
    <t>Kết thúc</t>
  </si>
  <si>
    <t>HM</t>
  </si>
  <si>
    <t>*</t>
  </si>
  <si>
    <t>AA.22310</t>
  </si>
  <si>
    <t>Phá dỡ kết cấu bê tông bằng máy đào 1,25m3 gắn đầu búa thủy lực</t>
  </si>
  <si>
    <t>m3</t>
  </si>
  <si>
    <t>DG2595_2022HP_XD</t>
  </si>
  <si>
    <t>Giá máy 156/2022/QĐ-SXD Vùng 1</t>
  </si>
  <si>
    <t>N1.30~Nhân công 3,0/7 - Nhóm 1~công~0.013~0.013~221303~221303~0~1~1~0~0~N1.30~~0</t>
  </si>
  <si>
    <t>M101.0115~Máy đào 1,25 m3 gắn đầu búa thủy lực / hàm kẹp~ca~0.022~0.022~4267355~4293002~293092~1~1~0~0~M15A~(Theo Giá máy 156/2022/QĐ-SXD Vùng 1)~0</t>
  </si>
  <si>
    <t>HaiPhong</t>
  </si>
  <si>
    <t>90,89 = 90,89</t>
  </si>
  <si>
    <t>AB.31122</t>
  </si>
  <si>
    <t>Đào nền đường, đất cấp II</t>
  </si>
  <si>
    <t>100m3</t>
  </si>
  <si>
    <t>N1.30~Nhân công 3,0/7 - Nhóm 1~công~3.43~3.43~221303~221303~0~1~1~0~0~N1.30~~0</t>
  </si>
  <si>
    <t>M101.0104~Máy đào một gầu, bánh xích - dung tích gầu : 0,80 m3~ca~0.355~0.355~2938899~2958984~293092~1~1~0~0~M6~(Theo Giá máy 156/2022/QĐ-SXD Vùng 1)~0žM101.0503~Máy ủi - công suất : 110,0 CV~ca~0.047~0.047~2096893~2111107~293092~1~1~0~0~M45~(Theo Giá máy 156/2022/QĐ-SXD Vùng 1)~0</t>
  </si>
  <si>
    <t>778,25/100 = 7,7825</t>
  </si>
  <si>
    <t>AB.64113</t>
  </si>
  <si>
    <t>Lớp đất núi đầm chặt K95, dày 30cm</t>
  </si>
  <si>
    <t>N1.30~Nhân công 3,0/7 - Nhóm 1~công~1.65~1.65~221303~221303~0~1~1~0~0~N1.30~~0</t>
  </si>
  <si>
    <t>M101.1102~Máy lu bánh thép tự hành - trọng lượng tĩnh : 8,5 T - 9 T~ca~0.42~0.42~1152746~1160162~293092~1~1~0~0~M87~(Theo Giá máy 156/2022/QĐ-SXD Vùng 1)~0žM101.0503~Máy ủi - công suất : 110,0 CV~ca~0.21~0.21~2096893~2111107~293092~1~1~0~0~M45~(Theo Giá máy 156/2022/QĐ-SXD Vùng 1)~0žM999~Máy khác~%~1.5~1.5~9245.0085~9306.0051~0~1~1~0~0~~~0</t>
  </si>
  <si>
    <t>520,56/100 = 5,2056</t>
  </si>
  <si>
    <t>TT</t>
  </si>
  <si>
    <t>Tiền đất núi</t>
  </si>
  <si>
    <t>520,56*1,13 = 588,2328</t>
  </si>
  <si>
    <t>AD.11222</t>
  </si>
  <si>
    <t>Cấp phối đá dăm loại I, lớp trên dày 18 cm</t>
  </si>
  <si>
    <t>A24.0251~Cấp phối đá dăm loại I~m3~134~134~184843~285000~0~1~1~0~313500~CapPhoiDaDam~~0</t>
  </si>
  <si>
    <t>N2.30~Nhân công 3,0/7 - Nhóm 2~công~3.52~3.52~239592~239592~0~1~1~0~0~N2.30~~0</t>
  </si>
  <si>
    <t>M105.0401~Máy rải cấp phối đá dăm - năng suất : 50 m3/h - 60 m3/h~ca~0.21~0.21~3778425~3787695~591513~1~1~0~0~M594~(Theo Giá máy 156/2022/QĐ-SXD Vùng 1)~0žM101.1006~Máy lu rung tự hành - trọng lượng tĩnh : 25T~ca~0.32~0.32~3200091~3220793~293092~1~1~0~0~M84~(Theo Giá máy 156/2022/QĐ-SXD Vùng 1)~0žM101.0902~Máy lu bánh hơi tự hành - trọng lượng tĩnh : 16,0 T~ca~0.15~0.15~1781990~1793732~293092~1~1~0~0~M78~(Theo Giá máy 156/2022/QĐ-SXD Vùng 1)~0žM101.1103~Máy lu bánh thép tự hành - trọng lượng tĩnh : 10,0 T~ca~0.26~0.26~1287637~1295671~293092~1~1~0~0~M88~(Theo Giá máy 156/2022/QĐ-SXD Vùng 1)~0žM106.0502~Ô tô tưới nước - dung tích : 5,0 m3~ca~0.21~0.21~1271914~1279021~320339~1~1~0~0~M135~(Theo Giá máy 156/2022/QĐ-SXD Vùng 1)~0žM999~Máy khác~%~0.5~0.5~26866.8443~27005.9838~0~1~1~0~0~~~0</t>
  </si>
  <si>
    <t>312,34/100 = 3,1234</t>
  </si>
  <si>
    <t>AB.41413</t>
  </si>
  <si>
    <t>M106.0202~Ô tô tự đổ - trọng tải : 5,0 T~ca~1.711~1.711~1727890~1740559~270000~1~1~0~0~M107~(Theo Giá máy 156/2022/QĐ-SXD Vùng 1)~0</t>
  </si>
  <si>
    <t xml:space="preserve">Kl đào phá lớp BTXM hiện trạng: </t>
  </si>
  <si>
    <t>AB.42213</t>
  </si>
  <si>
    <t>Vận chuyển đất bằng ô tô tự đổ 5T 1km tiếp theo ngoài phạm vi 5km, đất cấp III</t>
  </si>
  <si>
    <t>M106.0202~Ô tô tự đổ - trọng tải : 5,0 T~ca~0.571~0.571~1727890~1740559~270000~1~1~0~0~M107~(Theo Giá máy 156/2022/QĐ-SXD Vùng 1)~0</t>
  </si>
  <si>
    <t>AB.41412</t>
  </si>
  <si>
    <t>Vận chuyển đất bằng ôtô tự đổ 5 tấn trong phạm vi &lt;= 1000m, đất cấp II</t>
  </si>
  <si>
    <t>M106.0202~Ô tô tự đổ - trọng tải : 5,0 T~ca~1.329~1.329~1727890~1740559~270000~1~1~0~0~M107~(Theo Giá máy 156/2022/QĐ-SXD Vùng 1)~0</t>
  </si>
  <si>
    <t>KL đất đào nền đường:</t>
  </si>
  <si>
    <t>AB.42212</t>
  </si>
  <si>
    <t>Vận chuyển đất bằng ô tô tự đổ 5T 1km tiếp theo ngoài phạm vi 5km, đất cấp II</t>
  </si>
  <si>
    <t>M106.0202~Ô tô tự đổ - trọng tải : 5,0 T~ca~0.51~0.51~1727890~1740559~270000~1~1~0~0~M107~(Theo Giá máy 156/2022/QĐ-SXD Vùng 1)~0</t>
  </si>
  <si>
    <t>I.B. MẶT ĐƯỜNG</t>
  </si>
  <si>
    <t>AL.16122</t>
  </si>
  <si>
    <t>Nilon chống mất nước xi măng</t>
  </si>
  <si>
    <t>100m2</t>
  </si>
  <si>
    <t>A24.0782~Nilon chống mất nước XM~m2~105~105~11100~10500~0~1~1~0~11550~VaiDiaKyThuat~~0žZ999~Vât liệu khác~%~0.2~0.2~11655~11025~0~1~1~0~0~VatLieuKhac~~0</t>
  </si>
  <si>
    <t>N2.35~Nhân công 3,5/7 - Nhóm 2~công~1.08~1.08~262000~262000~0~1~1~0~0~N2.35~~0</t>
  </si>
  <si>
    <t>1735,2/100 = 17,352</t>
  </si>
  <si>
    <t>AF.82411</t>
  </si>
  <si>
    <t>Ván khuôn thép. Ván khuôn mặt đường</t>
  </si>
  <si>
    <t>A24.0921~Thép hình, thép tấm~kg~31.5~31.5~19250~19500~0~1~1~0~21450~ThepTam~~0žA24.0543~Que hàn~kg~1.58~1.58~25000~25000~0~1~1~0~27500~QueHan~~0žZ999~Vât liệu khác~%~5~5~6458.75~6537.5~0~1~1~0~0~VatLieuKhac~~0</t>
  </si>
  <si>
    <t>N2.40~Nhân công 4,0/7 - Nhóm 2~công~11.5~11.5~284408~284408~0~1~1~0~0~N2.40~~0</t>
  </si>
  <si>
    <t>M112.4003~Máy hàn xoay chiều - công suất : 23,0 kW~ca~0.42~0.42~411700~402656~293092~1~1~0~0~M423~(Theo Giá máy 156/2022/QĐ-SXD Vùng 1)~0žM999~Máy khác~%~2~2~1729.14~1691.1552~0~1~1~0~0~~~0</t>
  </si>
  <si>
    <t>181,23/100 = 1,8123</t>
  </si>
  <si>
    <t>AF.15410</t>
  </si>
  <si>
    <t>C2234</t>
  </si>
  <si>
    <t>AF.15434A</t>
  </si>
  <si>
    <t>Đổ bê tông thủ công bằng máy trộn, bê tông mặt đường, chiều dày mặt đường &lt;=25 cm, đá 2x4, mác 250, PCB30</t>
  </si>
  <si>
    <t>A24.0797A~Xi măng PCB30~kg~348.5~348.5~1380~1481~0~1~1~0~1629.1~XiMangPCB30~(Áp theo Thông báo giá VL số : 08/2022/CBG-SXD của Sở XD TP Hải Phòng ngày 09/08/2022. Vùng : 16)~0žA24.0180~Cát vàng~m3~0.529925~0.529925~450000~500000~0~1~1~0~550000~CatVang~~0žA24.0009~Đá 2x4~m3~0.859975~0.859975~320000~340000~0~1~1~0~374000~Da2x4~~0žA24.0524~Nước~lít~177.325~177.325~12~20~0~1~1~0~22~Nuoc(Lit)~~0žZ999~Vât liệu khác~%~1.5~1.5~9967.1615~10770.29~0~1~1~0~0~VatLieuKhac~~0</t>
  </si>
  <si>
    <t>N2.35~Nhân công 3,5/7 - Nhóm 2~công~1.37~1.37~262000~262000~0~1~1~0~0~N2.35~~0</t>
  </si>
  <si>
    <t>M104.0102~Máy trộn bê tông - dung tích : 250,0 lít~ca~0.095~0.095~320806~318734~246908~1~1~0~0~M270~(Theo Giá máy 156/2022/QĐ-SXD Vùng 1)~0žM112.1101~Máy đầm bê tông, đầm bàn - công suất : 1,0 kW~ca~0.089~0.089~272875~271933~246908~1~1~0~0~M305~(Theo Giá máy 156/2022/QĐ-SXD Vùng 1)~0žM112.1301~Máy đầm bê tông, dầm dùi - công suất : 1,5 kW~ca~0.089~0.089~276782~275463~246908~1~1~0~0~M310~(Theo Giá máy 156/2022/QĐ-SXD Vùng 1)~0žM999~Máy khác~%~2~2~793.96043~789.97974~0~1~1~0~0~~~0</t>
  </si>
  <si>
    <t>Mặt đường mở rộng: 351,93 = 351,93</t>
  </si>
  <si>
    <t>Vuốt nối: 2,93 = 2,93</t>
  </si>
  <si>
    <t>AK.41110</t>
  </si>
  <si>
    <t>B1224</t>
  </si>
  <si>
    <t>AK.41114A (VD)</t>
  </si>
  <si>
    <t>Đánh bóng bề mặt đường BTXM bằng máy xoa, kết hợp bổ sung xi măng</t>
  </si>
  <si>
    <t>m2</t>
  </si>
  <si>
    <t>A24.0797A~Xi măng PCB30~kg~10.75~10.75~1380~1481~0~0.7~1~0~1629.1~XiMangPCB30~(Áp theo Thông báo giá VL số : 08/2022/CBG-SXD của Sở XD TP Hải Phòng ngày 09/08/2022. Vùng : 16)~0žA24.0176~Cát mịn ML=1,5-2,0~m3~0~0~400000~450000~0~1~1~0~495000~CatMin~~0žA24.0524~Nước~lít~0~0~12~20~0~1~1~0~22~Nuoc(Lit)~~0</t>
  </si>
  <si>
    <t>N2.40~Nhân công 4,0/7 - Nhóm 2~công~0.068~0.068~284408~284408~0~0.5~1~0~0~N2.40~~0</t>
  </si>
  <si>
    <t>TT*~Máy xoa~Ca~0.02~0.02~200000~200000~246908~1~0~0~0~~~0</t>
  </si>
  <si>
    <t>1735,2 = 1735,2</t>
  </si>
  <si>
    <t>AL.24111</t>
  </si>
  <si>
    <t>Thi công khe co sân, bãi, mặt đường bê tông</t>
  </si>
  <si>
    <t>m</t>
  </si>
  <si>
    <t>A24.0480~Ma tít chèn khe~kg~1.36~1.36~4700~4700~0~1~1~0~5170~MaTit~~0žA24.0520~Nhựa đường~kg~0.13~0.13~15300~17100~0~1~1~0~18810~NhuaDuong~~0žA24.1074~Thép F25~kg~3.8~3.8~19200~19500~0~1~1~0~21450~Thep~~0žZ999~Vât liệu khác~%~5~5~813.41~827.15~0~1~1~0~0~VatLieuKhac~~0</t>
  </si>
  <si>
    <t>N2.35~Nhân công 3,5/7 - Nhóm 2~công~0.09~0.09~262000~262000~0~1~1~0~0~N2.35~~0</t>
  </si>
  <si>
    <t>M112.2601~Máy cắt uốn cốt thép - công suất : 5,0 kW~ca~0.013~0.013~281286~279591~246908~1~1~0~0~M454~(Theo Giá máy 156/2022/QĐ-SXD Vùng 1)~0žM108.0306~Máy nén khí, động cơ diezel - năng suất : 600,00 m3/h~ca~0.005~0.005~1842337~1856860~293092~1~1~0~0~M404~(Theo Giá máy 156/2022/QĐ-SXD Vùng 1)~0žM999~Máy khác~%~2~2~128.68403~129.18983~0~1~1~0~0~~~0</t>
  </si>
  <si>
    <t>268 = 268</t>
  </si>
  <si>
    <t>AL.24112</t>
  </si>
  <si>
    <t>Làm khe giãn, bố trí 20m/Khe giãn sâu 20cm</t>
  </si>
  <si>
    <t>A24.0480~Ma tít chèn khe~kg~1.33~1.33~4700~4700~0~1~1~0~5170~MaTit~~0žA24.0520~Nhựa đường~kg~0.25~0.25~15300~17100~0~1~1~0~18810~NhuaDuong~~0žA24.1074~Thép F25~kg~7.65~7.65~19200~19500~0~1~1~0~21450~Thep~~0žA24.0489~Mùn cưa~kg~0.43~0.43~233~233~0~1~1~0~256.3~MunCua~~0žA24.0233~Cao su đệm~m~1.2~1.2~5000~12000~0~1~1~0~13200~CaoSuDem~~0žA24.0334~ống nhựa F42~m~1.59~1.59~12818~18500~0~1~1~0~20350~OngNhua~~0žZ999~Vât liệu khác~%~5~5~1834.3681~2036.1619~0~1~1~0~0~VatLieuKhac~~0</t>
  </si>
  <si>
    <t>N2.35~Nhân công 3,5/7 - Nhóm 2~công~0.22~0.22~262000~262000~0~1~1~0~0~N2.35~~0</t>
  </si>
  <si>
    <t>M112.2601~Máy cắt uốn cốt thép - công suất : 5,0 kW~ca~0.026~0.026~281286~279591~246908~1~1~0~0~M454~(Theo Giá máy 156/2022/QĐ-SXD Vùng 1)~0žM108.0306~Máy nén khí, động cơ diezel - năng suất : 600,00 m3/h~ca~0.005~0.005~1842337~1856860~293092~1~1~0~0~M404~(Theo Giá máy 156/2022/QĐ-SXD Vùng 1)~0žM999~Máy khác~%~2~2~165.25121~165.53666~0~1~1~0~0~~~0</t>
  </si>
  <si>
    <t>89 = 89</t>
  </si>
  <si>
    <t>T*</t>
  </si>
  <si>
    <t>II.1. GA, CỐNG DƯỚI ĐƯỜNG</t>
  </si>
  <si>
    <t>* GA THU NƯỚC:</t>
  </si>
  <si>
    <t>AB.25112</t>
  </si>
  <si>
    <t>N1.30~Nhân công 3,0/7 - Nhóm 1~công~3.8~3.8~221303~221303~0~1~1~0~0~N1.30~~0</t>
  </si>
  <si>
    <t>M101.0104~Máy đào một gầu, bánh xích - dung tích gầu : 0,80 m3~ca~0.372~0.372~2938899~2958984~293092~1~1~0~0~M6~(Theo Giá máy 156/2022/QĐ-SXD Vùng 1)~0</t>
  </si>
  <si>
    <t>AB.64123</t>
  </si>
  <si>
    <t>Đất đắp thân ga (tận dụng)</t>
  </si>
  <si>
    <t>N1.30~Nhân công 3,0/7 - Nhóm 1~công~1.45~1.45~221303~221303~0~1~1~0~0~N1.30~~0</t>
  </si>
  <si>
    <t>M101.1105~Máy lu bánh thép tự hành - trọng lượng tĩnh : 16 T~ca~0.335~0.335~1595255~1606688~293092~1~1~0~0~M92A~(Theo Giá máy 156/2022/QĐ-SXD Vùng 1)~0žM101.0503~Máy ủi - công suất : 110,0 CV~ca~0.167~0.167~2096893~2111107~293092~1~1~0~0~M45~(Theo Giá máy 156/2022/QĐ-SXD Vùng 1)~0žM999~Máy khác~%~1.5~1.5~8845.91556~8907.95349~0~1~1~0~0~~~0</t>
  </si>
  <si>
    <t>3,84/100 = 0,0384</t>
  </si>
  <si>
    <t>8,97/100 = 0,0897</t>
  </si>
  <si>
    <t>AK.98110</t>
  </si>
  <si>
    <t>Đá dăm lót móng, đá 2x4, dày 10cm</t>
  </si>
  <si>
    <t>A24.0025~Đá dăm 2x4 lót móng~m3~1.2~1.2~320000~340000~0~1~1~0~374000~DaCapPhoi~~0žA24.1042~Cát~m3~0.3~0.3~140000~155000~0~1~1~0~170500~Cat~~0</t>
  </si>
  <si>
    <t>N2.40~Nhân công 4,0/7 - Nhóm 2~công~1.48~1.48~284408~284408~0~1~1~0~0~N2.40~~0</t>
  </si>
  <si>
    <t>3,29 = 3,29</t>
  </si>
  <si>
    <t>AF.81122</t>
  </si>
  <si>
    <t>Ván khuôn gỗ. Ván khuôn móng ga</t>
  </si>
  <si>
    <t>A24.0418~Gỗ ván~m3~0.794~0.794~3409091~4318182~0~1~1~0~4750000.2~GoVan~~0žA24.0404~Gỗ đà nẹp~m3~0.21~0.21~3409091~4318182~0~1~1~0~4750000.2~GoDaNep~~0žA24.0406~Gỗ chống~m3~0.335~0.335~3409091~4318182~0~1~1~0~4750000.2~GoChong~~0žA24.0054~Đinh~kg~15~15~23000~23000~0~1~1~0~25300~Dinh~~0žZ999~Vât liệu khác~%~1~1~49097.72849~61270.45698~0~1~1~0~0~VatLieuKhac~~0</t>
  </si>
  <si>
    <t>N2.35~Nhân công 3,5/7 - Nhóm 2~công~29.7~29.7~262000~262000~0~1~1~0~0~N2.35~~0</t>
  </si>
  <si>
    <t>17,76/100 = 0,1776</t>
  </si>
  <si>
    <t>AF.11210</t>
  </si>
  <si>
    <t>C2223</t>
  </si>
  <si>
    <t>AF.11213A</t>
  </si>
  <si>
    <t>Đổ bê tông móng ga, đá 1x2, mác 200</t>
  </si>
  <si>
    <t>A24.0797A~Xi măng PCB30~kg~321.85~321.85~1380~1481~0~1~1~0~1629.1~XiMangPCB30~(Áp theo Thông báo giá VL số : 08/2022/CBG-SXD của Sở XD TP Hải Phòng ngày 09/08/2022. Vùng : 16)~0žA24.0180~Cát vàng~m3~0.5289~0.5289~450000~500000~0~1~1~0~550000~CatVang~~0žA24.0008~Đá 1x2~m3~0.87125~0.87125~320000~340000~0~1~1~0~374000~Da1x2~~0žA24.0524~Nước~lít~187.575~187.575~12~20~0~1~1~0~22~Nuoc(Lit)~~0žZ999~Vât liệu khác~%~1~1~9632.089~10410.8635~0~1~1~0~0~VatLieuKhac~~0</t>
  </si>
  <si>
    <t>N2.30~Nhân công 3,0/7 - Nhóm 2~công~1.23~1.23~239592~239592~0~1~1~0~0~N2.30~~0</t>
  </si>
  <si>
    <t>M104.0102~Máy trộn bê tông - dung tích : 250,0 lít~ca~0.095~0.095~320806~318734~246908~1~1~0~0~M270~(Theo Giá máy 156/2022/QĐ-SXD Vùng 1)~0žM112.1301~Máy đầm bê tông, dầm dùi - công suất : 1,5 kW~ca~0.089~0.089~276782~275463~246908~1~1~0~0~M310~(Theo Giá máy 156/2022/QĐ-SXD Vùng 1)~0</t>
  </si>
  <si>
    <t>6,57 = 6,57</t>
  </si>
  <si>
    <t>AE.26210</t>
  </si>
  <si>
    <t>B1223</t>
  </si>
  <si>
    <t>AE.26213A</t>
  </si>
  <si>
    <t>Xây gạch không nung ga VXM M75, dày 22cm</t>
  </si>
  <si>
    <t>A24.0383A~Gạch không nung 6,5x10,5x22~viên~550~550~900~1250~0~1~1~0~1375~GachDatSetNung6,5x10,5x22~~0žA24.0797A~Xi măng PCB30~kg~111.54~111.54~1380~1481~0~1~1~0~1629.1~XiMangPCB30~(Áp theo Thông báo giá VL số : 08/2022/CBG-SXD của Sở XD TP Hải Phòng ngày 09/08/2022. Vùng : 16)~0žA24.0176~Cát mịn ML=1,5-2,0~m3~0.37917~0.37917~400000~450000~0~1~1~0~495000~CatMin~~0žA24.0524~Nước~lít~89.76~89.76~12~20~0~1~1~0~22~Nuoc(Lit)~~0žZ999~Vât liệu khác~%~5.5~5.5~8016.7032~10251.1244~0~1~1~0~0~VatLieuKhac~~0</t>
  </si>
  <si>
    <t>N2.35~Nhân công 3,5/7 - Nhóm 2~công~3.2~3.2~262000~262000~0~1~1~0~0~N2.35~~0</t>
  </si>
  <si>
    <t>M104.0202~Máy trộn vữa 150 lít~ca~0.039~0.039~294869~293362~246908~1~1~0~0~M278~(Theo Giá máy 156/2022/QĐ-SXD Vùng 1)~0</t>
  </si>
  <si>
    <t>20,79 = 20,79</t>
  </si>
  <si>
    <t>AK.21530</t>
  </si>
  <si>
    <t>B2223</t>
  </si>
  <si>
    <t>AK.21533</t>
  </si>
  <si>
    <t>Trát tường xây gạch không nung bằng vữa thông thường, trát tường ga, chiều dày trát 2cm, vữa XM mác 75</t>
  </si>
  <si>
    <t>A24.0796A~Xi măng PCB40~kg~6.072~6.072~1398~1500~0~1~1~0~1650~XiMangPCB40~(Áp theo Thông báo giá VL số : 08/2022/CBG-SXD của Sở XD TP Hải Phòng ngày 09/08/2022. Vùng : 16)~0žA24.0176~Cát mịn ML=1,5-2,0~m3~0.02737~0.02737~400000~450000~0~1~1~0~495000~CatMin~~0žA24.0524~Nước~lít~6.325~6.325~12~20~0~1~1~0~22~Nuoc(Lit)~~0žZ999~Vât liệu khác~%~0.5~0.5~195.12556~215.51~0~1~1~0~0~VatLieuKhac~~0</t>
  </si>
  <si>
    <t>N2.35~Nhân công 3,5/7 - Nhóm 2~công~0.35~0.35~262000~262000~0~1~1~0~0~N2.35~~0</t>
  </si>
  <si>
    <t>M104.0202~Máy trộn vữa 150 lít~ca~0.003~0.003~294869~293362~246908~1~1~0~0~M278~(Theo Giá máy 156/2022/QĐ-SXD Vùng 1)~0</t>
  </si>
  <si>
    <t>64,26 = 64,26</t>
  </si>
  <si>
    <t>AK.41113</t>
  </si>
  <si>
    <t>Láng đáy ga, dày 2cm, vữa XM mác 75</t>
  </si>
  <si>
    <t>A24.0796A~Xi măng PCB40~kg~6.6~6.6~1398~1500~0~1~1~0~1650~XiMangPCB40~(Áp theo Thông báo giá VL số : 08/2022/CBG-SXD của Sở XD TP Hải Phòng ngày 09/08/2022. Vùng : 16)~0žA24.0176~Cát mịn ML=1,5-2,0~m3~0.02975~0.02975~400000~450000~0~1~1~0~495000~CatMin~~0žA24.0524~Nước~lít~6.875~6.875~12~20~0~1~1~0~22~Nuoc(Lit)~~0</t>
  </si>
  <si>
    <t>N2.40~Nhân công 4,0/7 - Nhóm 2~công~0.068~0.068~284408~284408~0~1~1~0~0~N2.40~~0</t>
  </si>
  <si>
    <t>M104.0202~Máy trộn vữa 150 lít~ca~0.004~0.004~294869~293362~246908~1~1~0~0~M278~(Theo Giá máy 156/2022/QĐ-SXD Vùng 1)~0</t>
  </si>
  <si>
    <t>9,6 = 9,6</t>
  </si>
  <si>
    <t>AF.81141</t>
  </si>
  <si>
    <t>Ván khuôn gỗ. Ván khuôn cổ ga</t>
  </si>
  <si>
    <t>A24.0418~Gỗ ván~m3~0.794~0.794~3409091~4318182~0~1~1~0~4750000.2~GoVan~~0žA24.0404~Gỗ đà nẹp~m3~0.189~0.189~3409091~4318182~0~1~1~0~4750000.2~GoDaNep~~0žA24.0406~Gỗ chống~m3~0.957~0.957~3409091~4318182~0~1~1~0~4750000.2~GoChong~~0žA24.0054~Đinh~kg~14.29~14.29~23000~23000~0~1~1~0~25300~Dinh~~0žZ999~Vât liệu khác~%~1~1~69423.0654~87059.4308~0~1~1~0~0~VatLieuKhac~~0</t>
  </si>
  <si>
    <t>N2.35~Nhân công 3,5/7 - Nhóm 2~công~27.5~27.5~262000~262000~0~1~1~0~0~N2.35~~0</t>
  </si>
  <si>
    <t>26,28/100 = 0,2628</t>
  </si>
  <si>
    <t>AF.12310</t>
  </si>
  <si>
    <t>AF.12313A</t>
  </si>
  <si>
    <t>Đổ bê tông cổ ga, đá 1x2, mác 200</t>
  </si>
  <si>
    <t>N2.30~Nhân công 3,0/7 - Nhóm 2~công~2.67~2.67~239592~239592~0~1~1~0~0~N2.30~~0</t>
  </si>
  <si>
    <t>M104.0102~Máy trộn bê tông - dung tích : 250,0 lít~ca~0.095~0.095~320806~318734~246908~1~1~0~0~M270~(Theo Giá máy 156/2022/QĐ-SXD Vùng 1)~0žM112.1301~Máy đầm bê tông, dầm dùi - công suất : 1,5 kW~ca~0.18~0.18~276782~275463~246908~1~1~0~0~M310~(Theo Giá máy 156/2022/QĐ-SXD Vùng 1)~0</t>
  </si>
  <si>
    <t>2,39 = 2,39</t>
  </si>
  <si>
    <t>AF.61521</t>
  </si>
  <si>
    <t>Thép cổ ga</t>
  </si>
  <si>
    <t>tấn</t>
  </si>
  <si>
    <t>A24.0739~Thép tròn D&lt;=18mm~kg~1020~1020~19200~16500~0~1~1~0~18150~ThepTron&lt;=18~(Áp theo Thông báo giá VL số : 08/2022/CBG-SXD của Sở XD TP Hải Phòng ngày 09/08/2022. Vùng : 16)~0žA24.0293~Dây thép~kg~9.28~9.28~20000~24000~0~1~1~0~26400~DayThep~~0žA24.0543~Que hàn~kg~4.7~4.7~25000~25000~0~1~1~0~27500~QueHan~~0</t>
  </si>
  <si>
    <t>N2.35~Nhân công 3,5/7 - Nhóm 2~công~9.24~9.24~262000~262000~0~1~1~0~0~N2.35~~0</t>
  </si>
  <si>
    <t>M112.4003~Máy hàn xoay chiều - công suất : 23,0 kW~ca~1.133~1.133~411700~402656~293092~1~1~0~0~M423~(Theo Giá máy 156/2022/QĐ-SXD Vùng 1)~0žM112.2601~Máy cắt uốn cốt thép - công suất : 5,0 kW~ca~0.32~0.32~281286~279591~246908~1~1~0~0~M454~(Theo Giá máy 156/2022/QĐ-SXD Vùng 1)~0</t>
  </si>
  <si>
    <t>24/1000 = 0,024</t>
  </si>
  <si>
    <t>AI.13131</t>
  </si>
  <si>
    <t>Thép góc viền cổ ga</t>
  </si>
  <si>
    <t>A24.0726~Thép tấm~kg~787~787~19250~19500~0~1~1~0~21450~ThepTam~~0žA24.0735~Thép tròn~kg~263~263~19200~16500~0~1~1~0~18150~ThepTron~~0žA24.0001~Ô xy~chai~2.69~2.69~53333~83000~0~1~1~0~91300~Oxy~~0žA24.0931~Khí gas~kg~5.38~5.38~20278~35000~0~1~1~0~38500~KhiGa~~0žA24.0032~Đá mài~viên~0.6~0.6~11667~35000~0~1~1~0~38500~DaMai~~0žA24.0543~Que hàn~kg~11~11~25000~25000~0~1~1~0~27500~QueHan~~0žZ999~Vât liệu khác~%~0.5~0.5~207339.1161~203935.7~0~1~1~0~0~VatLieuKhac~~0</t>
  </si>
  <si>
    <t>N2.40~Nhân công 4,0/7 - Nhóm 2~công~19.54~19.54~284408~284408~0~1~1~0~0~N2.40~~0</t>
  </si>
  <si>
    <t>M112.4003~Máy hàn xoay chiều - công suất : 23,0 kW~ca~2.62~2.62~411700~402656~293092~1~1~0~0~M423~(Theo Giá máy 156/2022/QĐ-SXD Vùng 1)~0žM112.3703~Máy mài - công suất : 2,7 kW~ca~1.29~1.29~18982~18228~0~1~1~0~0~M458~(Theo Giá máy 156/2022/QĐ-SXD Vùng 1)~0žM112.1501~Máy khoan đứng - công suất : 2,5 kW~ca~1.29~1.29~47521~46579~0~1~1~0~0~M596~(Theo Giá máy 156/2022/QĐ-SXD Vùng 1)~0žM999~Máy khác~%~1~1~11644.4287~11385.5975~0~1~1~0~0~~~0</t>
  </si>
  <si>
    <t>469,8/1000 = 0,4698</t>
  </si>
  <si>
    <t>TẤM ĐAN NẮP GA THU NƯỚC:</t>
  </si>
  <si>
    <t>AG.13231</t>
  </si>
  <si>
    <t>Công tác gia công, lắp đặt cốt thép bê tông đúc sẵn. Cốt thép tấm đan</t>
  </si>
  <si>
    <t>A24.0735~Thép tròn~kg~1020~1020~19200~16500~0~1~1~0~18150~ThepTron~~0žA24.0293~Dây thép~kg~16.07~16.07~20000~24000~0~1~1~0~26400~DayThep~~0</t>
  </si>
  <si>
    <t>N2.35~Nhân công 3,5/7 - Nhóm 2~công~16.25~16.25~262000~262000~0~1~1~0~0~N2.35~~0</t>
  </si>
  <si>
    <t>M112.2601~Máy cắt uốn cốt thép - công suất : 5,0 kW~ca~0.4~0.4~281286~279591~246908~1~1~0~0~M454~(Theo Giá máy 156/2022/QĐ-SXD Vùng 1)~0</t>
  </si>
  <si>
    <t>(75,3+127,8)/1000 = 0,2031</t>
  </si>
  <si>
    <t>Thép góc: 677,7/1000 = 0,6777</t>
  </si>
  <si>
    <t>AG.11410</t>
  </si>
  <si>
    <t>C2224</t>
  </si>
  <si>
    <t>AG.11414A</t>
  </si>
  <si>
    <t>Bê tông tấm đan, đá 1x2 mác 250</t>
  </si>
  <si>
    <t>A24.0797A~Xi măng PCB30~kg~365.4~365.4~1380~1481~0~1~1~0~1629.1~XiMangPCB30~(Áp theo Thông báo giá VL số : 08/2022/CBG-SXD của Sở XD TP Hải Phòng ngày 09/08/2022. Vùng : 16)~0žA24.0180~Cát vàng~m3~0.512575~0.512575~450000~500000~0~1~1~0~550000~CatVang~~0žA24.0008~Đá 1x2~m3~0.84448~0.84448~320000~340000~0~1~1~0~374000~Da1x2~~0žA24.0524~Nước~lít~185.745~185.745~12~20~0~1~1~0~22~Nuoc(Lit)~~0žZ999~Vât liệu khác~%~0.5~0.5~10073.7329~10882.83~0~1~1~0~0~VatLieuKhac~~0</t>
  </si>
  <si>
    <t>N2.30~Nhân công 3,0/7 - Nhóm 2~công~1.93~1.93~239592~239592~0~1~1~0~0~N2.30~~0</t>
  </si>
  <si>
    <t>M104.0102~Máy trộn bê tông - dung tích : 250,0 lít~ca~0.095~0.095~320806~318734~246908~1~1~0~0~M270~(Theo Giá máy 156/2022/QĐ-SXD Vùng 1)~0</t>
  </si>
  <si>
    <t>1,5 = 1,5</t>
  </si>
  <si>
    <t>AG.41610</t>
  </si>
  <si>
    <t>Lăp đặt tấm đan 110kg/tấm</t>
  </si>
  <si>
    <t>1 cấu kiện</t>
  </si>
  <si>
    <t>N2.30~Nhân công 3,0/7 - Nhóm 2~công~0.03~0.03~239592~239592~0~1~1~0~0~N2.30~~0</t>
  </si>
  <si>
    <t>M102.0201~Cần cẩu bánh hơi 6 T~ca~0.015~0.015~1756646~1764371~701645~1~1~0~0~M935~(Theo Giá máy 156/2022/QĐ-SXD Vùng 1)~0</t>
  </si>
  <si>
    <t>30 = 30</t>
  </si>
  <si>
    <t>* HỐ TỤ NƯỚC BTXM:</t>
  </si>
  <si>
    <t>Tấm đan M1* hố tụ nước:</t>
  </si>
  <si>
    <t>AG.31311</t>
  </si>
  <si>
    <t>Công tác gia công, lắp dựng, tháo dỡ ván khuôn. Ván khuôn gỗ, ván khuôn tấm đan hố tụ</t>
  </si>
  <si>
    <t>A24.0420~Gỗ ván ( cả nẹp)~m3~0.123~0.123~3409091~4318182~0~1~1~0~4750000.2~GoVan~~0žA24.0054~Đinh~kg~16~16~23000~23000~0~1~1~0~25300~Dinh~~0žZ999~Vât liệu khác~%~1~1~7873.18193~8991.36386~0~1~1~0~0~VatLieuKhac~~0</t>
  </si>
  <si>
    <t>N1.35~Nhân công 3,5/7 - Nhóm 1~công~25.62~25.62~242000~242000~0~1~1~0~0~N1.35~~0</t>
  </si>
  <si>
    <t>5,85/100 = 0,0585</t>
  </si>
  <si>
    <t>(66,0+99,15)/1000 = 0,1652</t>
  </si>
  <si>
    <t>Bê tông tấm đan hố tụ, đá 1x2 mác 250</t>
  </si>
  <si>
    <t>1,29 = 1,29</t>
  </si>
  <si>
    <t>Lăp đặt tấm đan 200kg/tấm</t>
  </si>
  <si>
    <t>15 = 15</t>
  </si>
  <si>
    <t>*) Xây hố tụ:</t>
  </si>
  <si>
    <t>Xây gạch không nung 6,5x10,5x22, xây hố tụ nước, vữa XM mác 75</t>
  </si>
  <si>
    <t>0,77 = 0,77</t>
  </si>
  <si>
    <t>AK.21533A</t>
  </si>
  <si>
    <t>Trát tường hố tụ, chiều dày trát 2cm, vữa XM mác 75, PCB30</t>
  </si>
  <si>
    <t>A24.0797A~Xi măng PCB30~kg~7.774~7.774~1380~1481~0~1~1~0~1629.1~XiMangPCB30~(Áp theo Thông báo giá VL số : 08/2022/CBG-SXD của Sở XD TP Hải Phòng ngày 09/08/2022. Vùng : 16)~0žA24.0176~Cát mịn ML=1,5-2,0~m3~0.026427~0.026427~400000~450000~0~1~1~0~495000~CatMin~~0žA24.0524~Nước~lít~6.256~6.256~12~20~0~1~1~0~22~Nuoc(Lit)~~0žZ999~Vât liệu khác~%~0.5~0.5~213.73992~235.30564~0~1~1~0~0~VatLieuKhac~~0</t>
  </si>
  <si>
    <t>6,49 = 6,49</t>
  </si>
  <si>
    <t>Ván khuôn gỗ. Ván khuôn cổ hố tụ</t>
  </si>
  <si>
    <t>8,06/100 = 0,0806</t>
  </si>
  <si>
    <t>AF.12314A</t>
  </si>
  <si>
    <t>Đổ bê tông cổ hố tụ, đá 1x2, mác 250</t>
  </si>
  <si>
    <t>A24.0797A~Xi măng PCB30~kg~369~369~1380~1481~0~1~1~0~1629.1~XiMangPCB30~(Áp theo Thông báo giá VL số : 08/2022/CBG-SXD của Sở XD TP Hải Phòng ngày 09/08/2022. Vùng : 16)~0žA24.0180~Cát vàng~m3~0.517625~0.517625~450000~500000~0~1~1~0~550000~CatVang~~0žA24.0008~Đá 1x2~m3~0.8528~0.8528~320000~340000~0~1~1~0~374000~Da1x2~~0žA24.0524~Nước~lít~187.575~187.575~12~20~0~1~1~0~22~Nuoc(Lit)~~0žZ999~Vât liệu khác~%~1~1~10172.9815~10990.05~0~1~1~0~0~VatLieuKhac~~0</t>
  </si>
  <si>
    <t>4,03 = 4,03</t>
  </si>
  <si>
    <t>Ghi chắn rác Composite, tải trọng 250KN, KT 880x380</t>
  </si>
  <si>
    <t>Cái</t>
  </si>
  <si>
    <t>II.2. CỐNG D400 - ỐNG CỐNG CẤP TẢI CAO:</t>
  </si>
  <si>
    <t>AB.25102</t>
  </si>
  <si>
    <t>N1.30~Nhân công 3,0/7 - Nhóm 1~công~3.9~3.9~221303~221303~0~1~1~0~0~N1.30~~0</t>
  </si>
  <si>
    <t>M101.0101~Máy đào một gầu, bánh xích - dung tích gầu : 0,40 m3~ca~0.631~0.631~2068759~2082046~293092~1~1~0~0~M3~(Theo Giá máy 156/2022/QĐ-SXD Vùng 1)~0</t>
  </si>
  <si>
    <t>AB.11312</t>
  </si>
  <si>
    <t>Đào móng bằng thủ công 10%</t>
  </si>
  <si>
    <t>N1.30~Nhân công 3,0/7 - Nhóm 1~công~0.82~0.82~221303~221303~0~1~1~0~0~N1.30~~0</t>
  </si>
  <si>
    <t>624,94*10% = 62,494</t>
  </si>
  <si>
    <t>AB.64112</t>
  </si>
  <si>
    <t>Đắp đất thân cống K95</t>
  </si>
  <si>
    <t>N1.30~Nhân công 3,0/7 - Nhóm 1~công~1.3~1.3~221303~221303~0~1~1~0~0~N1.30~~0</t>
  </si>
  <si>
    <t>M101.1102~Máy lu bánh thép tự hành - trọng lượng tĩnh : 8,5 T - 9 T~ca~0.3~0.3~1152746~1160162~293092~1~1~0~0~M87~(Theo Giá máy 156/2022/QĐ-SXD Vùng 1)~0žM101.0503~Máy ủi - công suất : 110,0 CV~ca~0.15~0.15~2096893~2111107~293092~1~1~0~0~M45~(Theo Giá máy 156/2022/QĐ-SXD Vùng 1)~0žM999~Máy khác~%~1.5~1.5~6603.5775~6647.1465~0~1~1~0~0~~~0</t>
  </si>
  <si>
    <t>431,95/100 = 4,3195</t>
  </si>
  <si>
    <t>192,99/100 = 1,9299</t>
  </si>
  <si>
    <t>Đá dăm 2x4 lót móng, dày 10cm</t>
  </si>
  <si>
    <t>56,1 = 56,1</t>
  </si>
  <si>
    <t>BB.11221</t>
  </si>
  <si>
    <t>Lắp đặt ống bê tông bằng cần cẩu, đoạn ống dài 2m, D400mm</t>
  </si>
  <si>
    <t>đoạn ống</t>
  </si>
  <si>
    <t>DG2595_2022HP_LD</t>
  </si>
  <si>
    <t>A33.0170~Ống bê tông dài 2m D400mm~đoạn~1~1~792000~890000~0~1~1~0~979000~OngBeTongD600L=2~~0žZ999~Vật liệu khác~%~0.05~0.05~7920~8900~0~1~1~0~0~VatLieuKhac~~0</t>
  </si>
  <si>
    <t>M102.0201~Cần cẩu bánh hơi 6 T~ca~0.056~0.056~1756646~1764371~701645~1~1~0~0~M935~(Theo Giá máy 156/2022/QĐ-SXD Vùng 1)~0žM999~Máy khác~%~5~5~983.72176~988.04776~0~1~1~0~0~~~0</t>
  </si>
  <si>
    <t>213 = 213</t>
  </si>
  <si>
    <t>Lắp đặt đế cống D400</t>
  </si>
  <si>
    <t>639 = 639</t>
  </si>
  <si>
    <t>BB.13605</t>
  </si>
  <si>
    <t>Nối ống bê tông bằng gioăng cao su, đường kính 400mm</t>
  </si>
  <si>
    <t>mối nối</t>
  </si>
  <si>
    <t>A33.0269~Gioăng cao su D400mm~cái~1~1~60000~120000~0~1~1~0~132000~GioangCaoSuD=600~~0žA33.0240~Mỡ bôi trơn~kg~0.066~0.066~20000~20000~0~1~1~0~22000~MoBoiTron~~0</t>
  </si>
  <si>
    <t>210 = 210</t>
  </si>
  <si>
    <t>BB.13503</t>
  </si>
  <si>
    <t>B1215</t>
  </si>
  <si>
    <t>Nối ống bê tông bằng phương pháp xảm, đường kính 400mm</t>
  </si>
  <si>
    <t>A24.0797A~Xi măng PCB30~kg~3.0528~3.0528~1380~1481~0~1~1~0~1629.1~XiMangPCB30~(Áp theo Thông báo giá VL số : 08/2022/CBG-SXD của Sở XD TP Hải Phòng ngày 09/08/2022. Vùng : 16)~0žA24.0180~Cát vàng~m3~0.0067904~0.0067904~450000~500000~0~1~1~0~550000~CatVang~~0žA24.0524~Nước~lít~1.7024~1.7024~12~20~0~1~1~0~22~Nuoc~~0</t>
  </si>
  <si>
    <t>BIỆN PHÁP BỜ QUÂY:</t>
  </si>
  <si>
    <t>AB.63111</t>
  </si>
  <si>
    <t>Đắp đất núi bờ quây, dụng trọng 1.5T/m3</t>
  </si>
  <si>
    <t>N1.30~Nhân công 3,0/7 - Nhóm 1~công~0.99~0.99~221303~221303~0~1~1~0~0~N1.30~~0</t>
  </si>
  <si>
    <t>M101.1102~Máy lu bánh thép tự hành - trọng lượng tĩnh : 8,5 T - 9 T~ca~0.21~0.21~1152746~1160162~293092~1~1~0~0~M87~(Theo Giá máy 156/2022/QĐ-SXD Vùng 1)~0žM101.0503~Máy ủi - công suất : 110,0 CV~ca~0.104~0.104~2096893~2111107~293092~1~1~0~0~M45~(Theo Giá máy 156/2022/QĐ-SXD Vùng 1)~0</t>
  </si>
  <si>
    <t>6/100 = 0,06</t>
  </si>
  <si>
    <t>Tiền đất núi đắp bờ quây</t>
  </si>
  <si>
    <t>6*1,1 = 6,6</t>
  </si>
  <si>
    <t>AC.12121</t>
  </si>
  <si>
    <t>Cọc tre D60-80; L=2.8m</t>
  </si>
  <si>
    <t>100m</t>
  </si>
  <si>
    <t>A24.0227~Cọc tre &gt;2,5m~m~105~105~3200~5200~0~1~1~0~5720~CocTre~~0</t>
  </si>
  <si>
    <t>N2.30~Nhân công 3,0/7 - Nhóm 2~công~0.33~0.33~239592~239592~0~1~1~0~0~N2.30~~0</t>
  </si>
  <si>
    <t>M101.0102~Máy đào một gầu, bánh xích - dung tích gầu : 0,50 m3~ca~0.098~0.098~2391243~2407002~293092~1~1~0~0~M4~(Theo Giá máy 156/2022/QĐ-SXD Vùng 1)~0</t>
  </si>
  <si>
    <t>224/100 = 2,24</t>
  </si>
  <si>
    <t>Phên nứa 2 lớp B=1,0m</t>
  </si>
  <si>
    <t>12 = 12</t>
  </si>
  <si>
    <t>AB.24132</t>
  </si>
  <si>
    <t>Đào phá bờ quây bằng máy</t>
  </si>
  <si>
    <t>N1.30~Nhân công 3,0/7 - Nhóm 1~công~0.47~0.47~221303~221303~0~1~1~0~0~N1.30~~0</t>
  </si>
  <si>
    <t>M101.0105~Máy đào một gầu, bánh xích - dung tích gầu : 1,25 m3~ca~0.198~0.198~4000423~4026070~293092~1~1~0~0~M9~(Theo Giá máy 156/2022/QĐ-SXD Vùng 1)~0žM101.0503~Máy ủi - công suất : 110,0 CV~ca~0.027~0.027~2096893~2111107~293092~1~1~0~0~M45~(Theo Giá máy 156/2022/QĐ-SXD Vùng 1)~0</t>
  </si>
  <si>
    <t>Nhổ cọc tre, phên nứa (vận dụng chi phí nhân công, máy đóng cọc tre)</t>
  </si>
  <si>
    <t>Bơm nước phục vụ thi công</t>
  </si>
  <si>
    <t>ca</t>
  </si>
  <si>
    <t>1 = 1</t>
  </si>
  <si>
    <t>TƯỜNG ĐẦU CỐNG:</t>
  </si>
  <si>
    <t>Đào đất cấp II</t>
  </si>
  <si>
    <t>3,02/100 = 0,0302</t>
  </si>
  <si>
    <t>AB.13111</t>
  </si>
  <si>
    <t>Đắp đất hoàn trả móng</t>
  </si>
  <si>
    <t>N1.30~Nhân công 3,0/7 - Nhóm 1~công~0.56~0.56~221303~221303~0~1~1~0~0~N1.30~~0</t>
  </si>
  <si>
    <t>1,66 = 1,66</t>
  </si>
  <si>
    <t>AC.11121</t>
  </si>
  <si>
    <t>Đóng cọc tre D80-D1000, 25c/m2, L=2.5m</t>
  </si>
  <si>
    <t>A24.0227~Cọc tre &gt;2,5m~m~105~105~3200~5200~0~1~1~0~5720~CocTre~~0žA24.0183~Cây chống~cây~1.65~1.65~19000~22000~0~1~1~0~24200~CayChong~~0žA24.0418~Gỗ ván~m3~0.01~0.01~3409091~4318182~0~1~1~0~4750000.2~GoVan~~0žZ999~Vât liệu khác~%~3~3~4014.4091~6254.8182~0~1~1~0~0~VatLieuKhac~~0</t>
  </si>
  <si>
    <t>N2.30~Nhân công 3,0/7 - Nhóm 2~công~2.02~2.02~239592~239592~0~1~1~0~0~N2.30~~0</t>
  </si>
  <si>
    <t>150/100 = 1,5</t>
  </si>
  <si>
    <t>AB.11114</t>
  </si>
  <si>
    <t>Vét bùn đầu cọc</t>
  </si>
  <si>
    <t>N1.30~Nhân công 3,0/7 - Nhóm 1~công~1.43~1.43~221303~221303~0~1~1~0~0~N1.30~~0</t>
  </si>
  <si>
    <t>0,24 = 0,24</t>
  </si>
  <si>
    <t>AB.13411</t>
  </si>
  <si>
    <t>Cát đen đệm đầu cọc</t>
  </si>
  <si>
    <t>A24.1042~Cát~m3~1.22~1.22~140000~155000~0~1~1~0~170500~Cat~~0žZ999~Vât liệu khác~%~2~2~1708~1891~0~1~1~0~0~VatLieuKhac~~0</t>
  </si>
  <si>
    <t>N1.30~Nhân công 3,0/7 - Nhóm 1~công~0.45~0.45~221303~221303~0~1~1~0~0~N1.30~~0</t>
  </si>
  <si>
    <t>Ván khuôn gỗ móng</t>
  </si>
  <si>
    <t>1,36/100 = 0,0136</t>
  </si>
  <si>
    <t>Bê tông móng M200, đá 1x2 dày 20cm</t>
  </si>
  <si>
    <t>0,48 = 0,48</t>
  </si>
  <si>
    <t>AK.21130</t>
  </si>
  <si>
    <t>B1233</t>
  </si>
  <si>
    <t>AK.21133A</t>
  </si>
  <si>
    <t>Trát tường ngoài, chiều dày trát 2cm, vữa XM mác 75, PCB30</t>
  </si>
  <si>
    <t>A24.0797A~Xi măng PCB30~kg~8.855~8.855~1380~1481~0~1~1~0~1629.1~XiMangPCB30~(Áp theo Thông báo giá VL số : 08/2022/CBG-SXD của Sở XD TP Hải Phòng ngày 09/08/2022. Vùng : 16)~0žA24.0175~Cát mịn ML=0,7-1,4~m3~0.025714~0.025714~400000~450000~0~1~1~0~495000~CatMin~~0žA24.0524~Nước~lít~6.325~6.325~12~20~0~1~1~0~22~Nuoc(Lit)~~0žZ999~Vât liệu khác~%~0.5~0.5~225.814~248.12055~0~1~1~0~0~VatLieuKhac~~0</t>
  </si>
  <si>
    <t>N2.35~Nhân công 3,5/7 - Nhóm 2~công~0.32~0.32~262000~262000~0~1~1~0~0~N2.35~~0</t>
  </si>
  <si>
    <t>10,62 = 10,62</t>
  </si>
  <si>
    <t>Ván khuôn gỗ. Ván khuôn cổ tường</t>
  </si>
  <si>
    <t>0,93/100 = 0,0093</t>
  </si>
  <si>
    <t>Bê tông cổ tường M250, đá 1x2</t>
  </si>
  <si>
    <t>0,13 = 0,13</t>
  </si>
  <si>
    <t>AF.61511</t>
  </si>
  <si>
    <t>Công tác gia công lắp dựng cốt thép. Cốt thép cổ tường</t>
  </si>
  <si>
    <t>A24.0738~Thép tròn D&lt;=10mm~kg~1005~1005~19200~16500~0~1~1~0~18150~ThepTron&lt;=10~(Áp theo Thông báo giá VL số : 08/2022/CBG-SXD của Sở XD TP Hải Phòng ngày 09/08/2022. Vùng : 16)~0žA24.0293~Dây thép~kg~16.07~16.07~20000~24000~0~1~1~0~26400~DayThep~~0</t>
  </si>
  <si>
    <t>N2.35~Nhân công 3,5/7 - Nhóm 2~công~15.39~15.39~262000~262000~0~1~1~0~0~N2.35~~0</t>
  </si>
  <si>
    <t>Thép fi 6: 3,1/1000 = 0,0031</t>
  </si>
  <si>
    <t>Công tác gia công lắp dựng cốt thép. Cốt thép xà dầm, giằng, đường kính cốt thép &lt;= 18mm, chiều cao &lt;= 6m</t>
  </si>
  <si>
    <t>Thép fi 14: 12,62/1000 = 0,0126</t>
  </si>
  <si>
    <t>Tổng: II. HỆ THỐNG THOÁT NƯỚC</t>
  </si>
  <si>
    <t>THM</t>
  </si>
  <si>
    <t>Tổng cộng: SỬA CHỮA NỀN MẶT ĐƯỜNG, HỆ THỐNG THOÁT NƯỚC</t>
  </si>
  <si>
    <t>BẢNG GIÁ THÔNG BÁO CÔNG TRÌNH</t>
  </si>
  <si>
    <t>Mã số</t>
  </si>
  <si>
    <t>Tên vật tư</t>
  </si>
  <si>
    <t>Đơn vị</t>
  </si>
  <si>
    <t>Hệ số</t>
  </si>
  <si>
    <t>Chính</t>
  </si>
  <si>
    <t>Mã chuẩn</t>
  </si>
  <si>
    <t>Ghi chú, Nguồn gốc xuất xứ</t>
  </si>
  <si>
    <t>I</t>
  </si>
  <si>
    <t>VẬT LIỆU</t>
  </si>
  <si>
    <t>A24.0233</t>
  </si>
  <si>
    <t>Cao su đệm</t>
  </si>
  <si>
    <t>CaoSuDem</t>
  </si>
  <si>
    <t/>
  </si>
  <si>
    <t>A24.1042</t>
  </si>
  <si>
    <t>Cát</t>
  </si>
  <si>
    <t>Cat</t>
  </si>
  <si>
    <t>A24.0175</t>
  </si>
  <si>
    <t>Cát mịn ML=0,7-1,4</t>
  </si>
  <si>
    <t>CatMin</t>
  </si>
  <si>
    <t>A24.0176</t>
  </si>
  <si>
    <t>Cát mịn ML=1,5-2,0</t>
  </si>
  <si>
    <t>A24.0180</t>
  </si>
  <si>
    <t>Cát vàng</t>
  </si>
  <si>
    <t>CatVang</t>
  </si>
  <si>
    <t>A24.0251</t>
  </si>
  <si>
    <t>Cấp phối đá dăm loại I</t>
  </si>
  <si>
    <t>CapPhoiDaDam</t>
  </si>
  <si>
    <t>A24.0183</t>
  </si>
  <si>
    <t>Cây chống</t>
  </si>
  <si>
    <t>cây</t>
  </si>
  <si>
    <t>CayChong</t>
  </si>
  <si>
    <t>A24.0227</t>
  </si>
  <si>
    <t>Cọc tre &gt;2,5m</t>
  </si>
  <si>
    <t>CocTre</t>
  </si>
  <si>
    <t>A24.0293</t>
  </si>
  <si>
    <t>Dây thép</t>
  </si>
  <si>
    <t>kg</t>
  </si>
  <si>
    <t>DayThep</t>
  </si>
  <si>
    <t>A24.0008</t>
  </si>
  <si>
    <t>Đá 1x2</t>
  </si>
  <si>
    <t>Da1x2</t>
  </si>
  <si>
    <t>A24.0009</t>
  </si>
  <si>
    <t>Đá 2x4</t>
  </si>
  <si>
    <t>Da2x4</t>
  </si>
  <si>
    <t>A24.0025</t>
  </si>
  <si>
    <t>Đá dăm 2x4 lót móng</t>
  </si>
  <si>
    <t>DaCapPhoi</t>
  </si>
  <si>
    <t>A24.0032</t>
  </si>
  <si>
    <t>Đá mài</t>
  </si>
  <si>
    <t>viên</t>
  </si>
  <si>
    <t>DaMai</t>
  </si>
  <si>
    <t>A24.0054</t>
  </si>
  <si>
    <t>Đinh</t>
  </si>
  <si>
    <t>Dinh</t>
  </si>
  <si>
    <t>A24.0383A</t>
  </si>
  <si>
    <t>Gạch không nung 6,5x10,5x22</t>
  </si>
  <si>
    <t>GachDatSetNung6,5x10,5x22</t>
  </si>
  <si>
    <t>A24.0406</t>
  </si>
  <si>
    <t>Gỗ chống</t>
  </si>
  <si>
    <t>GoChong</t>
  </si>
  <si>
    <t>A24.0404</t>
  </si>
  <si>
    <t>Gỗ đà nẹp</t>
  </si>
  <si>
    <t>GoDaNep</t>
  </si>
  <si>
    <t>A24.0418</t>
  </si>
  <si>
    <t>Gỗ ván</t>
  </si>
  <si>
    <t>GoVan</t>
  </si>
  <si>
    <t>A24.0420</t>
  </si>
  <si>
    <t>Gỗ ván ( cả nẹp)</t>
  </si>
  <si>
    <t>A33.0269</t>
  </si>
  <si>
    <t>Gioăng cao su D400mm</t>
  </si>
  <si>
    <t>cái</t>
  </si>
  <si>
    <t>GioangCaoSuD=600</t>
  </si>
  <si>
    <t>A24.0931</t>
  </si>
  <si>
    <t>Khí gas</t>
  </si>
  <si>
    <t>KhiGa</t>
  </si>
  <si>
    <t>A24.0480</t>
  </si>
  <si>
    <t>Ma tít chèn khe</t>
  </si>
  <si>
    <t>MaTit</t>
  </si>
  <si>
    <t>A33.0240</t>
  </si>
  <si>
    <t>Mỡ bôi trơn</t>
  </si>
  <si>
    <t>MoBoiTron</t>
  </si>
  <si>
    <t>A24.0489</t>
  </si>
  <si>
    <t>Mùn cưa</t>
  </si>
  <si>
    <t>MunCua</t>
  </si>
  <si>
    <t>A24.0782</t>
  </si>
  <si>
    <t>Nilon chống mất nước XM</t>
  </si>
  <si>
    <t>VaiDiaKyThuat</t>
  </si>
  <si>
    <t>A24.0524</t>
  </si>
  <si>
    <t>Nước</t>
  </si>
  <si>
    <t>lít</t>
  </si>
  <si>
    <t>Nuoc</t>
  </si>
  <si>
    <t>Nuoc(Lit)</t>
  </si>
  <si>
    <t>A24.0520</t>
  </si>
  <si>
    <t>Nhựa đường</t>
  </si>
  <si>
    <t>NhuaDuong</t>
  </si>
  <si>
    <t>A24.0001</t>
  </si>
  <si>
    <t>Ô xy</t>
  </si>
  <si>
    <t>chai</t>
  </si>
  <si>
    <t>Oxy</t>
  </si>
  <si>
    <t>A33.0170</t>
  </si>
  <si>
    <t>Ống bê tông dài 2m D400mm</t>
  </si>
  <si>
    <t>đoạn</t>
  </si>
  <si>
    <t>OngBeTongD600L=2</t>
  </si>
  <si>
    <t>A24.0334</t>
  </si>
  <si>
    <t>ống nhựa F42</t>
  </si>
  <si>
    <t>OngNhua</t>
  </si>
  <si>
    <t>A24.0543</t>
  </si>
  <si>
    <t>Que hàn</t>
  </si>
  <si>
    <t>QueHan</t>
  </si>
  <si>
    <t>A24.1074</t>
  </si>
  <si>
    <t>Thép F25</t>
  </si>
  <si>
    <t>Thep</t>
  </si>
  <si>
    <t>A24.0921</t>
  </si>
  <si>
    <t>Thép hình, thép tấm</t>
  </si>
  <si>
    <t>ThepTam</t>
  </si>
  <si>
    <t>A24.0726</t>
  </si>
  <si>
    <t>Thép tấm</t>
  </si>
  <si>
    <t>A24.0735</t>
  </si>
  <si>
    <t>Thép tròn</t>
  </si>
  <si>
    <t>ThepTron</t>
  </si>
  <si>
    <t>A24.0738</t>
  </si>
  <si>
    <t>Thép tròn D&lt;=10mm</t>
  </si>
  <si>
    <t>ThepTron&lt;=10</t>
  </si>
  <si>
    <t>(Áp theo Thông báo giá VL số : 08/2022/CBG-SXD của Sở XD TP Hải Phòng ngày 09/08/2022. Vùng : 16)</t>
  </si>
  <si>
    <t>A24.0739</t>
  </si>
  <si>
    <t>Thép tròn D&lt;=18mm</t>
  </si>
  <si>
    <t>ThepTron&lt;=18</t>
  </si>
  <si>
    <t>A24.0797A</t>
  </si>
  <si>
    <t>Xi măng PCB30</t>
  </si>
  <si>
    <t>XiMangPCB30</t>
  </si>
  <si>
    <t>A24.0796A</t>
  </si>
  <si>
    <t>Xi măng PCB40</t>
  </si>
  <si>
    <t>XiMangPCB40</t>
  </si>
  <si>
    <t>II</t>
  </si>
  <si>
    <t>NHÂN CÔNG</t>
  </si>
  <si>
    <t>N1.30</t>
  </si>
  <si>
    <t>Nhân công 3,0/7 - Nhóm 1</t>
  </si>
  <si>
    <t>công</t>
  </si>
  <si>
    <t>N2.30</t>
  </si>
  <si>
    <t>Nhân công 3,0/7 - Nhóm 2</t>
  </si>
  <si>
    <t>N1.35</t>
  </si>
  <si>
    <t>Nhân công 3,5/7 - Nhóm 1</t>
  </si>
  <si>
    <t>N2.35</t>
  </si>
  <si>
    <t>Nhân công 3,5/7 - Nhóm 2</t>
  </si>
  <si>
    <t>N2.40</t>
  </si>
  <si>
    <t>Nhân công 4,0/7 - Nhóm 2</t>
  </si>
  <si>
    <t>III</t>
  </si>
  <si>
    <t>MÁY THI CÔNG</t>
  </si>
  <si>
    <t>M102.0201</t>
  </si>
  <si>
    <t>Cần cẩu bánh hơi 6 T</t>
  </si>
  <si>
    <t>M935</t>
  </si>
  <si>
    <t>(Theo Giá máy 156/2022/QĐ-SXD Vùng 1)</t>
  </si>
  <si>
    <t>M112.2601</t>
  </si>
  <si>
    <t>Máy cắt uốn cốt thép - công suất : 5,0 kW</t>
  </si>
  <si>
    <t>M454</t>
  </si>
  <si>
    <t>M101.0115</t>
  </si>
  <si>
    <t>Máy đào 1,25 m3 gắn đầu búa thủy lực / hàm kẹp</t>
  </si>
  <si>
    <t>M15A</t>
  </si>
  <si>
    <t>M101.0101</t>
  </si>
  <si>
    <t>Máy đào một gầu, bánh xích - dung tích gầu : 0,40 m3</t>
  </si>
  <si>
    <t>M3</t>
  </si>
  <si>
    <t>M101.0102</t>
  </si>
  <si>
    <t>Máy đào một gầu, bánh xích - dung tích gầu : 0,50 m3</t>
  </si>
  <si>
    <t>M4</t>
  </si>
  <si>
    <t>M101.0104</t>
  </si>
  <si>
    <t>Máy đào một gầu, bánh xích - dung tích gầu : 0,80 m3</t>
  </si>
  <si>
    <t>M6</t>
  </si>
  <si>
    <t>M101.0105</t>
  </si>
  <si>
    <t>Máy đào một gầu, bánh xích - dung tích gầu : 1,25 m3</t>
  </si>
  <si>
    <t>M9</t>
  </si>
  <si>
    <t>M112.1301</t>
  </si>
  <si>
    <t>Máy đầm bê tông, dầm dùi - công suất : 1,5 kW</t>
  </si>
  <si>
    <t>M310</t>
  </si>
  <si>
    <t>M112.1101</t>
  </si>
  <si>
    <t>Máy đầm bê tông, đầm bàn - công suất : 1,0 kW</t>
  </si>
  <si>
    <t>M305</t>
  </si>
  <si>
    <t>M112.4003</t>
  </si>
  <si>
    <t>Máy hàn xoay chiều - công suất : 23,0 kW</t>
  </si>
  <si>
    <t>M423</t>
  </si>
  <si>
    <t>M112.1501</t>
  </si>
  <si>
    <t>Máy khoan đứng - công suất : 2,5 kW</t>
  </si>
  <si>
    <t>M596</t>
  </si>
  <si>
    <t>M101.0902</t>
  </si>
  <si>
    <t>Máy lu bánh hơi tự hành - trọng lượng tĩnh : 16,0 T</t>
  </si>
  <si>
    <t>M78</t>
  </si>
  <si>
    <t>M101.1103</t>
  </si>
  <si>
    <t>Máy lu bánh thép tự hành - trọng lượng tĩnh : 10,0 T</t>
  </si>
  <si>
    <t>M88</t>
  </si>
  <si>
    <t>M101.1105</t>
  </si>
  <si>
    <t>Máy lu bánh thép tự hành - trọng lượng tĩnh : 16 T</t>
  </si>
  <si>
    <t>M92A</t>
  </si>
  <si>
    <t>M101.1102</t>
  </si>
  <si>
    <t>Máy lu bánh thép tự hành - trọng lượng tĩnh : 8,5 T - 9 T</t>
  </si>
  <si>
    <t>M87</t>
  </si>
  <si>
    <t>M101.1006</t>
  </si>
  <si>
    <t>Máy lu rung tự hành - trọng lượng tĩnh : 25T</t>
  </si>
  <si>
    <t>M84</t>
  </si>
  <si>
    <t>M112.3703</t>
  </si>
  <si>
    <t>Máy mài - công suất : 2,7 kW</t>
  </si>
  <si>
    <t>M458</t>
  </si>
  <si>
    <t>M108.0306</t>
  </si>
  <si>
    <t>Máy nén khí, động cơ diezel - năng suất : 600,00 m3/h</t>
  </si>
  <si>
    <t>M404</t>
  </si>
  <si>
    <t>M105.0401</t>
  </si>
  <si>
    <t>Máy rải cấp phối đá dăm - năng suất : 50 m3/h - 60 m3/h</t>
  </si>
  <si>
    <t>M594</t>
  </si>
  <si>
    <t>M104.0102</t>
  </si>
  <si>
    <t>Máy trộn bê tông - dung tích : 250,0 lít</t>
  </si>
  <si>
    <t>M270</t>
  </si>
  <si>
    <t>M104.0202</t>
  </si>
  <si>
    <t>Máy trộn vữa 150 lít</t>
  </si>
  <si>
    <t>M278</t>
  </si>
  <si>
    <t>M101.0503</t>
  </si>
  <si>
    <t>Máy ủi - công suất : 110,0 CV</t>
  </si>
  <si>
    <t>M45</t>
  </si>
  <si>
    <t>TT*</t>
  </si>
  <si>
    <t>Máy xoa</t>
  </si>
  <si>
    <t>Ca</t>
  </si>
  <si>
    <t>M106.0202</t>
  </si>
  <si>
    <t>Ô tô tự đổ - trọng tải : 5,0 T</t>
  </si>
  <si>
    <t>M107</t>
  </si>
  <si>
    <t>M106.0502</t>
  </si>
  <si>
    <t>Ô tô tưới nước - dung tích : 5,0 m3</t>
  </si>
  <si>
    <t>M135</t>
  </si>
  <si>
    <t>DỮ LIỆU ĐẦU VÀO TÍNH NHÂN CÔNG, CA MÁY</t>
  </si>
  <si>
    <t>BẢNG 1.  MỨC LƯƠNG, SỐ NGÀY LÀM VIỆC</t>
  </si>
  <si>
    <t>Tên, loại dữ liệu</t>
  </si>
  <si>
    <t>Giá trị</t>
  </si>
  <si>
    <t>Mức lương tối thiểu chung (đồng/tháng)</t>
  </si>
  <si>
    <t>Mức lương đầu vào LNC (đồng/tháng)</t>
  </si>
  <si>
    <t>Số ngày làm việc (ngày/tháng)</t>
  </si>
  <si>
    <t>Hệ số điều chỉnh nhân công</t>
  </si>
  <si>
    <t>BẢNG 2.  TỶ LỆ CÁC KHOẢN PHỤ CẤP</t>
  </si>
  <si>
    <t>Loại phụ cấp</t>
  </si>
  <si>
    <t>Tỷ lệ</t>
  </si>
  <si>
    <t>Phụ cấp lưu động</t>
  </si>
  <si>
    <t>Không ổn định sản xuất</t>
  </si>
  <si>
    <t>Lương phụ nghỉ lễ, tết hoặc nghỉ phép ...</t>
  </si>
  <si>
    <t>Chi phí có thể khoán trực tiếp cho người lao động</t>
  </si>
  <si>
    <t>Phụ cấp khu vực</t>
  </si>
  <si>
    <t>Phụ cấp độc hại</t>
  </si>
  <si>
    <t>Phụ cấp thu hút</t>
  </si>
  <si>
    <t>Phụ cấp trách nhiệm</t>
  </si>
  <si>
    <t>Phụ cấp bảo hiểm</t>
  </si>
  <si>
    <t>Phụ cấp vùng sâu, vùng xa, khó khăn, đắt đỏ</t>
  </si>
  <si>
    <t>BẢNG 3.  ĐƠN GIÁ NHIÊN LIỆU, ĐIỆN (TRƯỚC THUẾ VAT)</t>
  </si>
  <si>
    <t>Loại nhiên liệu, năng lượng</t>
  </si>
  <si>
    <t>Diezel</t>
  </si>
  <si>
    <t>Lít</t>
  </si>
  <si>
    <t>Mazut</t>
  </si>
  <si>
    <t>Điện</t>
  </si>
  <si>
    <t>kwh</t>
  </si>
  <si>
    <t>Xăng A92</t>
  </si>
  <si>
    <t>BẢNG 4.  HỆ SỐ NHIÊN LIỆU PHỤ</t>
  </si>
  <si>
    <t>Loại động cơ</t>
  </si>
  <si>
    <t>Động cơ Diezel</t>
  </si>
  <si>
    <t>Động cơ Mazut</t>
  </si>
  <si>
    <t>Động cơ Điện</t>
  </si>
  <si>
    <t>Động cơ Xăng</t>
  </si>
  <si>
    <t>BẢNG 5.  THU HỒI KHI THANH LÝ</t>
  </si>
  <si>
    <t>Thu hồi thanh lý khi nguyên giá từ (triệu đồng)</t>
  </si>
  <si>
    <t>Tỷ lệ thu hồi khi thanh lý</t>
  </si>
  <si>
    <t>BẢNG 6.  LÀM TRÒN SỐ HỌC</t>
  </si>
  <si>
    <t>Đối tượng làm tròn</t>
  </si>
  <si>
    <t>Làm tròn</t>
  </si>
  <si>
    <t>Giá</t>
  </si>
  <si>
    <t>Đơn giá Nhân công, Lương thợ lái máy</t>
  </si>
  <si>
    <t>Tổng đơn giá</t>
  </si>
  <si>
    <t>Hệ số lương</t>
  </si>
  <si>
    <t>BẢNG 7.  CÁC KÝ HIỆU VIẾT TẮT</t>
  </si>
  <si>
    <t>Ý nghĩa ký hiệu viết tắt</t>
  </si>
  <si>
    <t>Ký hiệu</t>
  </si>
  <si>
    <t>Mức lương đầu vào</t>
  </si>
  <si>
    <t>LNC</t>
  </si>
  <si>
    <t>Lương cơ bản (lương cấp bậc)</t>
  </si>
  <si>
    <t>LCB</t>
  </si>
  <si>
    <t>Hệ số lương theo cấp bậc</t>
  </si>
  <si>
    <t>HCB</t>
  </si>
  <si>
    <t>BẢNG TÍNH ĐƠN GIÁ NHÂN CÔNG</t>
  </si>
  <si>
    <t>(Theo QĐ 117/2022 Hải Phòng.)</t>
  </si>
  <si>
    <t>Tên nhân công</t>
  </si>
  <si>
    <t>Hệ số lương (HCB)</t>
  </si>
  <si>
    <t>Đơn giá NC bình quân
(đ/công)</t>
  </si>
  <si>
    <t>Hệ số lương bình quân</t>
  </si>
  <si>
    <t>Lương CB
(đ/công)</t>
  </si>
  <si>
    <t>Hệ số
điều chỉnh
nhân công</t>
  </si>
  <si>
    <t>Đơn giá
nhân công
(đ/công)</t>
  </si>
  <si>
    <t>Hệ số lương (chưa làm tròn)</t>
  </si>
  <si>
    <t>BẢNG TÍNH ĐƠN GIÁ CA MÁY</t>
  </si>
  <si>
    <t>(Theo Thông tư 13/2021/TT-BXD, QĐ 117/2022 Hải Phòng.)</t>
  </si>
  <si>
    <t>Tên máy và thiết bị thi công / Diễn giải</t>
  </si>
  <si>
    <t>Số ca / 1 năm</t>
  </si>
  <si>
    <t>Định mức</t>
  </si>
  <si>
    <t>Số ngày / tháng</t>
  </si>
  <si>
    <t>* Nhiên liệu, năng lượng :</t>
  </si>
  <si>
    <t>* Nhân công vận hành máy :</t>
  </si>
  <si>
    <t xml:space="preserve"> - Nhân công bậc 4,0/7 - Nhóm 4</t>
  </si>
  <si>
    <t>Lương cơ bản</t>
  </si>
  <si>
    <t xml:space="preserve"> - Nhân công bậc 6,0/7 - Nhóm 4</t>
  </si>
  <si>
    <t>* Khấu hao, Sửa chữa và Chi phí khác</t>
  </si>
  <si>
    <t xml:space="preserve"> - Khấu hao</t>
  </si>
  <si>
    <t xml:space="preserve"> - Sửa chữa</t>
  </si>
  <si>
    <t xml:space="preserve"> - Chi phí khác</t>
  </si>
  <si>
    <t xml:space="preserve"> - Nhân công bậc 3,0/7 - Nhóm 4</t>
  </si>
  <si>
    <t xml:space="preserve"> - Nhân công bậc 5,0/7 - Nhóm 4</t>
  </si>
  <si>
    <t xml:space="preserve"> - Lái xe bậc 2/4 - Nhóm 4</t>
  </si>
  <si>
    <t xml:space="preserve"> - Lái xe bậc 3/4 - Nhóm 4</t>
  </si>
  <si>
    <t>HAO PHÍ VẬT LIỆU, NHÂN CÔNG, MÁY CHO CÁC CÔNG TÁC XÂY DỰNG</t>
  </si>
  <si>
    <t>VL khác, Máy khác</t>
  </si>
  <si>
    <t>VLK gốc</t>
  </si>
  <si>
    <t>MK gốc</t>
  </si>
  <si>
    <t>VLK HT</t>
  </si>
  <si>
    <t>MK HT</t>
  </si>
  <si>
    <t>Cước VC</t>
  </si>
  <si>
    <t>Cước bộ</t>
  </si>
  <si>
    <t>So sánh</t>
  </si>
  <si>
    <t>Mã hiệu</t>
  </si>
  <si>
    <t>Tên công tác / vật tư</t>
  </si>
  <si>
    <t>Định mức hao phí</t>
  </si>
  <si>
    <t>Khối lượng hao phí</t>
  </si>
  <si>
    <t>N. công</t>
  </si>
  <si>
    <t>b) Nhân công</t>
  </si>
  <si>
    <t>c) Máy thi công</t>
  </si>
  <si>
    <t>M999</t>
  </si>
  <si>
    <t>Máy khác</t>
  </si>
  <si>
    <t>%</t>
  </si>
  <si>
    <t>a) Vật liệu</t>
  </si>
  <si>
    <t>Z999</t>
  </si>
  <si>
    <t>Vât liệu khác</t>
  </si>
  <si>
    <t>Vật liệu khác</t>
  </si>
  <si>
    <t>BẢNG TỔNG HỢP VẬT TƯ VÀ CHÊNH LỆCH GIÁ</t>
  </si>
  <si>
    <t>Cước ôtô
Cước sông</t>
  </si>
  <si>
    <t>TỔNG VẬT LIỆU</t>
  </si>
  <si>
    <t>TỔNG NHÂN CÔNG</t>
  </si>
  <si>
    <t>TỔNG MÁY THI CÔNG</t>
  </si>
  <si>
    <t>BẢNG CƯỚC VẬN CHUYỂN</t>
  </si>
  <si>
    <t>Tên vật liệu
/
Diễn giải vận chuyển</t>
  </si>
  <si>
    <t>Đơn
vị</t>
  </si>
  <si>
    <t>Khối
lượng</t>
  </si>
  <si>
    <t>Nhóm vật liệu</t>
  </si>
  <si>
    <t>Quy
đổi
đơn
vị</t>
  </si>
  <si>
    <t>Nguồn
mua</t>
  </si>
  <si>
    <t>Phương
tiện
vận
chuyển
/ Loại
hình</t>
  </si>
  <si>
    <t>Bậc
hàng</t>
  </si>
  <si>
    <t>Hệ
số
bậc
hàng</t>
  </si>
  <si>
    <t>Cự
ly
tổng
(km)</t>
  </si>
  <si>
    <t>Cung
đường</t>
  </si>
  <si>
    <t>H.số
đổ
ben
hoặc
bốc
dỡ</t>
  </si>
  <si>
    <t>H.số
sử
dụng
xe
tải
nhỏ</t>
  </si>
  <si>
    <t>Định
mức
ca
máy
&lt;=1
km</t>
  </si>
  <si>
    <t>Định
mức
ca
máy
&lt;=10
km</t>
  </si>
  <si>
    <t>Định
mức
ca
máy
&lt;=60
km</t>
  </si>
  <si>
    <t>Định
mức
ca
máy
&gt;60
km</t>
  </si>
  <si>
    <t>Định mức
ca máy
(ca/km)</t>
  </si>
  <si>
    <t>Định mức
ca máy
đã v/c
trước
(ca/km)</t>
  </si>
  <si>
    <t>Đơn giá
ca máy
(đ/ca)</t>
  </si>
  <si>
    <t>Giá cước
(đ)</t>
  </si>
  <si>
    <t>Cộng
thêm
cước
(đ/T)</t>
  </si>
  <si>
    <t>Thành tiền
Chi phí
(đ)</t>
  </si>
  <si>
    <t>Hệ
số
điều
chỉnh
cước
VC</t>
  </si>
  <si>
    <t>Cước V/C
sau khi
điều
chỉnh
(đ)</t>
  </si>
  <si>
    <t>Bốc xếp
+ vận
chuyển
bằng xe
ben
(đ)</t>
  </si>
  <si>
    <t>Định
mức
bốc
lên
khi
trung
chuyển</t>
  </si>
  <si>
    <t>Định
mức
dỡ
xuống
khi
trung
chuyển</t>
  </si>
  <si>
    <t>Đơn giá
bốc dỡ</t>
  </si>
  <si>
    <t>Chi phí
bốc dỡ
khi
trung
chuyển
(đ)</t>
  </si>
  <si>
    <t>Hệ số
hao hụt
khi
trung
chuyển</t>
  </si>
  <si>
    <t>Chi phí
hao hụt
khi
trung
chuyển
(đ)</t>
  </si>
  <si>
    <t>Định
mức
bốc
lên
khi
bảo
quản</t>
  </si>
  <si>
    <t>Định
mức
dỡ
xuống
khi
bảo
quản</t>
  </si>
  <si>
    <t>Chi phí
bốc dỡ
khi
bảo
quản
(đ)</t>
  </si>
  <si>
    <t>Hệ
số
hao
hụt
bảo
quản</t>
  </si>
  <si>
    <t>Chi phí
hao
hụt
bảo
quản</t>
  </si>
  <si>
    <t>Giá V/C
trước
thuế
(đ)</t>
  </si>
  <si>
    <t>Thành tiền
Vận chuyển
(đ)</t>
  </si>
  <si>
    <t>Giá vật
liệu gốc
trước thuế
(đ)</t>
  </si>
  <si>
    <t>Giá hiện
trường
trước
thuế
(đ)</t>
  </si>
  <si>
    <t>Thành tiền
hiện trường
(đ)</t>
  </si>
  <si>
    <t>Cự
ly
(km)</t>
  </si>
  <si>
    <t>Loại
đường</t>
  </si>
  <si>
    <t>Hệ
số
loại
đường</t>
  </si>
  <si>
    <t>Đã
v/c
(km)</t>
  </si>
  <si>
    <t>Cự
ly
&lt;=1
km</t>
  </si>
  <si>
    <t>Cự
ly
&lt;=10
km</t>
  </si>
  <si>
    <t>Cự
ly
&lt;=60
km</t>
  </si>
  <si>
    <t>Cự
ly
&gt;60
km</t>
  </si>
  <si>
    <t>ô tô thùng 7T</t>
  </si>
  <si>
    <t>ô tô tự đổ 7T</t>
  </si>
  <si>
    <t>Đá dăm</t>
  </si>
  <si>
    <t>Thép các loại</t>
  </si>
  <si>
    <t>Gạch xây các loại</t>
  </si>
  <si>
    <t>Gỗ các loại</t>
  </si>
  <si>
    <t>Ống cống bê tông</t>
  </si>
  <si>
    <t>Xi măng bao</t>
  </si>
  <si>
    <t>BẢNG CƯỚC VẬN CHUYỂN BỘ HẠNG MỤC CÔNG TRÌNH</t>
  </si>
  <si>
    <t>Tên vật liệu
/
Diễn giải
cung đường</t>
  </si>
  <si>
    <t>Phương
tiện
vận
chuyển</t>
  </si>
  <si>
    <t>Có
bốc
dỡ</t>
  </si>
  <si>
    <t>Cự ly
vận
chuyển
(m)</t>
  </si>
  <si>
    <t>Hệ
số
cự
ly</t>
  </si>
  <si>
    <t>Cự ly
quy
đổi
(m)</t>
  </si>
  <si>
    <t>Số công bốc dỡ / V.C
(công)</t>
  </si>
  <si>
    <t>Đơn giá bốc dỡ / V.C
(đồng)</t>
  </si>
  <si>
    <t>Hệ
số
độ
dốc</t>
  </si>
  <si>
    <t>Giá
cước
1 cung
đường
(đ)</t>
  </si>
  <si>
    <t>Hệ
số
khu
vực</t>
  </si>
  <si>
    <t>Hệ
số
điều
chỉnh
cước</t>
  </si>
  <si>
    <t>Trọng
lượng
đơn
vị</t>
  </si>
  <si>
    <t>Giá
cước bộ
(đ)</t>
  </si>
  <si>
    <t>Thành tiền
vận
chuyển
(đ)</t>
  </si>
  <si>
    <t>Đơn giá
NC
(đ)</t>
  </si>
  <si>
    <t>Bốc dỡ</t>
  </si>
  <si>
    <t>10m đầu</t>
  </si>
  <si>
    <t>10m tiếp</t>
  </si>
  <si>
    <t>Cát các loại</t>
  </si>
  <si>
    <t>Sỏi, đá dăm các loại</t>
  </si>
  <si>
    <t>Tre, cây chống</t>
  </si>
  <si>
    <t>ĐƠN GIÁ XÂY DỰNG CHI TIẾT HẠNG MỤC CÔNG TRÌNH</t>
  </si>
  <si>
    <t>Thành phần hao phí</t>
  </si>
  <si>
    <t>Cộng</t>
  </si>
  <si>
    <t>GIÁ XÂY DỰNG TỔNG HỢP HẠNG MỤC CÔNG TRÌNH</t>
  </si>
  <si>
    <t>Tên công tác</t>
  </si>
  <si>
    <t>TỔNG CỘNG</t>
  </si>
  <si>
    <t>LÀM TRÒN</t>
  </si>
  <si>
    <t>BẢNG TỔNG HỢP DỰ TOÁN CHI PHÍ XÂY DỰNG</t>
  </si>
  <si>
    <t>Tên hạng mục: SỬA CHỮA NỀN MẶT ĐƯỜNG, HỆ THỐNG THOÁT NƯỚC</t>
  </si>
  <si>
    <t>Nội dung chi phí</t>
  </si>
  <si>
    <t>Cách tính</t>
  </si>
  <si>
    <t>CHI PHÍ TRỰC TIẾP</t>
  </si>
  <si>
    <t>1</t>
  </si>
  <si>
    <t>Chi phí Vật liệu</t>
  </si>
  <si>
    <t>VL</t>
  </si>
  <si>
    <t xml:space="preserve"> + Theo đơn giá trực tiếp</t>
  </si>
  <si>
    <t>A1</t>
  </si>
  <si>
    <t>Bảng dự toán hạng mục</t>
  </si>
  <si>
    <t xml:space="preserve"> + Chênh lệch vật liệu</t>
  </si>
  <si>
    <t>CL</t>
  </si>
  <si>
    <t>Theo bảng bù giá</t>
  </si>
  <si>
    <t>A</t>
  </si>
  <si>
    <t>A1 + CL</t>
  </si>
  <si>
    <t>2</t>
  </si>
  <si>
    <t>Chi phí Nhân công</t>
  </si>
  <si>
    <t>NC</t>
  </si>
  <si>
    <t>B1</t>
  </si>
  <si>
    <t>3</t>
  </si>
  <si>
    <t>Chi phí Máy thi công</t>
  </si>
  <si>
    <t>M</t>
  </si>
  <si>
    <t>C1</t>
  </si>
  <si>
    <t xml:space="preserve"> + Chênh lệch Máy thi công</t>
  </si>
  <si>
    <t>CLMay</t>
  </si>
  <si>
    <t>C</t>
  </si>
  <si>
    <t>C1 + CLMay</t>
  </si>
  <si>
    <t>Cộng chi phí trực tiếp</t>
  </si>
  <si>
    <t>T</t>
  </si>
  <si>
    <t>VL + NC + M</t>
  </si>
  <si>
    <t>CHI PHÍ GIÁN TIẾP</t>
  </si>
  <si>
    <t>Chi phí chung</t>
  </si>
  <si>
    <t>Chi phí nhà tạm để ở và điều hành thi công</t>
  </si>
  <si>
    <t>LT</t>
  </si>
  <si>
    <t>Chi phí một số công việc không xác định được khối lượng từ thiết kế</t>
  </si>
  <si>
    <t>Cộng chi phí gián tiếp</t>
  </si>
  <si>
    <t>GT</t>
  </si>
  <si>
    <t>(C + LT + TT)</t>
  </si>
  <si>
    <t>THU NHẬP CHỊU THUẾ TÍNH TRƯỚC</t>
  </si>
  <si>
    <t>TL</t>
  </si>
  <si>
    <t>Chi phí xây dựng trước thuế</t>
  </si>
  <si>
    <t>G</t>
  </si>
  <si>
    <t>(T+GT+TL)</t>
  </si>
  <si>
    <t>IV</t>
  </si>
  <si>
    <t>THUẾ GIÁ TRỊ GIA TĂNG</t>
  </si>
  <si>
    <t>GTGT</t>
  </si>
  <si>
    <t>V</t>
  </si>
  <si>
    <t>Chi phí xây dựng sau thuế</t>
  </si>
  <si>
    <t>Gxd</t>
  </si>
  <si>
    <t>G+GTGT</t>
  </si>
  <si>
    <t>Bằng chữ : Hai tỷ không trăm sáu mươi mốt triệu chín trăm năm mươi nghìn đồng chẵn./.</t>
  </si>
  <si>
    <t>BẢNG TỔNG HỢP CHI PHÍ XÂY DỰNG CÔNG TRÌNH</t>
  </si>
  <si>
    <t>Hạng mục</t>
  </si>
  <si>
    <t>Chi phí xây dựng
trước thuế</t>
  </si>
  <si>
    <t>Thuế giá trị
gia tăng</t>
  </si>
  <si>
    <t>Chi phí xây dựng
sau thuế</t>
  </si>
  <si>
    <t>Chi phí khác</t>
  </si>
  <si>
    <t>Tổng cộng</t>
  </si>
  <si>
    <t>BẢNG TỔNG HỢP CHI PHÍ THIẾT BỊ CÔNG TRÌNH</t>
  </si>
  <si>
    <t>Số lượng</t>
  </si>
  <si>
    <t>Thuế VAT</t>
  </si>
  <si>
    <t>Chi phí mua sắm thiết bị</t>
  </si>
  <si>
    <t>Không đồng chẵn./.</t>
  </si>
  <si>
    <t>CHỈ SỐ GIÁ BÌNH QUÂN</t>
  </si>
  <si>
    <t>Thời điểm</t>
  </si>
  <si>
    <t>Chỉ số giá XD</t>
  </si>
  <si>
    <t>Tỷ lệ ( Isau / Itrước )</t>
  </si>
  <si>
    <t>Chỉ số giá XD bình quân</t>
  </si>
  <si>
    <t>2017</t>
  </si>
  <si>
    <t>2018</t>
  </si>
  <si>
    <t>2019</t>
  </si>
  <si>
    <t>2020</t>
  </si>
  <si>
    <t>2021</t>
  </si>
  <si>
    <t>CHI PHÍ DỰ PHÒNG DO YẾU TỐ TRƯỢT GIÁ</t>
  </si>
  <si>
    <t>Năm</t>
  </si>
  <si>
    <t>Vốn phân bổ từng năm</t>
  </si>
  <si>
    <t>Lãi vay</t>
  </si>
  <si>
    <t>Chi phí tính dự phòng</t>
  </si>
  <si>
    <t>Mức biến động chỉ số giá XD</t>
  </si>
  <si>
    <t>Dự phòng từng năm</t>
  </si>
  <si>
    <t>Dự phòng lũy kế</t>
  </si>
  <si>
    <t>2022</t>
  </si>
  <si>
    <t>2023</t>
  </si>
  <si>
    <t>2024</t>
  </si>
  <si>
    <t>BẢNG TỔNG HỢP DỰ TOÁN CÔNG TRÌNH</t>
  </si>
  <si>
    <t>Tổng mức đầu tư</t>
  </si>
  <si>
    <t>Khoản mục chi phí</t>
  </si>
  <si>
    <t>Chi phí trước thuế</t>
  </si>
  <si>
    <t>Thuế giá trị gia tăng</t>
  </si>
  <si>
    <t>Chi phí sau thuế</t>
  </si>
  <si>
    <t>Dự kiến</t>
  </si>
  <si>
    <t>Tiền khả thi</t>
  </si>
  <si>
    <t>Được duyệt</t>
  </si>
  <si>
    <t>Chi phí bồi thường, hỗ trợ và tái định cư</t>
  </si>
  <si>
    <t>Gbt,tđc</t>
  </si>
  <si>
    <t>Gbttdc</t>
  </si>
  <si>
    <t>Chi phí xây dựng</t>
  </si>
  <si>
    <t>Gcpxd</t>
  </si>
  <si>
    <t>1.1</t>
  </si>
  <si>
    <t>Chi phí xây dựng công trình chính, phụ trợ tạm phục vụ thi công</t>
  </si>
  <si>
    <t>Gxdcpt</t>
  </si>
  <si>
    <t>Gxd.1</t>
  </si>
  <si>
    <t>1.2</t>
  </si>
  <si>
    <t>Chi phí xây dựng nhà tạm tại hiện trường để ở và điều hành thi công</t>
  </si>
  <si>
    <t>Gnt</t>
  </si>
  <si>
    <t>Gxdnt</t>
  </si>
  <si>
    <t>Chi phí thiết bị</t>
  </si>
  <si>
    <t>Gtb</t>
  </si>
  <si>
    <t>2.1</t>
  </si>
  <si>
    <t>Trong đó :</t>
  </si>
  <si>
    <t>Gtb_CT</t>
  </si>
  <si>
    <t>+ Chi phí Mua sắm thiết bị</t>
  </si>
  <si>
    <t>Gtb_MS</t>
  </si>
  <si>
    <t>+ Chi phí lắp đặt, thí nghiệm, hiệu chỉnh, đào tạo và chuyển giao thiết bị</t>
  </si>
  <si>
    <t>Gtb_LD</t>
  </si>
  <si>
    <t>2.2</t>
  </si>
  <si>
    <t>Phân bổ chi phí thiết bị cho các hạng mục, công trình</t>
  </si>
  <si>
    <t>Gtb_PB</t>
  </si>
  <si>
    <t>Gtb.1</t>
  </si>
  <si>
    <t>Chi phí quản lý dự án</t>
  </si>
  <si>
    <t>Gqlda</t>
  </si>
  <si>
    <t>Chi phí hoạt động của đơn vị quản lý dự án thuộc cơ quan nhà nước có thẩm quyền thực hiện dự án theo hình thức đối tác công tư (PPP)</t>
  </si>
  <si>
    <t>GqldaPPP</t>
  </si>
  <si>
    <t>4</t>
  </si>
  <si>
    <t>Chi phí tư vấn đầu tư xây dựng</t>
  </si>
  <si>
    <t>Gtv</t>
  </si>
  <si>
    <t>4.1</t>
  </si>
  <si>
    <t>Gtv1</t>
  </si>
  <si>
    <t>Gks</t>
  </si>
  <si>
    <t>Chi phí lập nhiệm vụ khảo sát xây dựng</t>
  </si>
  <si>
    <t>Gtv2</t>
  </si>
  <si>
    <t>Glnvks</t>
  </si>
  <si>
    <t>Chi phí giám sát công tác khảo sát xây dựng</t>
  </si>
  <si>
    <t>Gtv3</t>
  </si>
  <si>
    <t>Ggsks</t>
  </si>
  <si>
    <t>Chi phí lập dự án</t>
  </si>
  <si>
    <t>Gtv4</t>
  </si>
  <si>
    <t>Glapda</t>
  </si>
  <si>
    <t>Chi phí thẩm tra tính hiệu quả và tính khả thi của dự án đầu tư</t>
  </si>
  <si>
    <t>Gtv5</t>
  </si>
  <si>
    <t>Ghqkt</t>
  </si>
  <si>
    <t>Chi phí Thẩm định báo cáo đánh giá tác động môi trường (Thông tư 195/2016/TT-BTC)</t>
  </si>
  <si>
    <t>Gtv6</t>
  </si>
  <si>
    <t>Gdgtdmt</t>
  </si>
  <si>
    <t>Chi phí lập báo cáo nghiên cứu tiền khả thi</t>
  </si>
  <si>
    <t>Gtv7</t>
  </si>
  <si>
    <t>Gbcnctkt</t>
  </si>
  <si>
    <t>Chi phí lập báo cáo nghiên cứu khả thi</t>
  </si>
  <si>
    <t>Gtv8</t>
  </si>
  <si>
    <t>Gbcnckt</t>
  </si>
  <si>
    <t>4.2</t>
  </si>
  <si>
    <t>Chi phí lập báo cáo kinh tế - kỹ thuật</t>
  </si>
  <si>
    <t>Gbcktkt</t>
  </si>
  <si>
    <t>Chi phí thẩm tra báo cáo nghiên cứu tiền khả thi</t>
  </si>
  <si>
    <t>Gtv10</t>
  </si>
  <si>
    <t>Gttbcnctkt</t>
  </si>
  <si>
    <t>Chi phí thẩm tra báo cáo nghiên cứu khả thi</t>
  </si>
  <si>
    <t>Gtv11</t>
  </si>
  <si>
    <t>Gttbcnckt</t>
  </si>
  <si>
    <t>Chi phí thẩm tra thiết kế công nghệ</t>
  </si>
  <si>
    <t>Gtv12</t>
  </si>
  <si>
    <t>Gtttkcn</t>
  </si>
  <si>
    <t>4.3</t>
  </si>
  <si>
    <t>Chi phí thẩm tra Báo cáo kinh tế - kỹ thuật, phần thiết kế</t>
  </si>
  <si>
    <t>Gttbcktkt_tk</t>
  </si>
  <si>
    <t>Chi phí thẩm tra Báo cáo kinh tế - kỹ thuật, phần dự toán</t>
  </si>
  <si>
    <t>Gttbcktkt_dt</t>
  </si>
  <si>
    <t>Chi phí thẩm định Báo cáo nghiên cứu khả thi</t>
  </si>
  <si>
    <t>Gtv15</t>
  </si>
  <si>
    <t>Gtdbcnckt</t>
  </si>
  <si>
    <t>Chi phí thẩm định Báo cáo kinh tế - kỹ thuật</t>
  </si>
  <si>
    <t>Gtv16</t>
  </si>
  <si>
    <t>Gtdbcktkt</t>
  </si>
  <si>
    <t>Chi phí thi tuyển thiết kế kiến trúc</t>
  </si>
  <si>
    <t>Gtv17</t>
  </si>
  <si>
    <t>Gkt</t>
  </si>
  <si>
    <t>Chi phí thiết kế kỹ thuật</t>
  </si>
  <si>
    <t>Gtv18</t>
  </si>
  <si>
    <t>Gtk</t>
  </si>
  <si>
    <t>Chi phí thiết kế bản vẽ thi công</t>
  </si>
  <si>
    <t>Gtv19</t>
  </si>
  <si>
    <t>Gtkbv</t>
  </si>
  <si>
    <t>Chi phí thẩm tra thiết kế kỹ thuật</t>
  </si>
  <si>
    <t>Gtv20</t>
  </si>
  <si>
    <t>Gtttkkt</t>
  </si>
  <si>
    <t>Chi phí thẩm tra thiết kế bản vẽ thi công</t>
  </si>
  <si>
    <t>Gtv21</t>
  </si>
  <si>
    <t>Gtttktc</t>
  </si>
  <si>
    <t>Chi phí thẩm tra dự toán công trình</t>
  </si>
  <si>
    <t>Gtv22</t>
  </si>
  <si>
    <t>Gttdt</t>
  </si>
  <si>
    <t>Chi phí Lập hồ sơ mời thầu, đánh giá hồ sơ dự thầu thi công xây dựng</t>
  </si>
  <si>
    <t>Glcnt</t>
  </si>
  <si>
    <t>Chi phí lập hồ sơ mời quan tâm, hồ sơ mời sơ tuyển (Nghị định 63/2014/NĐ-CP)</t>
  </si>
  <si>
    <t>Gtv24</t>
  </si>
  <si>
    <t>0,05%*Gcpxd</t>
  </si>
  <si>
    <t>Glhsmqt</t>
  </si>
  <si>
    <t>Chi phí thẩm định hồ sơ mời quan tâm, hồ sơ mời sơ tuyển (Nghị định 63/2014/NĐ-CP)</t>
  </si>
  <si>
    <t>Gtv25</t>
  </si>
  <si>
    <t>0,03%*Gcpxd</t>
  </si>
  <si>
    <t>Gtdhsmqt</t>
  </si>
  <si>
    <t>Chi phí lập hồ sơ mời thầu, hồ sơ yêu cầu (Nghị định 63/2014/NĐ-CP)</t>
  </si>
  <si>
    <t>Gtv26</t>
  </si>
  <si>
    <t>0,1%*Gcpxd</t>
  </si>
  <si>
    <t>Glhsmt</t>
  </si>
  <si>
    <t>Chi phí thẩm định hồ sơ mời thầu, hồ sơ yêu cầu (Nghị định 63/2014/NĐ-CP)</t>
  </si>
  <si>
    <t>0,05%*GGTXD (Dự toán gói thầu)</t>
  </si>
  <si>
    <t>Gtdhsmt</t>
  </si>
  <si>
    <t>Chi phí đánh giá hồ sơ quan tâm, hồ sơ dự sơ tuyển (Nghị định 63/2014/NĐ-CP)</t>
  </si>
  <si>
    <t>Gtv28</t>
  </si>
  <si>
    <t>Gdghsqt</t>
  </si>
  <si>
    <t>Chi phí đánh giá hồ sơ dự thầu, hồ sơ đề xuất (Nghị định 63/2014/NĐ-CP)</t>
  </si>
  <si>
    <t>0,1%*GGTXD (Dự toán gói thầu)</t>
  </si>
  <si>
    <t>Gdghsdt</t>
  </si>
  <si>
    <t>Chi phí thẩm định kết quả lựa chọn nhà thầu (Nghị định 63/2014/NĐ-CP)</t>
  </si>
  <si>
    <t>Gtdkqnt</t>
  </si>
  <si>
    <t>Chi phí cho Hội đồng tư vấn giải quyết kiến nghị của nhà thầu (Nghị định 63/2014/NĐ-CP)</t>
  </si>
  <si>
    <t>Gtv31</t>
  </si>
  <si>
    <t>0,02%*Gcpxd</t>
  </si>
  <si>
    <t>Ghdtvgqkn</t>
  </si>
  <si>
    <t>4.9</t>
  </si>
  <si>
    <t>Chi phí giám sát thi công xây dựng</t>
  </si>
  <si>
    <t>Gtv9</t>
  </si>
  <si>
    <t>Ggstcxd</t>
  </si>
  <si>
    <t>Chi phí lập hồ sơ mời thầu, đánh giá hồ sơ dự thầu mua sắm thiết bị</t>
  </si>
  <si>
    <t>Gtv33</t>
  </si>
  <si>
    <t>Glcldtb</t>
  </si>
  <si>
    <t>Chi phí lập hồ sơ mời quan tâm, đánh giá hồ sơ quan tâm</t>
  </si>
  <si>
    <t>Gtv34</t>
  </si>
  <si>
    <t>Glhsmqt79</t>
  </si>
  <si>
    <t>Chi phí lập hồ sơ yêu cầu, đánh giá hồ sơ đề xuất</t>
  </si>
  <si>
    <t>Gtv35</t>
  </si>
  <si>
    <t>Glhsyc79</t>
  </si>
  <si>
    <t>Chi phí giám sát lắp đặt thiết bị</t>
  </si>
  <si>
    <t>Gtv36</t>
  </si>
  <si>
    <t>Ggsldtb</t>
  </si>
  <si>
    <t>Chi phí Lập hồ sơ mời thầu, đánh giá hồ sơ dự thầu tư vấn</t>
  </si>
  <si>
    <t>Gtv37</t>
  </si>
  <si>
    <t>Gthautv</t>
  </si>
  <si>
    <t>5</t>
  </si>
  <si>
    <t>Gk</t>
  </si>
  <si>
    <t>Chi phí rà phá bom mìn, vật nổ</t>
  </si>
  <si>
    <t>Gk1</t>
  </si>
  <si>
    <t>Gbommin</t>
  </si>
  <si>
    <t>Chi phí hạng mục chung, phụ trợ khác</t>
  </si>
  <si>
    <t>Gk2</t>
  </si>
  <si>
    <t>Ghmc</t>
  </si>
  <si>
    <t>Phí thẩm định thiết kế (Thông tư 210/2016/TT-BTC)</t>
  </si>
  <si>
    <t>Gk3</t>
  </si>
  <si>
    <t>Gtttk_BTC</t>
  </si>
  <si>
    <t>Phí thẩm định dự toán (Thông tư 210/2016/TT-BTC)</t>
  </si>
  <si>
    <t>Gk4</t>
  </si>
  <si>
    <t>Gttdt_BTC</t>
  </si>
  <si>
    <t>Phí thẩm định dự án đầu tư xây dựng (Thông tư 209/2016/TT-BTC)</t>
  </si>
  <si>
    <t>Gthamdinh</t>
  </si>
  <si>
    <t>Phí thẩm định thiết kế cơ sở (Thông tư 209/2016/TT-BTC)</t>
  </si>
  <si>
    <t>Gk6</t>
  </si>
  <si>
    <t>GthamdinhTKCSTruoc</t>
  </si>
  <si>
    <t>Phí thẩm định phê duyệt thiết kế về phòng cháy và chữa cháy (Thông tư 258/2016/TT-BTC)</t>
  </si>
  <si>
    <t>Gk7</t>
  </si>
  <si>
    <t>GthamdinhPCCC</t>
  </si>
  <si>
    <t>Chi phí thẩm tra, phê duyệt quyết toán</t>
  </si>
  <si>
    <t>Gthamtra</t>
  </si>
  <si>
    <t>Chi phí kiểm toán độc lập</t>
  </si>
  <si>
    <t>Gk9</t>
  </si>
  <si>
    <t>Gkiemtoan</t>
  </si>
  <si>
    <t>Phí bảo hiểm công trình (Phụ lục 7 - Thông tư 329/2016/TT-BTC)</t>
  </si>
  <si>
    <t>Gk10</t>
  </si>
  <si>
    <t>Gbaohiem</t>
  </si>
  <si>
    <t>Phí bảo hiểm trách nhiệm nghề nghiệp Tư vấn đầu tư xây dựng (Phụ lục 8 - Thông tư 329/2016/TT-BTC)</t>
  </si>
  <si>
    <t>Gk11</t>
  </si>
  <si>
    <t>Gbaohiemtuvan</t>
  </si>
  <si>
    <t>Chi phí kiểm tra công tác nghiệm thu công trình xây dựng (Thông tư 10/2021/TT-BXD)</t>
  </si>
  <si>
    <t>Gkiemtranghiemthu</t>
  </si>
  <si>
    <t>6</t>
  </si>
  <si>
    <t>Chi phí dự phòng</t>
  </si>
  <si>
    <t>Gdp</t>
  </si>
  <si>
    <t>Gdp1 + Gdp2</t>
  </si>
  <si>
    <t>6.1</t>
  </si>
  <si>
    <t>Chi phí dự phòng cho yếu tố khối lượng phát sinh</t>
  </si>
  <si>
    <t>Gdp1</t>
  </si>
  <si>
    <t>Chi phí dự phòng cho yếu tố trượt giá</t>
  </si>
  <si>
    <t>Gdp2</t>
  </si>
  <si>
    <t>Gtmdt</t>
  </si>
  <si>
    <t>Chi phí thẩm định, thẩm tra, kiểm toán</t>
  </si>
  <si>
    <t>Gkt1 : Gkt4</t>
  </si>
  <si>
    <t>Gthamdinhkiemtoan</t>
  </si>
  <si>
    <t>Gkt1</t>
  </si>
  <si>
    <t>GthamdinhSau</t>
  </si>
  <si>
    <t>Gkt2</t>
  </si>
  <si>
    <t>GthamdinhTKCS</t>
  </si>
  <si>
    <t>Gkt3</t>
  </si>
  <si>
    <t>GthamtraSau</t>
  </si>
  <si>
    <t>Gkt4</t>
  </si>
  <si>
    <t>GkiemtoanSau</t>
  </si>
  <si>
    <t>TỔNG CỘNG (SAU KIỂM TOÁN)</t>
  </si>
  <si>
    <t>GtmdtSau</t>
  </si>
  <si>
    <t>Glamtron</t>
  </si>
  <si>
    <t>Bù VL</t>
  </si>
  <si>
    <t>NC XL</t>
  </si>
  <si>
    <t>NC đất</t>
  </si>
  <si>
    <t>Ca máy</t>
  </si>
  <si>
    <t>BẢNG CHIẾT TÍNH DỰ THẦU HẠNG MỤC CÔNG TRÌNH</t>
  </si>
  <si>
    <t>Cộng chi phí trực tiếp ( VL+NC+M )</t>
  </si>
  <si>
    <t>Cộng chi phí gián tiếp ( C + LT + TT )</t>
  </si>
  <si>
    <t>Chi phí xây dựng trước thuế (T+GT+TL)</t>
  </si>
  <si>
    <t>Chi phí xây dựng sau thuế (G+GTGT)</t>
  </si>
  <si>
    <t>BẢNG HỆ SỐ CHI PHÍ XÂY DỰNG</t>
  </si>
  <si>
    <t>Bù V.L</t>
  </si>
  <si>
    <t>NC Đất</t>
  </si>
  <si>
    <t>BẢNG ĐƠN GIÁ DỰ THẦU HẠNG MỤC CÔNG TRÌNH</t>
  </si>
  <si>
    <t>( Bằng chữ : Hai tỷ không trăm sáu mươi mốt triệu chín trăm năm mươi mốt nghìn đồng chẵn./.</t>
  </si>
  <si>
    <t>TỔNG HỢP DỰ TOÁN GÓI THẦU</t>
  </si>
  <si>
    <t xml:space="preserve">Tên dự án: </t>
  </si>
  <si>
    <t>Tên gói thầu: SỬA CHỮA TUYẾN ĐƯỜNG TỪ NHÀ BÀ TRƯỜNG, TỔ 5 PHƯỜNG VẠN HƯƠNG ĐẾN NHÀ BÀ KIM, TỔ DÂN PHỐ BẮC HẢI PHƯỜNG BÀNG LA</t>
  </si>
  <si>
    <t xml:space="preserve">Thời điểm lập dự toán gói thầu: </t>
  </si>
  <si>
    <t xml:space="preserve">Thời gian thực hiện gói thầu: </t>
  </si>
  <si>
    <t>KHOẢN MỤC CHI PHÍ</t>
  </si>
  <si>
    <t>GIÁ TRỊ TRƯỚC THUẾ</t>
  </si>
  <si>
    <t>THUẾ GTGT</t>
  </si>
  <si>
    <t>GIÁ TRỊ SAU THUẾ</t>
  </si>
  <si>
    <t>KÝ HIỆU</t>
  </si>
  <si>
    <t>[1]</t>
  </si>
  <si>
    <t>[2]</t>
  </si>
  <si>
    <t>[3]</t>
  </si>
  <si>
    <t>[4]</t>
  </si>
  <si>
    <t>[5]</t>
  </si>
  <si>
    <t>[6]</t>
  </si>
  <si>
    <t>Chi phí xây dựng của gói thầu</t>
  </si>
  <si>
    <t>GXD</t>
  </si>
  <si>
    <t>Chi phí do Bên A cấp</t>
  </si>
  <si>
    <t>GA</t>
  </si>
  <si>
    <t>Chi phí do Bên B đấu thầu</t>
  </si>
  <si>
    <t>GB</t>
  </si>
  <si>
    <t>Gthau1</t>
  </si>
  <si>
    <t>Chi phí khác có liên quan của gói thầu</t>
  </si>
  <si>
    <t>GKXD</t>
  </si>
  <si>
    <t>Chi phí dự phòng (GDPXD1 + GDPXD2)</t>
  </si>
  <si>
    <t>GDPXD</t>
  </si>
  <si>
    <t>3.1</t>
  </si>
  <si>
    <t>GDPXD1</t>
  </si>
  <si>
    <t>3.2</t>
  </si>
  <si>
    <t>GDPXD2</t>
  </si>
  <si>
    <t>GGTXD</t>
  </si>
  <si>
    <t xml:space="preserve"> Bằng chữ : Hai tỷ ba trăm mười lăm triệu bốn trăm mười chín nghìn đồng chẵn./.</t>
  </si>
  <si>
    <t>BẢNG HỆ SỐ CHI PHÍ XÂY LẮP</t>
  </si>
  <si>
    <t>Hệ số chi phí xây lắp</t>
  </si>
  <si>
    <t>Diễn giải hệ số</t>
  </si>
  <si>
    <t>Hệ số riêng Vật liệu</t>
  </si>
  <si>
    <t>Hệ số Vật liệu phụ</t>
  </si>
  <si>
    <t>0</t>
  </si>
  <si>
    <t>Hệ số riêng Nhân công</t>
  </si>
  <si>
    <t>Hệ số Bù Nhân công</t>
  </si>
  <si>
    <t>Hệ số riêng Nhân công đất</t>
  </si>
  <si>
    <t>Hệ số Bù Nhân công đất</t>
  </si>
  <si>
    <t>Hệ số riêng Máy</t>
  </si>
  <si>
    <t>Hệ số Bù Máy</t>
  </si>
  <si>
    <t>Trực tiếp phí khác</t>
  </si>
  <si>
    <t>Chi phí chung cho công tác đất thủ công</t>
  </si>
  <si>
    <t>Thu nhập chịu thuế tính trước</t>
  </si>
  <si>
    <t>Lán trại nhà tạm</t>
  </si>
  <si>
    <t>Gián tiếp khác</t>
  </si>
  <si>
    <t>ĐỊNH MỨC QUẢN LÝ DỰ ÁN VÀ TƯ VẤN</t>
  </si>
  <si>
    <t>Tên chi phí</t>
  </si>
  <si>
    <t>Chi phí (tỷ đồng)</t>
  </si>
  <si>
    <t>Nội suy</t>
  </si>
  <si>
    <t>Ghi chú</t>
  </si>
  <si>
    <t>4.13</t>
  </si>
  <si>
    <t>4.14</t>
  </si>
  <si>
    <t>4.23</t>
  </si>
  <si>
    <t>4.32</t>
  </si>
  <si>
    <t>Bảng định vị</t>
  </si>
  <si>
    <t>7</t>
  </si>
  <si>
    <t>8</t>
  </si>
  <si>
    <t>9</t>
  </si>
  <si>
    <t>10</t>
  </si>
  <si>
    <t>11</t>
  </si>
  <si>
    <t>12</t>
  </si>
  <si>
    <t>13</t>
  </si>
  <si>
    <t>14</t>
  </si>
  <si>
    <t>15</t>
  </si>
  <si>
    <t>16</t>
  </si>
  <si>
    <t>17</t>
  </si>
  <si>
    <t>18</t>
  </si>
  <si>
    <t>19</t>
  </si>
  <si>
    <t>20</t>
  </si>
  <si>
    <t>21</t>
  </si>
  <si>
    <t>22</t>
  </si>
  <si>
    <t>Công trình</t>
  </si>
  <si>
    <t>Đơn giá, CSDL</t>
  </si>
  <si>
    <t>Mẫu tính toán</t>
  </si>
  <si>
    <t>Hệ số chung công trình</t>
  </si>
  <si>
    <t>Tiêu đề bảng</t>
  </si>
  <si>
    <t>Phông chữ sheet Tiên lượng</t>
  </si>
  <si>
    <t>Màu sắc sheet Tiên lượng</t>
  </si>
  <si>
    <t>Phông chữ các bảng khác</t>
  </si>
  <si>
    <t>Chữ ký</t>
  </si>
  <si>
    <t>Làm tròn số học</t>
  </si>
  <si>
    <t>Tổng hạng mục</t>
  </si>
  <si>
    <t>Giai đoạn QT</t>
  </si>
  <si>
    <t>Tổng giai đoạn QT</t>
  </si>
  <si>
    <t>34</t>
  </si>
  <si>
    <t>44</t>
  </si>
  <si>
    <t>53</t>
  </si>
  <si>
    <t>68</t>
  </si>
  <si>
    <t>71</t>
  </si>
  <si>
    <t>78</t>
  </si>
  <si>
    <t>74</t>
  </si>
  <si>
    <t>Thông tin chung về Công trình</t>
  </si>
  <si>
    <t>Tên công trình</t>
  </si>
  <si>
    <t>Địa điểm XD</t>
  </si>
  <si>
    <t>Chủ đầu tư</t>
  </si>
  <si>
    <t>Đơn vị thi công</t>
  </si>
  <si>
    <t>Loại (Dự, quyết toán )</t>
  </si>
  <si>
    <t>Loại công trình</t>
  </si>
  <si>
    <t>Loại thiết kế</t>
  </si>
  <si>
    <t>Cấp công trình</t>
  </si>
  <si>
    <t>Hệ số K, điều chỉnh TKế</t>
  </si>
  <si>
    <t>Công văn</t>
  </si>
  <si>
    <t>H.s chi phí Dự phòng</t>
  </si>
  <si>
    <t>CÔNG TRÌNH: SỬA CHỮA TUYẾN ĐƯỜNG TỪ NHÀ BÀ TRƯỜNG, TỔ 5 PHƯỜNG VẠN HƯƠNG ĐẾN NHÀ BÀ KIM, TỔ DÂN PHỐ BẮC HẢI PHƯỜNG BÀNG LA</t>
  </si>
  <si>
    <t>UỶ BAN NHÂN DÂN PHƯỜNG VẠN HƯƠNG</t>
  </si>
  <si>
    <t>Gqlda~0~FROUND(D16*(N7+N10),0)~FROUND(K4*G16,0)~FG16+H16~F'Định mức tư vấn'!E3|Glnvks~0~0~FROUND(K4*G20,0)~FG20+H20~0,03|Gtttkcn~0~0~FROUND(K4*G30,0)~FG30+H30~0,2|Gttbcktkt_tk~0~FROUND(D31*N7,0)~FROUND(K4*G31,0)~FG31+H31~F'Định mức tư vấn'!E6|Gttbcktkt_dt~0~FROUND(D32*N7,0)~FROUND(K4*G32,0)~FG32+H32~F'Định mức tư vấn'!E7|Glcnt~0~FROUND(D41*'Dự toán gói thầu'!C9,0)~FROUND(K4*G41,0)~FG41+H41~F'Định mức tư vấn'!E8|Ggstcxd~0~FROUND(D50*G7,0)~FROUND(K4*G50,0)~FG50+H50~F'Định mức tư vấn'!E9|Glhsmqt79~0~0~FROUND(K4*G52,0)~FG52+H52~0,3|Glhsyc79~0~0~FROUND(K4*G53,0)~FG53+H53~0,6|Gk~0~FSUMIF(K57:K68,1,G57:G68)~FSUMIF(K57:K68,1,H57:H68)~FSUMIF(K57:K68,1,I57:I68)~0|Gthamdinh~0~FD61*K72~FK4*G61~FG61+H61~0,00019|GthamdinhTKCSTruoc~0~0~FK4*G62~FG62+H62~0,5|Gthamtra~0~FD64*K72~0~FG64+H64~0,0057</t>
  </si>
  <si>
    <t>0%</t>
  </si>
  <si>
    <t>#~##~##~#</t>
  </si>
  <si>
    <t>Đơn giá , Cơ sở dữ liệu</t>
  </si>
  <si>
    <t>Tỉnh - TP</t>
  </si>
  <si>
    <t>Giá tháng</t>
  </si>
  <si>
    <t>Cước cơ giới</t>
  </si>
  <si>
    <t>Cước thủ công</t>
  </si>
  <si>
    <t>GVL2595_2022XD</t>
  </si>
  <si>
    <t>Giá máy 156/2022/QĐ-SXD Vùng 1#~#Hải Phòng#~#HaiPhong</t>
  </si>
  <si>
    <t>Chiết tính</t>
  </si>
  <si>
    <t>Tổng hợp kinh phí HM</t>
  </si>
  <si>
    <t>Tổng hợp kinh phí công trình</t>
  </si>
  <si>
    <t>Nhóm công trình</t>
  </si>
  <si>
    <t>Hệ số ...</t>
  </si>
  <si>
    <t>Tên Bảng</t>
  </si>
  <si>
    <t>Tiêu đề</t>
  </si>
  <si>
    <t>Tiên lượng</t>
  </si>
  <si>
    <t>Giá Tháng</t>
  </si>
  <si>
    <t>Phân tích vật tư</t>
  </si>
  <si>
    <t>BẢNG PHÂN TÍCH VẬT TƯ HẠNG MỤC CÔNG TRÌNH</t>
  </si>
  <si>
    <t>Tổng hợp vật tư</t>
  </si>
  <si>
    <t>Cước vận chuyển</t>
  </si>
  <si>
    <t>Cước vận chuyển bình quân</t>
  </si>
  <si>
    <t>BẢNG CƯỚC VẬN CHUYỂN BÌNH QUÂN</t>
  </si>
  <si>
    <t>Tổng hợp kinh phí hạng mục</t>
  </si>
  <si>
    <t>Tổng hợp chi phí thiết bị</t>
  </si>
  <si>
    <t>Tổng hợp chi phí XD</t>
  </si>
  <si>
    <t>Tổng hợp kinh phí</t>
  </si>
  <si>
    <t>Dự thầu</t>
  </si>
  <si>
    <t>Bìa</t>
  </si>
  <si>
    <t>HỒ SƠ DỰ TOÁN</t>
  </si>
  <si>
    <t>Đơn giá Tổng hợp</t>
  </si>
  <si>
    <t>BẢNG ĐƠN GIÁ TỔNG HỢP HẠNG MỤC CÔNG TRÌNH</t>
  </si>
  <si>
    <t>Thành phần</t>
  </si>
  <si>
    <t>Tên phông chữ</t>
  </si>
  <si>
    <t>Cỡ chữ</t>
  </si>
  <si>
    <t>Bold</t>
  </si>
  <si>
    <t>Italic</t>
  </si>
  <si>
    <t>Underline</t>
  </si>
  <si>
    <t>Strikeout</t>
  </si>
  <si>
    <t>Công tác</t>
  </si>
  <si>
    <t>Arial</t>
  </si>
  <si>
    <t>Diễn giải</t>
  </si>
  <si>
    <t>Nhóm</t>
  </si>
  <si>
    <t>Times New Roman</t>
  </si>
  <si>
    <t>Tiêu đề bảng TL</t>
  </si>
  <si>
    <t>Tên hạng mục</t>
  </si>
  <si>
    <t>Tên bảng</t>
  </si>
  <si>
    <t>R</t>
  </si>
  <si>
    <t>B</t>
  </si>
  <si>
    <t>255</t>
  </si>
  <si>
    <t>Diễn giải lỗi</t>
  </si>
  <si>
    <t>Tạm tính</t>
  </si>
  <si>
    <t>165</t>
  </si>
  <si>
    <t>42</t>
  </si>
  <si>
    <t>128</t>
  </si>
  <si>
    <t>139</t>
  </si>
  <si>
    <t>Phông chữ tiêu đề bảng</t>
  </si>
  <si>
    <t>Cỡ chữ tiêu đề bảng</t>
  </si>
  <si>
    <t>Arial Narrow</t>
  </si>
  <si>
    <t>Chữ ký (Cho phép User tự do đánh dấu cách )</t>
  </si>
  <si>
    <t>Chức danh</t>
  </si>
  <si>
    <t>Họ và tên người ký</t>
  </si>
  <si>
    <t>NGƯỜI LẬP                                                                              NGƯỜI CHỦ TRÌ</t>
  </si>
  <si>
    <t>Tròn hao phí Đ.M</t>
  </si>
  <si>
    <t>Tròn khối lượng</t>
  </si>
  <si>
    <t>Tròn giá vật tư</t>
  </si>
  <si>
    <t>Tròn đơn giá công tác</t>
  </si>
  <si>
    <t>Tròn thành tiền</t>
  </si>
  <si>
    <t>Tròn tổng thành tiền</t>
  </si>
  <si>
    <t>Tròn Hệ số</t>
  </si>
  <si>
    <t>Thông tin về Hạng mục</t>
  </si>
  <si>
    <t>Tổng số hạng mục</t>
  </si>
  <si>
    <t>Danh sách các Hạng mục</t>
  </si>
  <si>
    <t>Hệ số chi phí chung</t>
  </si>
  <si>
    <t>H.S thu nhập chịu thuế TT</t>
  </si>
  <si>
    <t>H.S riêng VL</t>
  </si>
  <si>
    <t>Hệ số VL phụ</t>
  </si>
  <si>
    <t>H.S riêng NC</t>
  </si>
  <si>
    <t>H.S bù NC</t>
  </si>
  <si>
    <t>H.S riêng NC đất</t>
  </si>
  <si>
    <t>H.S bù NC đất</t>
  </si>
  <si>
    <t>H.S riêng Máy</t>
  </si>
  <si>
    <t>H.S bù Máy</t>
  </si>
  <si>
    <t>H.S VAT</t>
  </si>
  <si>
    <t>HS Lán trại</t>
  </si>
  <si>
    <t>H.S CP Trực tiếp</t>
  </si>
  <si>
    <t>H.S đảm bảo ATGT</t>
  </si>
  <si>
    <t>H.S VAT TB</t>
  </si>
  <si>
    <t>PP tính CPC</t>
  </si>
  <si>
    <t>Hệ số CPC đất</t>
  </si>
  <si>
    <t>Hs Chi phi du phong</t>
  </si>
  <si>
    <t>Mã đất đầu</t>
  </si>
  <si>
    <t>Mã đất cuối</t>
  </si>
  <si>
    <t>Loại HM</t>
  </si>
  <si>
    <t>HsCPC</t>
  </si>
  <si>
    <t>HsTNCTTT</t>
  </si>
  <si>
    <t>HsrVL</t>
  </si>
  <si>
    <t>HsVLP</t>
  </si>
  <si>
    <t>HsrNC</t>
  </si>
  <si>
    <t>HsbNC</t>
  </si>
  <si>
    <t>HsrNCDat</t>
  </si>
  <si>
    <t>HsbNCDat</t>
  </si>
  <si>
    <t>HsrMay</t>
  </si>
  <si>
    <t>HsbMay</t>
  </si>
  <si>
    <t>VAT</t>
  </si>
  <si>
    <t>HsLT</t>
  </si>
  <si>
    <t>HsTtKhac</t>
  </si>
  <si>
    <t>HsATGT</t>
  </si>
  <si>
    <t>HsCPCDat</t>
  </si>
  <si>
    <t>HsCpDp</t>
  </si>
  <si>
    <t>MaNcDatDau</t>
  </si>
  <si>
    <t>MaNcDatCuoi</t>
  </si>
  <si>
    <t>T6,2%</t>
  </si>
  <si>
    <t>T6%</t>
  </si>
  <si>
    <t>T1</t>
  </si>
  <si>
    <t>T0</t>
  </si>
  <si>
    <t>T0,1</t>
  </si>
  <si>
    <t>T2,2%</t>
  </si>
  <si>
    <t>T2%</t>
  </si>
  <si>
    <t>0~0~0~31~4~1~0~0~0~0~0~0~0~0~1~1~0~0.9~0~0.9~0</t>
  </si>
  <si>
    <t>Phí thẩm định báo cáo KTKT</t>
  </si>
  <si>
    <t>15%*CPTT</t>
  </si>
  <si>
    <t>10%*Gtv9</t>
  </si>
  <si>
    <t>BẢNG TỔNG HỢP DỰ TOÁN THẨM ĐỊNH</t>
  </si>
  <si>
    <t>0,57% TMĐT</t>
  </si>
  <si>
    <t>Gk1 : Gk3</t>
  </si>
  <si>
    <t>3,024%  x Gxd</t>
  </si>
  <si>
    <t>3.3</t>
  </si>
  <si>
    <t>3.4</t>
  </si>
  <si>
    <t>3.5</t>
  </si>
  <si>
    <t>3.6</t>
  </si>
  <si>
    <t>3.7</t>
  </si>
  <si>
    <t>3.8</t>
  </si>
  <si>
    <t>3.9</t>
  </si>
  <si>
    <t>Gtv1 : Gtv9</t>
  </si>
  <si>
    <t xml:space="preserve"> Bằng chữ : Hai tỷ, ba trăm sáu mươi tám triệu, tám trăm bảy mươi nghìn đồng chẵn./.</t>
  </si>
  <si>
    <t>NGƯỜI LẬP</t>
  </si>
  <si>
    <t>ĐẠI DIỆN ĐƠN VỊ TƯ VẤN</t>
  </si>
  <si>
    <t>Trần Văn Hùng</t>
  </si>
  <si>
    <t>(Chứng chỉ hành nghề Kỹ sư</t>
  </si>
  <si>
    <t>Định giá xây dựng hạng III</t>
  </si>
  <si>
    <t>số HAP-00037248 ngày 01/7/2019)</t>
  </si>
  <si>
    <t>ĐẠI DIỆN CHỦ ĐẦU TƯ</t>
  </si>
  <si>
    <t>Hải Phòng, ngày  12 tháng  9   năm 2022</t>
  </si>
  <si>
    <t>BẢNG TỔNG HỢP DỰ TOÁN CHI PHÍ XÂY DỰNG THẨM ĐỊNH</t>
  </si>
  <si>
    <t>4,61295% x Gxd</t>
  </si>
  <si>
    <t>Chi phí khảo sát địa hình</t>
  </si>
  <si>
    <t>Vận chuyển đất cấp II</t>
  </si>
  <si>
    <t>Đào ga thu nước</t>
  </si>
  <si>
    <t>VÂnj chuyển đất cấp II</t>
  </si>
  <si>
    <t>Đào móng công D400</t>
  </si>
  <si>
    <t>TỔNG CỘNG(LÀM TRÒN)</t>
  </si>
  <si>
    <t>ĐẠI DIỆN NHÀ THẦU</t>
  </si>
  <si>
    <t>( Kèm theo Hợp đồng số 29.11/2022/HĐ-XD ngày 29/11/2022)</t>
  </si>
  <si>
    <t>HỆ THỐNG THOÁT NƯỚC</t>
  </si>
  <si>
    <t>SỬA CHỮA NỀN MẶT ĐƯỜNG:</t>
  </si>
  <si>
    <t>( Kèm theo thương thảo Hợp đồng số 29.11/2022/HĐ-XD ngày 29/11/2022)</t>
  </si>
  <si>
    <t>PHỤ LỤC 01: BẢNG ĐƠN GIÁ KÈM THEO THƯƠNG THẢO HỢP ĐỒNG</t>
  </si>
  <si>
    <t>PHỤ LỤC 01: BẢNG ĐƠN GIÁ KÈM THEO HỢP ĐỒNG</t>
  </si>
  <si>
    <t xml:space="preserve">   ĐẠI DIỆN CHỦ ĐẦU TƯ</t>
  </si>
  <si>
    <t>( Bằng chữ : Hai tỷ, không trăm bốn mươi tám triệu, năm trăm linh bảy nghìn đồng chẵn./.)</t>
  </si>
  <si>
    <t>Đơn vị: Đồng</t>
  </si>
  <si>
    <t>Stt</t>
  </si>
  <si>
    <t>Tên công việc</t>
  </si>
  <si>
    <t>Đơn vị tính</t>
  </si>
  <si>
    <t xml:space="preserve">Thành tiền </t>
  </si>
  <si>
    <t>(Ký, ghi rõ họ tên, chức vụ và đóng dấu)</t>
  </si>
  <si>
    <t>ĐD. TƯ VẤN GIÁM SÁT</t>
  </si>
  <si>
    <t>Chủ đầu tư: Ủy ban nhân dân phường Vạn Hương</t>
  </si>
  <si>
    <t>Nhà thầu: Công ty Cổ phần dịch vụ thương mại Thành Dương</t>
  </si>
  <si>
    <t>Công trình: Sửa chữa tuyến đường từ nhà Bà Trường, tổ 5 phường Vạn Hương đến nhà bà Kim, tổ dân phố Bắc Hải phường Bàng La</t>
  </si>
  <si>
    <t>Gói thầu số 04: Thi công xây dựng</t>
  </si>
  <si>
    <t>Đào móng cống D400</t>
  </si>
  <si>
    <t>BẢNG DIỄN GIẢI KHỐI LƯỢNG</t>
  </si>
  <si>
    <t xml:space="preserve">Vận chuyển đất bằng ôtô tự đổ 5 tấn </t>
  </si>
  <si>
    <t>12,81/100</t>
  </si>
  <si>
    <t>Đào móng công trình</t>
  </si>
  <si>
    <t>Đào móng cống</t>
  </si>
  <si>
    <t>624,94/100</t>
  </si>
  <si>
    <t>ĐD .ĐƠN VỊ THI CÔNG</t>
  </si>
  <si>
    <t>NỀN ĐƯỜNG:</t>
  </si>
  <si>
    <t>Quyết toán</t>
  </si>
  <si>
    <t>Tăng(+), giảm(-)</t>
  </si>
  <si>
    <t>Theo hợp đồng</t>
  </si>
  <si>
    <t xml:space="preserve">Đơn giá theo hợp đồng </t>
  </si>
  <si>
    <t>BẢNG CHI TIẾT GIÁ TRỊ QUYẾT TOÁN</t>
  </si>
  <si>
    <t xml:space="preserve">Theo hợp đồng </t>
  </si>
  <si>
    <t>Đoàn Trung Huân</t>
  </si>
  <si>
    <t xml:space="preserve">     Phạm Văn Cương</t>
  </si>
  <si>
    <t>(Bằng chữ: Hai tỷ, không trăm bốn mươi tám triệu, năm trăm linh bảy nghìn đồng./.)</t>
  </si>
  <si>
    <t>BẢNG TỔNG HỢP QUYẾT TOÁN CÔNG TRÌNH</t>
  </si>
  <si>
    <t>Chi phí</t>
  </si>
  <si>
    <t>Trước thuế</t>
  </si>
  <si>
    <t>Sau thuế</t>
  </si>
  <si>
    <t>Bảng chi tiết giá trị quyết toán</t>
  </si>
  <si>
    <t>Dự toán được duyệt</t>
  </si>
  <si>
    <t>CỘNG I+II+III+IV</t>
  </si>
  <si>
    <t>Sửa chữa tuyến đường từ nhà Bà Trường, tổ 5 phường Vạn Hương đến nhà bà Kim, tổ dân phố Bắc Hải phường Bàng La</t>
  </si>
  <si>
    <t>Thuế(10%)</t>
  </si>
  <si>
    <t>(Bằng chữ: Hai tỷ, ba trăm năm mươi lăm triệu, bốn trăm hai mươi bảy nghìn đồng./.)</t>
  </si>
  <si>
    <t>Hợp đồng số: 29.11/2022/HĐ-XD ngày 29 tháng 11 năm 2022</t>
  </si>
  <si>
    <t>Vạn Hương, ngày       tháng     năm 2023</t>
  </si>
  <si>
    <t xml:space="preserve"> ĐẠI DIỆN NHÀ THẦU THI CÔNG</t>
  </si>
  <si>
    <t>bộ</t>
  </si>
  <si>
    <t>Tháo dỡ cửa bằng thủ công</t>
  </si>
  <si>
    <t xml:space="preserve"> SỬA CHỮA NHÀ LÀM VIỆC SỐ 1</t>
  </si>
  <si>
    <t>Nhân công tháo dỡ, vận chuyển nhà kho trên tầng 2</t>
  </si>
  <si>
    <t>Tháo dỡ khuôn cửa gỗ</t>
  </si>
  <si>
    <t>Tháo dỡ hoa sắt cửa sổ</t>
  </si>
  <si>
    <t>Phá dỡ tường xây gạch chiều dày tường &lt;=22cm</t>
  </si>
  <si>
    <t>Xây chèn cửa, bịt cửa</t>
  </si>
  <si>
    <t>Phá dỡ lớp vữa trát má cửa sổ</t>
  </si>
  <si>
    <t>Trát tường</t>
  </si>
  <si>
    <t>Bả bột bả vào tường</t>
  </si>
  <si>
    <t>Sơn dầm, trần, cột, tường trong nhà đã bả - 1 nước lót, 2 nước phủ</t>
  </si>
  <si>
    <t>Phá dỡ gạch nát nền</t>
  </si>
  <si>
    <t>Tháo dỡ gạch ốp chân tường</t>
  </si>
  <si>
    <t>Sơn sắt thép bằng sơn các loại, 1 nước lót, 2 nước phủ</t>
  </si>
  <si>
    <t>Lắp dựng hoa sắt cửa</t>
  </si>
  <si>
    <t>Gia công, lắp dựng cửa sổ nhôm kính hệ 55, kinh dán an toàn 6,38mm(bao gồm cả khóa và phụ kiện)</t>
  </si>
  <si>
    <t>Gia công, lắp dựng cửa đi nhôm kính hệ 55, kinh dán an toàn 6,38mm(bao gồm cả khóa và phụ kiện)</t>
  </si>
  <si>
    <t>Lát nền, sàn, kích thước gạch 500x500, vữa XM mác 75, PCB30</t>
  </si>
  <si>
    <t>Công tác ốp gạch vào chân tường, kích thước gạch 500x120mm</t>
  </si>
  <si>
    <t>Lắp đặt ống nhựa, máng nhựa đặt nổi bảo hộ dây dẫn, đường kính &lt;=15mm</t>
  </si>
  <si>
    <t>Lắp đặt dây dẫn 2 ruột, dây 2x2,5mm</t>
  </si>
  <si>
    <t>Lắp đặt bảng điện nổi</t>
  </si>
  <si>
    <t>Lắp đặt aptomat loại 2  pha, 16A</t>
  </si>
  <si>
    <t>Máy điều hòa không khí &gt;=9000BTU</t>
  </si>
  <si>
    <t>Ống đồng, bảo ôn và các vật liệu phụ</t>
  </si>
  <si>
    <t>bảo dưỡng, vệ sinh, bơm ga điều hòa hiệ có</t>
  </si>
  <si>
    <t>Lắp đặt máy điều hoà không khí (điều hoà cục bộ), máy điều hòa 2 cục, loại treo tường (Định mức vật liệu chưa bao gồm ống các loại và dây điện)</t>
  </si>
  <si>
    <t>máy</t>
  </si>
  <si>
    <t>Vận chuyển bằng thủ công 10m khởi điểm - vận chuyển phế thải các loại</t>
  </si>
  <si>
    <t>Vận chuyển phế thải trong phạm vi 1000m bằng ô tô - 5,0T</t>
  </si>
  <si>
    <t>Vận chuyển phế thải tiếp 1000m bằng ô tô - 5,0T</t>
  </si>
  <si>
    <t>SỬA CHỮA NHÀ LÀM VIỆC SỐ 2</t>
  </si>
  <si>
    <t>Phá dỡ lớp vữa trát má cửa</t>
  </si>
  <si>
    <t>Lát nền, sàn, kích thước gạch 500x500mm, vữa XM mác 75, PCB30</t>
  </si>
  <si>
    <t>Công tác ốp gạch vào chân tường,  kích thước gạch 500x120mm</t>
  </si>
  <si>
    <t>Lắp đặt chậu rửa 1 vòi-chậu đứng</t>
  </si>
  <si>
    <t>Lắp đặt hộp đựng xà bông</t>
  </si>
  <si>
    <t>Máy điều hòa không khí&gt;=9000BTU</t>
  </si>
  <si>
    <t>Gia công cột bằng thép hình</t>
  </si>
  <si>
    <t>Gia công vì kèo thép hình khẩu độ nhỏ, khẩu độ &lt;= 9 m</t>
  </si>
  <si>
    <t>Gia công xà gồ thép</t>
  </si>
  <si>
    <t>Bu long M20</t>
  </si>
  <si>
    <t>Lắp dựng cột thép các loại</t>
  </si>
  <si>
    <t>Lắp dựng vì kèo thép khẩu độ &lt;= 18 m</t>
  </si>
  <si>
    <t>Lắp dựng xà gồ thép</t>
  </si>
  <si>
    <t>Lợp mái che tường bằng tôn múi chiều dài bất kỳ</t>
  </si>
  <si>
    <t>Lắp đặt ống nhựa miệng bát nối bằng phương pháp dán keo, đoạn ống dài 6m, đường kính ống 89mm</t>
  </si>
  <si>
    <t>Lắp đặt côn, cút nhựa miệng bát nối bằng phương pháp dán keo, đường kính côn, cút 89mm</t>
  </si>
  <si>
    <t>Đai xiết ống thu nước</t>
  </si>
  <si>
    <t>SỬA CHỮA ĐIỆN</t>
  </si>
  <si>
    <t>Lắp đặt dây dẫn 3x16mm2+1x10mm2</t>
  </si>
  <si>
    <t>Đầu cốt M16</t>
  </si>
  <si>
    <t>Lắp công tơ điện 3 pha vào bảng đã có sẵn</t>
  </si>
  <si>
    <t>Kẹp hãm</t>
  </si>
  <si>
    <t>Lắp đặt tủ điện 25x35x15mm</t>
  </si>
  <si>
    <t>hộp</t>
  </si>
  <si>
    <t>Kẹp bổ trợ</t>
  </si>
  <si>
    <t>Lắp đặt aptomat 3 pha, cường độ dòng điện &lt;= 100Ampe</t>
  </si>
  <si>
    <t>Gia công lắp dựng máng thu nước Inox</t>
  </si>
  <si>
    <t>Kỹ thuật thi công</t>
  </si>
  <si>
    <t xml:space="preserve">                                                     </t>
  </si>
  <si>
    <t xml:space="preserve">CB. Giám sát </t>
  </si>
  <si>
    <t>ĐD. ĐƠN VỊ THI CÔNG</t>
  </si>
  <si>
    <t>Phạm Trần Hùng Anh</t>
  </si>
  <si>
    <t>Vũ Văn Nam</t>
  </si>
  <si>
    <t>Tăng(+), giảm(-)</t>
  </si>
  <si>
    <t>Thực hiện</t>
  </si>
  <si>
    <t>(Kèm theo Biên bản nghiệm thu hoàn thành công trình ngày 14/12/2023)</t>
  </si>
  <si>
    <t>6=5-4</t>
  </si>
  <si>
    <t>ĐD. TVGS</t>
  </si>
  <si>
    <t xml:space="preserve">          ĐD. TƯ VẤN QLDA</t>
  </si>
  <si>
    <t xml:space="preserve">           Trần Lê Minh Tú</t>
  </si>
  <si>
    <r>
      <t>BẢNG TỔNG HỢP KHỐI LƯỢNG HOÀN THÀNH CÔNG TRÌNH
(</t>
    </r>
    <r>
      <rPr>
        <i/>
        <sz val="13"/>
        <rFont val="Times New Roman"/>
        <family val="1"/>
      </rPr>
      <t>Kèm theo biên bản nghiệm thu hoàn thành lần 1)</t>
    </r>
  </si>
  <si>
    <t xml:space="preserve">          CB. Quản lý dự án</t>
  </si>
  <si>
    <t>Bàng La, ngày        tháng 12 năm 2023</t>
  </si>
  <si>
    <t>Gói thầu số 03: Thi công xây dựng</t>
  </si>
  <si>
    <t xml:space="preserve">Hợp đồng số: </t>
  </si>
  <si>
    <t xml:space="preserve">Chủ đầu tư: </t>
  </si>
  <si>
    <t xml:space="preserve">Nhà thầu: </t>
  </si>
  <si>
    <t xml:space="preserve">Công trình: </t>
  </si>
  <si>
    <t>Nhà thầu: Công ty</t>
  </si>
  <si>
    <t xml:space="preserve">Công trình: Sửa </t>
  </si>
  <si>
    <t>Gói thầu số 3: Thi công xây dựng</t>
  </si>
  <si>
    <t>Chủ đầu tư:</t>
  </si>
  <si>
    <t>cột</t>
  </si>
  <si>
    <t>Đắp đất nền đường, độ chặt yêu cầu K=0,95</t>
  </si>
  <si>
    <t>Tưới lớp dính bám mặt đường bằng nhựa pha dầu, lượng nhựa 1,0 kg/m2</t>
  </si>
  <si>
    <t>Đào móng công trình, đất cấp II</t>
  </si>
  <si>
    <t>Nội dung công việc</t>
  </si>
  <si>
    <t xml:space="preserve">Diễn giải </t>
  </si>
  <si>
    <t>Cán bộ tư vấn giám sát</t>
  </si>
  <si>
    <t>Cán bộ thi công</t>
  </si>
  <si>
    <t>Phạm Văn Huynh</t>
  </si>
  <si>
    <t>Nguyễn Văn Dương</t>
  </si>
  <si>
    <t>PHỤ TRỢ THI CÔNG</t>
  </si>
  <si>
    <t>Phá dỡ cầu cũ</t>
  </si>
  <si>
    <t>Phá dỡ cầu hiện trạng và vận chuyển phế thải đến bãi thải rắn Đình Vũ</t>
  </si>
  <si>
    <t>toàn bộ</t>
  </si>
  <si>
    <t>Măt bằng công trường và di dời hạ tầng kỹ thuật</t>
  </si>
  <si>
    <t>Đào san đât bãi chứa dầm, bãi vật liệu bằng máy đào , đất cấp II</t>
  </si>
  <si>
    <t>Đắp đất công trình, độ chặt yêu cầu K=0,95</t>
  </si>
  <si>
    <t>Vật liệu đất núi K95 đắp bù</t>
  </si>
  <si>
    <t>Thi công móng cấp phối đá dăm</t>
  </si>
  <si>
    <t>Đổ bê tông lót móng, đá 4x6, vữa mác 100, PCB30</t>
  </si>
  <si>
    <t>Đổ bê tông móng, đá 1x2, mác 150, PCB30</t>
  </si>
  <si>
    <t>Ván khuôn gỗ. Ván khuôn móng</t>
  </si>
  <si>
    <t>Tháo dỡ côt điện hiện trạng</t>
  </si>
  <si>
    <t>Lắp dựng cột điện bằng máy, cột bê tông chiều cao cột &gt;10m</t>
  </si>
  <si>
    <t>Xây đá hộc, xây mái dốc thẳng, vữa XM mác 100, PCB30</t>
  </si>
  <si>
    <t>Lắp đặt khối móng bê tông đỡ đoạn ống, đường kính D800mm</t>
  </si>
  <si>
    <t>Lắp đặt ống bê tông, đoạn ống dài 4m, đường kính &lt;=1000mm</t>
  </si>
  <si>
    <t>Nối ống bê tông bằng gioăng cao su, đường kính 900mm</t>
  </si>
  <si>
    <t>Lắp đặt ống thép đen bằng phương pháp hàn, đoạn ống dài 6m, đường kính ống 180mm</t>
  </si>
  <si>
    <t>Lắp đặt cút chếch thép nối bằng phương pháp hàn, đường kính côn, cút 200mm</t>
  </si>
  <si>
    <t>Quét nhựa bitum và quấn vải màn, 2 lớp giấy 3 lớp nhựa</t>
  </si>
  <si>
    <t>Đóng cọc tre, chiều dài cọc &gt; 2,5m vào đất cấp II</t>
  </si>
  <si>
    <t>Mua bao tải để đóng đất đắp bờ vây</t>
  </si>
  <si>
    <t>bao</t>
  </si>
  <si>
    <t>Vật liệu đất núi để đóng bao</t>
  </si>
  <si>
    <t>Nhân công cho đất vào bao đắp bờ vây</t>
  </si>
  <si>
    <t>Bơm nước hố móng</t>
  </si>
  <si>
    <t>Hàng rào bảo vệ công trình</t>
  </si>
  <si>
    <t>Đào móng cột, trụ, đất cấp II</t>
  </si>
  <si>
    <t>Đổ bê tông lót móng, đá 2x4, vữa mác 150, PCB30</t>
  </si>
  <si>
    <t>Lợp bao che tường bằng tôn múi mạ kẽm dày 0.33 mm</t>
  </si>
  <si>
    <t>Cầu tạm đảm bảo giao thông</t>
  </si>
  <si>
    <t>Thi công lớp đá đệm móng, loại đá có đường kính Dmax&lt;= 6</t>
  </si>
  <si>
    <t>Làm và thả rọ đá, loại rọ 1x1x1 m dưới nước</t>
  </si>
  <si>
    <t>rọ</t>
  </si>
  <si>
    <t>Làm và thả rọ đá, loại rọ 2x1x1 m dưới nước</t>
  </si>
  <si>
    <t>Làm và thả rọ đá, loại rọ 2x1x0,5 m dưới nước</t>
  </si>
  <si>
    <t>Đắp đất, dung trọng &lt;=1,65 T/m3</t>
  </si>
  <si>
    <t>Vật liệu đất núi K95</t>
  </si>
  <si>
    <t>Gia công cấu kiện dầm thép. Gia công dầm dọc</t>
  </si>
  <si>
    <t>Lắp dựng dầm cầu thép các loại, dưới nước</t>
  </si>
  <si>
    <t>Bu lông liên kết các loại</t>
  </si>
  <si>
    <t>Gia công, lắp dựng các kết cấu mặt cầu, gỗ ngang mặt cầu</t>
  </si>
  <si>
    <t>m3 cấu kiện</t>
  </si>
  <si>
    <t>Gia công, lắp dựng các kết cấu mặt cầu, gỗ băng lăn</t>
  </si>
  <si>
    <t>Gia công, lắp dựng các kết cấu mặt cầu, gỗ đà chắn bánh xe</t>
  </si>
  <si>
    <t>Bệ đúc dầm bản BTCT DƯL</t>
  </si>
  <si>
    <t>Ván khuôn bệ đúc dầm</t>
  </si>
  <si>
    <t>Đổ bê tông nền, đá 1x2, mác 300, PCB30</t>
  </si>
  <si>
    <t>Công tác gia công lắp dựng cốt thép. Cốt thép móng, đường kính cốt thép &lt;= 18mm</t>
  </si>
  <si>
    <t>Gia công thép bản bệ đúc dầm</t>
  </si>
  <si>
    <t>Lắp đặt thép bản bệ đúc dầm</t>
  </si>
  <si>
    <t>Tháo dỡ thép bản bệ đúc dầm</t>
  </si>
  <si>
    <t>Phá dỡ bệ đúc dầm</t>
  </si>
  <si>
    <t>Thi công mố cầu</t>
  </si>
  <si>
    <t>Gia công hệ sàn đạo, sàn thao tác</t>
  </si>
  <si>
    <t>Lắp dựng kết cấu thép hệ khung dàn, sàn đạo trên cạn</t>
  </si>
  <si>
    <t>Tháo dỡ kết cấu thép hệ khung dàn, sàn đạo trên cạn</t>
  </si>
  <si>
    <t>Gia công ống vách thép cọc khoan nhồi (gia công một đoạn dài 4m sử dụng cho toàn bộ công trình)</t>
  </si>
  <si>
    <t>Đường đầu cầu</t>
  </si>
  <si>
    <t>Đào nền đường cũ, đất cấp III</t>
  </si>
  <si>
    <t>Đắp đất nền đường , độ chặt yêu cầu K=0,98</t>
  </si>
  <si>
    <t>Vật liệu đất núi K95, K98</t>
  </si>
  <si>
    <t>Đục nhám mặt đường cũ</t>
  </si>
  <si>
    <t>Thi công móng cấp phối đá dăm lớp dưới</t>
  </si>
  <si>
    <t>Thi công móng cấp phối đá dăm lớp trên</t>
  </si>
  <si>
    <t>Thi công mặt đường láng nhựa. Láng nhựa 3 lớp dày 3,5cm tiêu chuẩn nhựa 4,5kg/m2</t>
  </si>
  <si>
    <t>Thí nghiệm cọc</t>
  </si>
  <si>
    <t>Chi phí vận chuyển hệ thí nghiệm bao gồm búa và khung (02 chuyến đi và về)</t>
  </si>
  <si>
    <t>Đổ bê tông cọc nhồi trên cạn, đường kính cọc &gt; 1000mm, đá 1x2, mác 300, PCB40</t>
  </si>
  <si>
    <t>Đập đầu cọc bê tông các loại trên cạn</t>
  </si>
  <si>
    <t>Bơm vữa sika grout lấp đầy ống siêu âm</t>
  </si>
  <si>
    <t>Cốt thép cọc khoan nhồi trên cạn, đường kính &lt;= 18mm</t>
  </si>
  <si>
    <t>Cốt thép cọc khoan nhồi, cọc, tường barrette trên cạn, đường kính &gt; 18mm</t>
  </si>
  <si>
    <t>Lắp đặt ống thép đen, Ống kiểm tra D106/114</t>
  </si>
  <si>
    <t>Lắp đặt ống thép đen, Ống siêu âm D54/60</t>
  </si>
  <si>
    <t>Lắp Nút bịt thép 74x74x3 mm</t>
  </si>
  <si>
    <t>Lắp Nút bịt thép 130x130x3 mm</t>
  </si>
  <si>
    <t>KẾT CẤU PHẦN DƯỚI</t>
  </si>
  <si>
    <t>Cọc khoan nhồi</t>
  </si>
  <si>
    <t>Bơm dung dịch bentonit chống sụt thành lỗ khoan, thành cọc barrette, lỗ khoan trên cạn</t>
  </si>
  <si>
    <t>Bộ nối thép chủ bằng bu lông M16 L=250</t>
  </si>
  <si>
    <t>Lắp đặt Cút thép D114/122</t>
  </si>
  <si>
    <t>Đập đầu cọc bê tông  trên cạn</t>
  </si>
  <si>
    <t>Vận chuyển đất đi đổ, đất cấp II</t>
  </si>
  <si>
    <t>Thí nghiệm kiểm tra chất lượng cọc bê tông bằng phương pháp siêu âm</t>
  </si>
  <si>
    <t>mặt cắt/lần TN</t>
  </si>
  <si>
    <t>Khoan lấy mẫu kiểm tra mũi cọc</t>
  </si>
  <si>
    <t>1md khoan</t>
  </si>
  <si>
    <t>Phần mố cầu và tường cánh</t>
  </si>
  <si>
    <t>Ván khuôn gỗ.</t>
  </si>
  <si>
    <t>Đổ bê tông lót móng, đá 4x6, vữa mác 150, PCB40</t>
  </si>
  <si>
    <t>Gia công, lắp dựng, tháo dỡ ván khuôn mố, trụ cầu trên cạn</t>
  </si>
  <si>
    <t>Lắp dựng cốt thép mố trên cạn, đường kính &lt;= 18mm</t>
  </si>
  <si>
    <t>Lắp dựng cốt thép mố trên cạn, đường kính &gt; 18mm</t>
  </si>
  <si>
    <t>Đổ bê tông móng, mố, trụ cầu trên cạn, đá 1x2, mác 300</t>
  </si>
  <si>
    <t>Quét nhựa bitum nóng vào tường (quét 2 lớp)</t>
  </si>
  <si>
    <t>Bản quá độ</t>
  </si>
  <si>
    <t>Đắp cát hạt trung, độ chặt yêu cầu K=0,98</t>
  </si>
  <si>
    <t>Ván khuôn bản giảm tải</t>
  </si>
  <si>
    <t>Đổ bê tông móng, đá 1x2, mác 300, PCB40</t>
  </si>
  <si>
    <t>Công tác gia công lắp dựng cốt thép. Cốt thép bản giảm tải, đường kính cốt thép &lt;= 10mm</t>
  </si>
  <si>
    <t>Công tác gia công lắp dựng cốt thép. Cốt thép bản giảm tải, đường kính cốt thép &lt;= 18mm</t>
  </si>
  <si>
    <t>Lắp đặt tấm cao su đàn hồi dày 2 cm gối bản giảm tải</t>
  </si>
  <si>
    <t>KẾT CẤU NHỊP</t>
  </si>
  <si>
    <t>Gối cầu</t>
  </si>
  <si>
    <t>Lắp đặt gối cầu cao su cốt bản thép</t>
  </si>
  <si>
    <t>Vữa không co ngót đệm gối cầu</t>
  </si>
  <si>
    <t>Tạo nhám mặt bê tông trước khi bơm vữa đệm gối</t>
  </si>
  <si>
    <t>Dầm chủ BTCT DƯL</t>
  </si>
  <si>
    <t>Công tác gia công, lắp đặt cốt thép bê tông đúc sẵn. Cốt thép dầm cầu, đường kính &lt;= 18mm</t>
  </si>
  <si>
    <t>Công tác gia công, lắp đặt cốt thép bê tông đúc sẵn. Cốt thép dầm cầu, đường kính &gt; 18mm</t>
  </si>
  <si>
    <t>Bê tông dầm cầu. Dầm bản, đá 1x2, mác 450, PCB40</t>
  </si>
  <si>
    <t>Gia công, lắp đặt cáp thép dự ứng lực 12.7 mm</t>
  </si>
  <si>
    <t>Lắp đặt ống nhựa chống dính bám cáp dọc D18/22</t>
  </si>
  <si>
    <t>Gia công ván khuôn thép tạo lỗ rỗng trong bê tông</t>
  </si>
  <si>
    <t>Lắp đặt ván khuôn tạo lỗ rỗng trong dầm</t>
  </si>
  <si>
    <t>Lắp đặt Ống PVC-C2-D200</t>
  </si>
  <si>
    <t>Lắp nút bịt nhựa nối măng sông, đường kính nút bịt 200mm</t>
  </si>
  <si>
    <t>Ván khuôn thép dầm cầu</t>
  </si>
  <si>
    <t>Quét keo Epoxy đầu dầm</t>
  </si>
  <si>
    <t>Quét Radcon 7 chống thấm</t>
  </si>
  <si>
    <t>Chốt thép D20 mạ kẽm neo dầm chủ</t>
  </si>
  <si>
    <t>Tôn chịu áp lực, dày 1,5mm</t>
  </si>
  <si>
    <t>Vữa không co lấp lòng</t>
  </si>
  <si>
    <t>Lao nhịp dầm bản</t>
  </si>
  <si>
    <t>Cẩu dầm bản từ bệ đúc ra bãi tập kết</t>
  </si>
  <si>
    <t>dầm</t>
  </si>
  <si>
    <t>Cẩu dầm bản từ bãi tập kết lên phương tiện vận chuyển</t>
  </si>
  <si>
    <t>Vận chuyển dầm cầu bằng xe chuyên dụng, cự ly 100m đầu</t>
  </si>
  <si>
    <t>dầm /100m</t>
  </si>
  <si>
    <t>Hạ dầm cầu bằng cần cẩu, từ phương tiện vận chuyển xuống mặt bằng thi công</t>
  </si>
  <si>
    <t>Lao lắp dầm cầu bằng cẩu lao dầm bê tông các loại</t>
  </si>
  <si>
    <t>Bản mặt cầu</t>
  </si>
  <si>
    <t>Công tác gia công lắp dựng cốt thép. Cốt thép bản mặt cầu, đường kính cốt thép &lt;=10mm</t>
  </si>
  <si>
    <t>Công tác gia công lắp dựng cốt thép. Cốt thép bản mặt cầu, đường kính cốt thép &gt; 10mm</t>
  </si>
  <si>
    <t>Đổ bê tông bằng máy, đổ bằng máy bơm bê tông, bê tông bản mặt cầu, đá 1x2, mác 300, PCB40</t>
  </si>
  <si>
    <t>Công tác gia công, lắp dựng, tháo dỡ ván khuôn. Ván khuôn thép, ván khuôn be sàn</t>
  </si>
  <si>
    <t>Vữa sika bịt khe hở giữa các dầm</t>
  </si>
  <si>
    <t>Gờ lan can</t>
  </si>
  <si>
    <t>Công tác gia công lắp dựng cốt thép. Cốt thép gờ lan can, đường kính cốt thép &lt;= 18mm</t>
  </si>
  <si>
    <t>Công tác gia công, lắp dựng, tháo dỡ ván khuôn. Ván khuôn thép, ván khuôn gờ lan can</t>
  </si>
  <si>
    <t>Đổ bê tông gờ lan can, đá 1x2, mác 250</t>
  </si>
  <si>
    <t>Sơn gờ lan can</t>
  </si>
  <si>
    <t>Lan can thép</t>
  </si>
  <si>
    <t>Gia công kết cấu thép lan can cầu</t>
  </si>
  <si>
    <t>Lắp dựng lan can</t>
  </si>
  <si>
    <t>Mạ kẽm thép</t>
  </si>
  <si>
    <t>Bu lông M22 chân cột trụ lan can</t>
  </si>
  <si>
    <t>Khe co giãn</t>
  </si>
  <si>
    <t>Cốt thép khe co giãn D&lt;=10mm</t>
  </si>
  <si>
    <t>Lắp đặt khe co giãn thép bản răng lược</t>
  </si>
  <si>
    <t>Vữa không co ngót</t>
  </si>
  <si>
    <t>Gia công lắp đặt tấm chụp khe co giãn dày 4mm</t>
  </si>
  <si>
    <t>Bu lông neo M24x160</t>
  </si>
  <si>
    <t>Bu lông nở M12 x100</t>
  </si>
  <si>
    <t>Gia công lắp đặt máng inox thoát nươc</t>
  </si>
  <si>
    <t>Lắp đặt Ống cao su D40 mm</t>
  </si>
  <si>
    <t>Lớp phủ mặt cầu</t>
  </si>
  <si>
    <t>Lớp phòng nước mặt cầu</t>
  </si>
  <si>
    <t>Tưới lớp dính bám mặt đường bằng nhũ tương gốc axít, lượng nhũ tương 0,5 kg/m2</t>
  </si>
  <si>
    <t>Rải thảm mặt đường bê tông nhựa (loại C&lt;= 12,5), chiều dày mặt đường đã lèn ép 6 cm</t>
  </si>
  <si>
    <t>Đắp cát công trình, độ chặt yêu cầu K=0,98</t>
  </si>
  <si>
    <t>Láng nền sàn, dày 2cm, vữa XM mác 100, PCB30</t>
  </si>
  <si>
    <t>Lát gạch terrazzo 400x400, vữa XM mác 100, PCB30</t>
  </si>
  <si>
    <t>Thoát nước</t>
  </si>
  <si>
    <t>GCLD thép đúc mạ kẽm</t>
  </si>
  <si>
    <t>Lắp đặt Ống PVC-C3-D130</t>
  </si>
  <si>
    <t>Lắp đặt Cút PVC-D130</t>
  </si>
  <si>
    <t>Lắp đặt Nối thẳng PVC-D130</t>
  </si>
  <si>
    <t>Bu lông nở M16 x150</t>
  </si>
  <si>
    <t>Đảm bảo an toàn giao thông</t>
  </si>
  <si>
    <t>Đổ bê tông lót móng cột biển báo, đá 4x6, vữa mác 100, PCB30</t>
  </si>
  <si>
    <t>Đổ bê tông móng cột biển báo đá 1x2, mác 200, PCB40</t>
  </si>
  <si>
    <t>Ván khuôn móng cột</t>
  </si>
  <si>
    <t>Lắp đặt cột và biển báo phản quang, loại biển chữ nhật 1635x670 mm, PCB40</t>
  </si>
  <si>
    <t>Thép ống 3m D80</t>
  </si>
  <si>
    <t>Biển I.439</t>
  </si>
  <si>
    <t>Vận chuyển phế thải tiếp 4000m bằng ô tô - 7,0T</t>
  </si>
  <si>
    <t>Thí nghiệm ép cọc biến dạng lớn PDA. Đường kính cọc 800mm</t>
  </si>
  <si>
    <t>lần TN/cọc</t>
  </si>
  <si>
    <t>Khoan tạo lỗ vào đất trên cạn, đường kính lỗ khoan 800mm</t>
  </si>
  <si>
    <t>Đổ bê tông bê tông cọc nhồi trên cạn, đường kính cọc &lt;1000mm, đá 1x2, mác 300, PCB40</t>
  </si>
  <si>
    <t>85,822</t>
  </si>
  <si>
    <t>PHẦN ĐIỀU CHỈNH, PHÁT SINH TRONG PHẠM VI HỢP ĐỒNG</t>
  </si>
  <si>
    <t>Thuê mặt bằng bãi chứa dầm, bãi vật liệu</t>
  </si>
  <si>
    <t>tháng</t>
  </si>
  <si>
    <t>Vận chuyển phế thải tiếp 19000m bằng ô tô - 7,0T</t>
  </si>
  <si>
    <t>Vận chuyển đất đi đổ, đất cấp III</t>
  </si>
  <si>
    <t>Thí nghiệm ép cọc biến dạng lớn PDA. Đường kính cọc 1.200mm</t>
  </si>
  <si>
    <t>Khoan tạo lỗ vào đất trên cạn, đường kính lỗ khoan 1200mm</t>
  </si>
  <si>
    <t>Lắp đặt ống thép đen, Ống siêu âm D60/66</t>
  </si>
  <si>
    <t>Lắp đặt Cút thép D60/66</t>
  </si>
  <si>
    <t>Đổ bê tông bê tông cọc nhồi trên cạn, đường kính cọc &gt; 1000mm, đá 1x2, mác 300, PCB40</t>
  </si>
  <si>
    <t>PHÁT SINH, ĐIỀU CHỈNH NGOÀI HỢP ĐỒNG</t>
  </si>
  <si>
    <t>Dự án: Xây dựng cầu Nghĩa Phương qua kênh Đồng Thổ 1, phường Minh Đức</t>
  </si>
  <si>
    <t>BẢNG DIỄN GIẢI KHỐI LƯỢNG HOÀN THÀNH LẦN 1</t>
  </si>
  <si>
    <t>Gốc</t>
  </si>
  <si>
    <t>170*0,3/100</t>
  </si>
  <si>
    <t>Mẫu số 03.a/TT</t>
  </si>
  <si>
    <t xml:space="preserve">BẢNG XÁC ĐỊNH GIÁ TRỊ KHỐI LƯỢNG CÔNG VIỆC HOÀN THÀNH </t>
  </si>
  <si>
    <t xml:space="preserve">Căn cứ Bảng thông tin Dự toán số:  </t>
  </si>
  <si>
    <t>Số TT</t>
  </si>
  <si>
    <t>Chỉ tiêu</t>
  </si>
  <si>
    <t>Giá trị hợp đồng/dự toán</t>
  </si>
  <si>
    <t>Giá trị KLHT chưa thanh toán đến hết kỳ trước</t>
  </si>
  <si>
    <t>Giá trị KLHT nghiệm thu trong kỳ này</t>
  </si>
  <si>
    <t>Giá trị KLHT đề nghị thanh toán kỳ này</t>
  </si>
  <si>
    <t>Giá trị KLHT chưa thanh toán đến hết kỳ này</t>
  </si>
  <si>
    <t>Lũy kế giá trị KLHT đã thanh toán đến hết kỳ trước</t>
  </si>
  <si>
    <t>Lũy kế giá trị KLHT đã thanh toán đến hết kỳ này</t>
  </si>
  <si>
    <t>9=8+6</t>
  </si>
  <si>
    <t>1. Giá trị tạm ứng còn lại chưa thu hồi đến hết kỳ trước:</t>
  </si>
  <si>
    <t>đồng</t>
  </si>
  <si>
    <t>2. Số tiền đã thanh toán khối lượng hoàn thành đến hết kỳ trước:</t>
  </si>
  <si>
    <t>2.1. Thanh toán cho nhà thầu:</t>
  </si>
  <si>
    <t>2.2. Tiền bảo hành công trình (trong trường hợp không bảo lãnh bảo hành công trình):</t>
  </si>
  <si>
    <t>2.3. Chuyển vào tài khoản tạm giữ chờ quyết toán:</t>
  </si>
  <si>
    <t>3. Lũy kế giá trị khối lượng thực hiện đến hết kỳ này:</t>
  </si>
  <si>
    <t>4. Thanh toán để thu hồi tạm ứng:</t>
  </si>
  <si>
    <t xml:space="preserve">5. Giá trị đề nghị giải ngân kỳ này: </t>
  </si>
  <si>
    <t>5.1 Tạm ứng:</t>
  </si>
  <si>
    <t>5.2 Thanh toán khối lượng hoàn thành:</t>
  </si>
  <si>
    <t>+ Thanh toán cho nhà thầu:</t>
  </si>
  <si>
    <t>+ Tiền bảo hành công trình (trong trường hợp không bảo lãnh bảo hành công trình):</t>
  </si>
  <si>
    <t>+ Chuyển vào tài khoản tạm giữ chờ quyết toán:</t>
  </si>
  <si>
    <t xml:space="preserve">6. Lũy kế giá trị giải ngân: </t>
  </si>
  <si>
    <t xml:space="preserve">6.1. Tạm ứng: </t>
  </si>
  <si>
    <t>6.2. Thanh toán khối lượng hoàn thành:</t>
  </si>
  <si>
    <t>- Thanh toán cho nhà thầu</t>
  </si>
  <si>
    <t>- Tiền bảo hành công trình (trong trường hợp không bảo lãnh bảo hành công trình):</t>
  </si>
  <si>
    <t>- Chuyển vào tài khoản tạm giữ chờ quyết toán:</t>
  </si>
  <si>
    <t>(Ký, ghi rõ họ tên chức vụ, đóng dấu)</t>
  </si>
  <si>
    <t>Nhà thầu: Công ty cổ phần phát triển xây dựng Tân Hòa</t>
  </si>
  <si>
    <t>Công việc thực hiện thông qua hợp đồng thi công xây dựng công trình</t>
  </si>
  <si>
    <t>z</t>
  </si>
  <si>
    <t>7=4+5-6</t>
  </si>
  <si>
    <t>CỘNG</t>
  </si>
  <si>
    <t xml:space="preserve"> ĐẠI DIỆN BÊN A</t>
  </si>
  <si>
    <t>ĐẠI DIỆN BÊN B</t>
  </si>
  <si>
    <t>Chủ đầu tư: Phòng Kinh tế xã Kiến Minh</t>
  </si>
  <si>
    <t>Dự án: Xây dựng hệ thống thoát nước tuyến đường(từ nhà ông Cường đến nhà ông Hưng thôn Đại Trà Đức)</t>
  </si>
  <si>
    <t>Gói thầu số 04: Gói thầu xây lắp</t>
  </si>
  <si>
    <t>Căn cứ Hợp đồng số: 28.01/2026/HĐ-XL ngày 28/01/2026</t>
  </si>
  <si>
    <t>Rãnh xây B800</t>
  </si>
  <si>
    <t>Đào hữu cơ, bằng máy đào 0,8m3, đất cấp I (Đào bằng máy 90% khối lượng)</t>
  </si>
  <si>
    <t>Đào hữu cơ, đường cáp bằng thủ công, đất cấp I (Đào bằng thủ công 10% khối lượng)</t>
  </si>
  <si>
    <t>Vận chuyển đất bằng ôtô tự đổ 7 tấn trong phạm vi &lt;= 1000m, đất cấp I</t>
  </si>
  <si>
    <t>Vận chuyển đất bằng ô tô tự đổ 7T 1km tiếp theo trong phạm vi &lt;= 5km, đất cấp I</t>
  </si>
  <si>
    <t>Đào móng công trình, chiều rộng móng &lt;= 6m, bằng máy đào 0,8m3, đất cấp II (Đào bằng máy 90% khối lượng)</t>
  </si>
  <si>
    <t>Đào rãnh, đường cáp bằng thủ công, đất cấp II</t>
  </si>
  <si>
    <t>Vận chuyển đất bằng ôtô tự đổ 7 tấn trong phạm vi &lt;= 1000m, đất cấp II</t>
  </si>
  <si>
    <t>Vận chuyển đất bằng ô tô tự đổ 7T 1km tiếp theo trong phạm vi &lt;= 5km, đất cấp II</t>
  </si>
  <si>
    <t>Đổ bê tông thủ công bằng máy trộn, bê tông lót móng, chiều rộng &lt;= 250 cm, đá 4x6, vữa mác 100, PCB30</t>
  </si>
  <si>
    <t>Đổ bê tông thủ công bằng máy trộn, bê tông móng, chiều rộng &lt;= 250 cm, đá 2x4, mác 200, PCB40</t>
  </si>
  <si>
    <t>Ván khuôn gỗ. Ván khuôn móng băng, móng bè, bệ máy</t>
  </si>
  <si>
    <t>Xây gạch không nung 6,5x10,5x22, xây tường rãnh, vữa XM mác 75, PCB40</t>
  </si>
  <si>
    <t>Trát tường xây gạch không nung bằng vữa thông thường, trát tường rãnh, chiều dày trát 2cm, vữa XM mác 75, PCB40</t>
  </si>
  <si>
    <t>Đổ bê tông thủ công bằng máy trộn, bê tông giằng rãnh, đá 1x2, mác 200, PCB40</t>
  </si>
  <si>
    <t>Công tác gia công lắp dựng cốt thép. Cốt thép giằng, đường kính cốt thép &lt;= 10mm</t>
  </si>
  <si>
    <t>Ván khuôn gỗ. Ván khuôn xà dầm, giằng</t>
  </si>
  <si>
    <t>Tấm đan</t>
  </si>
  <si>
    <t>Đổ bê tông đúc sẵn bằng thủ công - sản xuất bằng máy trộn. Bê tông tấm đan, đá 1x2, mác 250, PCB40</t>
  </si>
  <si>
    <t>Ván khuôn bê tông đúc sẵn, ván khuôn gỗ tấm đan ga</t>
  </si>
  <si>
    <t>Lắp dựng cấu kiện bê tông tấm đan</t>
  </si>
  <si>
    <t>Thanh chống</t>
  </si>
  <si>
    <t>Đổ bê tông đúc sẵn bằng thủ công - sản xuất bằng máy trộn. Bê tông thanh chống, đá 1x2, mác 250, PCB40</t>
  </si>
  <si>
    <t>Ván khuôn bê tông đúc sẵn, ván khuôn gỗ thanh chống</t>
  </si>
  <si>
    <t>Công tác gia công, lắp đặt cốt thép bê tông đúc sẵn. Cốt thép thanh chống</t>
  </si>
  <si>
    <t>Lắp dựng cấu kiện bê tông thanh chống</t>
  </si>
  <si>
    <t>Đắp đất công trình bằng đầm đất cầm tay 70kg, độ chặt yêu cầu K=0,90</t>
  </si>
  <si>
    <t>Mua đất đắp nền</t>
  </si>
  <si>
    <t>Thuê bãi đúc cấu kiện</t>
  </si>
  <si>
    <t>Số lượng cấu kiện</t>
  </si>
  <si>
    <t>diễn giải khối lượng</t>
  </si>
  <si>
    <t>Tổng khối lượng</t>
  </si>
  <si>
    <t>1A</t>
  </si>
  <si>
    <t>1B</t>
  </si>
  <si>
    <t>1C</t>
  </si>
  <si>
    <t>Đoạn 8-19</t>
  </si>
  <si>
    <t>18m</t>
  </si>
  <si>
    <t>CÁN BỘ GIÁM SÁT</t>
  </si>
  <si>
    <t>KỸ THUẬT THI CÔNG</t>
  </si>
  <si>
    <t>Nguyễn Triều Dương</t>
  </si>
  <si>
    <t>Nguyễn Tuấn Anh</t>
  </si>
  <si>
    <t>gt1</t>
  </si>
  <si>
    <t>gt3</t>
  </si>
  <si>
    <t>Địa chỉ: Xã Kiến Minh, thành phố Hải Phòng</t>
  </si>
  <si>
    <t>PHÒNG KINH TẾ XÃ KIẾN MINH</t>
  </si>
  <si>
    <t>Hạng mục công việc</t>
  </si>
  <si>
    <t xml:space="preserve">Khối lượng </t>
  </si>
  <si>
    <t>Lr</t>
  </si>
  <si>
    <t>Thống kê bình đồ thoát nước</t>
  </si>
  <si>
    <t>Chiều cao rãnh trung bình</t>
  </si>
  <si>
    <t>Hrx</t>
  </si>
  <si>
    <t xml:space="preserve">Bảng THKL chi tiết </t>
  </si>
  <si>
    <t>Chiều cao xây rãnh trung bình</t>
  </si>
  <si>
    <t>Hx</t>
  </si>
  <si>
    <t>Hr-0,52</t>
  </si>
  <si>
    <t>Đào bóc hữu cơ</t>
  </si>
  <si>
    <t>Vhc</t>
  </si>
  <si>
    <t>Bảng THKL chi tiết</t>
  </si>
  <si>
    <t>Đào rãnh B800</t>
  </si>
  <si>
    <t>Vđr</t>
  </si>
  <si>
    <t>Lr*1,88*0,1</t>
  </si>
  <si>
    <t>Bê tông lót móng M100, đá 4x6, dày 10cm</t>
  </si>
  <si>
    <t>Vđl</t>
  </si>
  <si>
    <t>Bê tông móng M200 đá 2x4</t>
  </si>
  <si>
    <t>Vbtm</t>
  </si>
  <si>
    <t>Lr*1,48*0,2</t>
  </si>
  <si>
    <t>Ván khuôn móng</t>
  </si>
  <si>
    <t>Svkm</t>
  </si>
  <si>
    <t>Lr*0,2*2/100</t>
  </si>
  <si>
    <t>Xây tường bằng gạch không nung, VXM mác 75</t>
  </si>
  <si>
    <t>Vxm</t>
  </si>
  <si>
    <t>Lr*Hx*0,22*2</t>
  </si>
  <si>
    <t>Trát tường VXM mác 75</t>
  </si>
  <si>
    <t>Bê tông giằng tường M200, đá 1x2</t>
  </si>
  <si>
    <t>Cốt thép giằng tường</t>
  </si>
  <si>
    <t>Ván khuôn giằng tường</t>
  </si>
  <si>
    <t>Lắp đặt tấm đan</t>
  </si>
  <si>
    <t>Bê tông tấm đan M250, đá 1x2</t>
  </si>
  <si>
    <t>Vbttđ</t>
  </si>
  <si>
    <t>Ntđ*1,05*0,5*0,12</t>
  </si>
  <si>
    <t>Ván khuôn tấm đan</t>
  </si>
  <si>
    <t>Scktđ</t>
  </si>
  <si>
    <t>Ntđ*(1,05+0,5)*2*0,12/100</t>
  </si>
  <si>
    <t>Cốt thép tấm đan</t>
  </si>
  <si>
    <t>Ttđ</t>
  </si>
  <si>
    <t>Ntđ*(4,48+1,99+0,47)/1000</t>
  </si>
  <si>
    <t>Lắp đặt thanh chống</t>
  </si>
  <si>
    <t>Lr/3</t>
  </si>
  <si>
    <t>Bê tông thanh chống</t>
  </si>
  <si>
    <t>Vbttc</t>
  </si>
  <si>
    <t>T*0,014</t>
  </si>
  <si>
    <t>Ván khuôn thanh chống</t>
  </si>
  <si>
    <t>Svktc</t>
  </si>
  <si>
    <t>T*(1+0,3+0,1*2)*2*0,1/100</t>
  </si>
  <si>
    <t>Cốt thép thanh chống</t>
  </si>
  <si>
    <t>Ttc</t>
  </si>
  <si>
    <t>T*(1,42+0,47)/1000</t>
  </si>
  <si>
    <t>Đắp đất K0,90</t>
  </si>
  <si>
    <t>Vđp</t>
  </si>
  <si>
    <t>Tên cọc</t>
  </si>
  <si>
    <t>KC lẻ (m)</t>
  </si>
  <si>
    <t>Diện tích</t>
  </si>
  <si>
    <t>H rãnh
(m)</t>
  </si>
  <si>
    <t>S Đào HC-VB (m2)</t>
  </si>
  <si>
    <t>S Đắp đất K90 (m2)</t>
  </si>
  <si>
    <t>S Đào rãnh
(m2)</t>
  </si>
  <si>
    <t>V Đào HC-VB (m3)</t>
  </si>
  <si>
    <t>V Đắp đất K90 (m3)</t>
  </si>
  <si>
    <t>V Đào rãnh
(m3)</t>
  </si>
  <si>
    <t>D0</t>
  </si>
  <si>
    <t xml:space="preserve"> </t>
  </si>
  <si>
    <t>D1</t>
  </si>
  <si>
    <t>D2</t>
  </si>
  <si>
    <t>D3</t>
  </si>
  <si>
    <t>D4</t>
  </si>
  <si>
    <t>D5</t>
  </si>
  <si>
    <t>TỔNG</t>
  </si>
  <si>
    <t>BẢNG TỔNG HỢP KHỐI LƯỢNG CHI TIẾT HOÀN THÀNH LẦN 1</t>
  </si>
  <si>
    <t>Lý trình</t>
  </si>
  <si>
    <t>Bảng THKL chi tiết*90%/100</t>
  </si>
  <si>
    <t>Nguyễn Văn Lực</t>
  </si>
  <si>
    <t>Mẫu số 02.a/TT</t>
  </si>
  <si>
    <t>BẢNG TỔNG HỢP THÔNG TIN HỢP ĐỒNG</t>
  </si>
  <si>
    <t xml:space="preserve">Thông tin hợp đồng Lần đầu </t>
  </si>
  <si>
    <t>Thông tin hợp đồng điều chỉnh lần 2</t>
  </si>
  <si>
    <t>Thông tin hợp đồng điều chỉnh lần</t>
  </si>
  <si>
    <t>Thông tin chung</t>
  </si>
  <si>
    <t>Hợp đồng</t>
  </si>
  <si>
    <t>Số Hợp đồng</t>
  </si>
  <si>
    <t>Ngày, tháng, năm ký hợp đồng</t>
  </si>
  <si>
    <t>1.3</t>
  </si>
  <si>
    <t>Loại hợp đồng</t>
  </si>
  <si>
    <t>1.4</t>
  </si>
  <si>
    <t>Ngày hiệu lực của hợp đồng</t>
  </si>
  <si>
    <t>1.5</t>
  </si>
  <si>
    <t>Thời gian thực hiện hợp đồng</t>
  </si>
  <si>
    <t>Tên Dự án/gói thầu</t>
  </si>
  <si>
    <t>Tên dự án</t>
  </si>
  <si>
    <t>Tên gói thầu (Nếu có)</t>
  </si>
  <si>
    <t>2.3</t>
  </si>
  <si>
    <t>Mã dự án đầu tư</t>
  </si>
  <si>
    <t>Tên giao dịch</t>
  </si>
  <si>
    <t>Đại diện</t>
  </si>
  <si>
    <t>Địa chỉ:</t>
  </si>
  <si>
    <t>Tài khoản tại NHTM</t>
  </si>
  <si>
    <t>Mã số thuế:</t>
  </si>
  <si>
    <t>Cơ quan quản lý thuế</t>
  </si>
  <si>
    <t>Nhà thầu (liên danh, thầu phụ, liên doanh)</t>
  </si>
  <si>
    <t>Nhà thầu chính (tên giao dịch)</t>
  </si>
  <si>
    <t>4.1.1</t>
  </si>
  <si>
    <t>4.1.2</t>
  </si>
  <si>
    <t>4.1.3</t>
  </si>
  <si>
    <t>Tài khoản tại KBNN/NH</t>
  </si>
  <si>
    <t>4.1.4</t>
  </si>
  <si>
    <t>Mã số thuế</t>
  </si>
  <si>
    <t>4.1.5</t>
  </si>
  <si>
    <t>Nhà thầu phụ (tên giao dịch)</t>
  </si>
  <si>
    <t>4.2.1</t>
  </si>
  <si>
    <t>4.2.2</t>
  </si>
  <si>
    <t>4.2.3</t>
  </si>
  <si>
    <t>4.2.4</t>
  </si>
  <si>
    <t>4.2.5</t>
  </si>
  <si>
    <t>Nhà thầu liên danh liên doanh...</t>
  </si>
  <si>
    <t>4.3.1</t>
  </si>
  <si>
    <t>4.3.2</t>
  </si>
  <si>
    <t>4.3.3</t>
  </si>
  <si>
    <t>4.3.4</t>
  </si>
  <si>
    <t>4.3.5</t>
  </si>
  <si>
    <t>Thông tin chi tiết</t>
  </si>
  <si>
    <t>Giá hợp đồng, tạm ứng và thanh toán</t>
  </si>
  <si>
    <t>Giá trị hợp đồng</t>
  </si>
  <si>
    <t>1.1.1</t>
  </si>
  <si>
    <t>1.1.2</t>
  </si>
  <si>
    <t>Giá trị hợp đồng tương ứng với Nhà thầu...</t>
  </si>
  <si>
    <t>Quản lý Tạm ứng và thu hồi tạm ứng</t>
  </si>
  <si>
    <t>Không áp dụng</t>
  </si>
  <si>
    <t>1.2.1</t>
  </si>
  <si>
    <t>Mức vốn tạm ứng</t>
  </si>
  <si>
    <t>1.2.2</t>
  </si>
  <si>
    <t>Thời điểm tạm ứng lần đầu</t>
  </si>
  <si>
    <t>Thu hồi tạm ứng</t>
  </si>
  <si>
    <t>Quy định về tạm giữ chờ quyết toán hoàn thành dự án (nếu có)</t>
  </si>
  <si>
    <t>Bảo hiểm và bảo hành công trình</t>
  </si>
  <si>
    <t>Bảo hiểm</t>
  </si>
  <si>
    <t>Bảo hành công trình</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</si>
  <si>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</si>
  <si>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</si>
  <si>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</si>
  <si>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Phòng Kinh tế xã Kiến Minh</t>
  </si>
  <si>
    <t>Thôn Vũ Vị, xã Kiến Minh, thành phố Hải Phòng.</t>
  </si>
  <si>
    <t>0202304184</t>
  </si>
  <si>
    <t>Không điều chỉnh</t>
  </si>
  <si>
    <t>Theo Hợp đồng</t>
  </si>
  <si>
    <t>Đơn giá quyết toán theo Hợp đồng</t>
  </si>
  <si>
    <t>Tăng(+),
 giảm(-)</t>
  </si>
  <si>
    <t>Lr*Hx*2</t>
  </si>
  <si>
    <t>Vbtg</t>
  </si>
  <si>
    <t>Lr*(0,12*0,11+0,1*0,24)*2</t>
  </si>
  <si>
    <t>Tg</t>
  </si>
  <si>
    <t>Lr*2*1,55/1000</t>
  </si>
  <si>
    <t>Svkg</t>
  </si>
  <si>
    <t>(Lr*0,2)*2*2/100</t>
  </si>
  <si>
    <t>Ntđ</t>
  </si>
  <si>
    <t>Lr/0,5</t>
  </si>
  <si>
    <t>Mua đất đắp</t>
  </si>
  <si>
    <t>859,54*1,10</t>
  </si>
  <si>
    <r>
      <t xml:space="preserve">BẢNG DIỄN GIẢI KHỐI LƯỢNG HOÀN THÀNH CÔNG TRÌNH
</t>
    </r>
    <r>
      <rPr>
        <sz val="13"/>
        <rFont val="Times New Roman"/>
        <family val="1"/>
      </rPr>
      <t>Dự án: Xây dựng hệ thống thoát nước tuyến đường(từ nhà ông Cường đến nhà ông Hưng thôn Đại Trà Đức)</t>
    </r>
  </si>
  <si>
    <r>
      <t>BẢNG TỔNG HỢP KHỐI LƯỢNG CHI TIẾT HOÀN THÀNH CÔNG TRÌNH
(</t>
    </r>
    <r>
      <rPr>
        <b/>
        <i/>
        <sz val="14"/>
        <rFont val="Times New Roman"/>
        <family val="1"/>
      </rPr>
      <t>Kèm theo Biên bản nghiệm thu hoàn thành công trình ngày 25/04/2026)</t>
    </r>
  </si>
  <si>
    <t>Kiến Minh, ngày      tháng      năm 2026</t>
  </si>
  <si>
    <t>Bằng chữ: Một tỷ, chín trăm linh chín triệu, chín trăm bảy mươi chín nghìn đồng ./.</t>
  </si>
  <si>
    <t>Dự án: Xây dựng hệ thống chiếu sáng tuyến đường của thôn Tân Linh (đoạn từ gốc đa
đến cống chùa Hưng Khánh), xã Kiến Minh</t>
  </si>
  <si>
    <t>UBND XÃ KIẾN MINH</t>
  </si>
  <si>
    <t>PHÒNG KINH TẾ</t>
  </si>
  <si>
    <t>Công ty cổ phần tư vấn xây dựng và thương mại Cường Đạt</t>
  </si>
  <si>
    <r>
      <rPr>
        <b/>
        <sz val="12"/>
        <color rgb="FF1A1C1E"/>
        <rFont val="Times New Roman"/>
        <family val="1"/>
      </rPr>
      <t>Ông: Vũ Văn Hiệp</t>
    </r>
    <r>
      <rPr>
        <sz val="12"/>
        <color rgb="FF1A1C1E"/>
        <rFont val="Times New Roman"/>
        <family val="1"/>
      </rPr>
      <t xml:space="preserve"> - Chức vụ: Trưởng phòng</t>
    </r>
  </si>
  <si>
    <r>
      <rPr>
        <b/>
        <sz val="12"/>
        <color rgb="FF1A1C1E"/>
        <rFont val="Times New Roman"/>
        <family val="1"/>
      </rPr>
      <t>Ông: Phạm Văn Dự</t>
    </r>
    <r>
      <rPr>
        <sz val="12"/>
        <color rgb="FF1A1C1E"/>
        <rFont val="Times New Roman"/>
        <family val="1"/>
      </rPr>
      <t xml:space="preserve">  - Chức vụ: Tổng Giám đốc</t>
    </r>
  </si>
  <si>
    <t>Thôn Hồi Xuân, xã Kiến Hải, TP Hải Phòng.</t>
  </si>
  <si>
    <t>Số 20239666Tại Ngân hàng VietinBank – PGD Kiến Thụy</t>
  </si>
  <si>
    <t>0201774099</t>
  </si>
  <si>
    <t>Thuế cơ sở 6 thành phố Hải Phòng</t>
  </si>
  <si>
    <t>- Thực hiện việc bảo hành công trình trong thời gian 12 tháng với giá trị bảo hành là 5% giá trị hợp đồng. Hình thức bằng bảo lãnh ngân hàng.</t>
  </si>
  <si>
    <t>- Chủ đầu tư phải mua bảo hiểm công trình xây dựng theo quy định. 
- Nhà thầu phải thực hiện mua bảo hiểm đối với các thiết bị, nhân lực của Nhà thầu, bảo hiểm đối với bên thứ 3</t>
  </si>
  <si>
    <t>Trọn gói</t>
  </si>
  <si>
    <t>Nhà thầu: Công ty cổ phần tư vấn xây dựng và thương mại Cường Đạt</t>
  </si>
  <si>
    <t>Trong đó:</t>
  </si>
  <si>
    <t>CỘNG HÒA XÃ HỘI CHỦ NGHĨA VIỆT NAM</t>
  </si>
  <si>
    <t>Độc lập - Tự do - Hạnh phúc</t>
  </si>
  <si>
    <t>- Căn cứ hồ sơ thanh toán đợt 01;</t>
  </si>
  <si>
    <t>- Căn cứ quy định Hợp đồng, Chúng tôi đã hoàn thành công việc tuân thủ đúng theo các điều kiện và quy định của Hợp đồng. Vì vậy, chúng tôi xin trình giá trị của đợt này là:</t>
  </si>
  <si>
    <t xml:space="preserve">Giá trị hợp đồng : </t>
  </si>
  <si>
    <t>Luỹ kế giá trị thanh toán cuối kỳ trước:</t>
  </si>
  <si>
    <t>Lũy kế giá trị thực hiện kỳ này:</t>
  </si>
  <si>
    <t>Giá trị thu hồi tạm ứng kỳ này:</t>
  </si>
  <si>
    <t>Giá trị đề nghị thanh toán kỳ này:</t>
  </si>
  <si>
    <t>Bằng chữ:</t>
  </si>
  <si>
    <t>Nơi nhận</t>
  </si>
  <si>
    <t>- Như kính gửi,</t>
  </si>
  <si>
    <t>- Lưu: VT.</t>
  </si>
  <si>
    <t xml:space="preserve">ĐẠI DIỆN NHÀ THẦU </t>
  </si>
  <si>
    <t>CÔNG TY CỔ PHẦN TƯ VẤN XÂY DỰNG &amp; THƯƠNG MẠI CƯỜNG ĐẠT</t>
  </si>
  <si>
    <t>Đơn vị thụ hưởng:</t>
  </si>
  <si>
    <t>Tài khoản:</t>
  </si>
  <si>
    <t>Số 20239666 Tại Ngân hàng VietinBank – PGD Kiến Thụy</t>
  </si>
  <si>
    <t>Thông tin hợp đồng điều chỉnh lần 1</t>
  </si>
  <si>
    <t xml:space="preserve">Giá trị hợp đồng tương ứng với Nhà thầu </t>
  </si>
  <si>
    <t>90 ngày kể từ ngày khởi công</t>
  </si>
  <si>
    <t>Gói thầu số 02: Quản lý dự án</t>
  </si>
  <si>
    <t xml:space="preserve">Số 9527.4.1144513
Mở tại Kho bạc Nhà nước khu vực III - Phòng giao dịch số 3 </t>
  </si>
  <si>
    <t xml:space="preserve">Mã dự án:  </t>
  </si>
  <si>
    <t>V/v: thanh toán lần 01 - Gói thầu số 02: Gói thầu tư vấn Quản lý dự án: Cải tạo, sửa chữa tuyến đường từ nhà ông Động đến nhà bà Khía, thôn Đức Phong, xã Kiến Minh</t>
  </si>
  <si>
    <t>- Căn cứ Hợp đồng số 0903/2026/HĐTV ngày 09 tháng 03 năm 2026 ký kết giữa Phòng Kinh tế xã Kiến Minh với Công ty cổ phần tư vấn xây dựng và thương mại Cường Đạt về việc thực hiện gói thầu số 02: Quản lý dự án: Cải tạo, sửa chữa tuyến đường từ nhà ông Động đến nhà bà Khía, thôn Đức Phong, xã Kiến Minh.</t>
  </si>
  <si>
    <t>Bốn mươi chín triệu sáu trăm hai mươi tám triệu đồng</t>
  </si>
  <si>
    <t>Hải Phòng, ngày 16 tháng  6  năm 2026</t>
  </si>
  <si>
    <t>Số: 05/CV-CĐ</t>
  </si>
  <si>
    <t>Kiến Minh, ngày     tháng 06 năm 2026</t>
  </si>
  <si>
    <t>Thanh toán lần thứ: Quyết toán</t>
  </si>
  <si>
    <t>Căn cứ Căn cứ Hợp đồng số 1303/2026/HĐTV  ngày 13 tháng 03 năm 2026 Về việc thực hiện gói thầu số 02: Quản lý dự án: Nạo vét tuyến kênh từ gốc đa Miếu Bà đến cống Bà Xoàng, thôn Phong Cầu 2, xã Kiến Minh.</t>
  </si>
  <si>
    <t>1303/2026/HĐTV</t>
  </si>
  <si>
    <t xml:space="preserve">Ngày 13 tháng 03 năm 2026 </t>
  </si>
  <si>
    <t>Nạo vét tuyến kênh từ gốc đa Miếu Bà đến cống Bà Xoàng, thôn Phong Cầu 2, xã Kiến Minh.</t>
  </si>
  <si>
    <t>Số tiền bằng chữ: (Bằng chữ: Chín triệu sáu trăm lẻ sáu nghìn đồng./.), trong đó:</t>
  </si>
  <si>
    <t xml:space="preserve">Tên dự án: Nạo vét tuyến kênh từ gốc đa Miếu Bà đến cống Bà Xoàng, thôn Phong Cầu 2, xã Kiến Minh;
</t>
  </si>
  <si>
    <t>Căn cứ Bảng thông tin của Hợp đồng: Hợp đồng số 1303/2026/HĐTV  ngày 13tháng 03 năm 2026</t>
  </si>
  <si>
    <t>Căn cứ Biên bản nghiệm thu khối lượng hoàn thành công trình ngày 16/05/2026</t>
  </si>
  <si>
    <t>Ngày     tháng 6 năm 2026</t>
  </si>
  <si>
    <t>Quản lý dự án công trình: Nạo vét tuyến kênh từ gốc đa Miếu Bà đến cống Bà Xoàng, thôn Phong Cầu 2, xã Kiến Minh;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</si>
</sst>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9">
    <numFmt numFmtId="43" formatCode="_(* #,##0.00_);_(* \(#,##0.00\);_(* &quot;-&quot;??_);_(@_)"/>
    <numFmt numFmtId="164" formatCode="#,##0.####;\-#,##0.####"/>
    <numFmt numFmtId="165" formatCode="#,##0.#;\-#,##0.#"/>
    <numFmt numFmtId="166" formatCode="#,##0.#####;\-#,##0.#####"/>
    <numFmt numFmtId="167" formatCode="dd/mm/yy"/>
    <numFmt numFmtId="168" formatCode="#,##0.###0;\-#,##0.###0"/>
    <numFmt numFmtId="169" formatCode="#,##0.####0;\-#,##0.####0"/>
    <numFmt numFmtId="170" formatCode="#,##0.###;\-#,##0.###"/>
    <numFmt numFmtId="171" formatCode="#,##0.0;\-#,##0.0"/>
    <numFmt numFmtId="172" formatCode="#,##0.#####0;\-#,##0.#####0"/>
    <numFmt numFmtId="173" formatCode="#,##0.#######0;\-#,##0.#######0"/>
    <numFmt numFmtId="174" formatCode="0.00000\ %;\-0.00000\ %"/>
    <numFmt numFmtId="175" formatCode="#,##0.00000;\-#,##0.00000"/>
    <numFmt numFmtId="176" formatCode="#,##0.#######;\-#,##0.#######"/>
    <numFmt numFmtId="177" formatCode="0.000"/>
    <numFmt numFmtId="178" formatCode="0.00\ %;\-0.00\ %"/>
    <numFmt numFmtId="179" formatCode="#,##0.000"/>
    <numFmt numFmtId="180" formatCode="#,##0.0000"/>
    <numFmt numFmtId="181" formatCode="#,##0\ ;\ \-\ #,##0\ ;\ &quot;-&quot;"/>
    <numFmt numFmtId="182" formatCode="&quot;[1]&quot;"/>
    <numFmt numFmtId="183" formatCode="&quot;[&quot;0&quot;]&quot;"/>
    <numFmt numFmtId="184" formatCode="_(* #,##0.000_);_(* \(#,##0.000\);_(* &quot;-&quot;???_);_(@_)"/>
    <numFmt numFmtId="185" formatCode="_(* #,##0.0_);_(* \(#,##0.0\);_(* &quot;-&quot;???_);_(@_)"/>
    <numFmt numFmtId="186" formatCode="_(* #,##0.0000_);_(* \(#,##0.0000\);_(* &quot;-&quot;???_);_(@_)"/>
    <numFmt numFmtId="187" formatCode="_(* #,##0_);_(* \(#,##0\);_(* &quot;-&quot;??_);_(@_)"/>
    <numFmt numFmtId="188" formatCode="_(* #,##0.000_);_(* \(#,##0.000\);_(* &quot;-&quot;_);_(@_)"/>
    <numFmt numFmtId="189" formatCode="#,##0.##0;\-#,##0.##0"/>
    <numFmt numFmtId="190" formatCode="#,##0.0\ ;\ \-\ #,##0.0\ ;\ &quot;-&quot;"/>
    <numFmt numFmtId="191" formatCode="#,##0.00\ ;\ \-\ #,##0.00\ ;\ &quot;-&quot;"/>
    <numFmt numFmtId="192" formatCode="#,##0.000\ ;\ \-\ #,##0.000\ ;\ &quot;-&quot;"/>
    <numFmt numFmtId="193" formatCode="#,##0.00;\-###0.00;\-"/>
    <numFmt numFmtId="194" formatCode="#,##0.00;\-#,##0.00;\-"/>
    <numFmt numFmtId="195" formatCode="#,##0.000;\-#,##0.000;\-"/>
    <numFmt numFmtId="196" formatCode="#,##0.##0;\-#,##0.##0;_(* &quot;-&quot;??_);_(@_)"/>
    <numFmt numFmtId="197" formatCode="0.0"/>
    <numFmt numFmtId="198" formatCode="0.0000"/>
    <numFmt numFmtId="199" formatCode="#,##0.0000\ ;\ \-\ #,##0.0000\ ;\ &quot;-&quot;"/>
    <numFmt numFmtId="200" formatCode="&quot;Km&quot;0\+000.00"/>
    <numFmt numFmtId="201" formatCode="#,##0&quot; đồng.&quot;"/>
  </numFmts>
  <fonts count="112">
    <font>
      <sz val="8.25"/>
      <name val="Microsoft Sans Serif"/>
    </font>
    <font>
      <sz val="11"/>
      <color theme="1"/>
      <name val="Calibri"/>
      <family val="2"/>
      <scheme val="minor"/>
    </font>
    <font>
      <sz val="8.25"/>
      <name val="Microsoft Sans Serif"/>
      <family val="2"/>
    </font>
    <font>
      <b/>
      <sz val="15"/>
      <name val="Times New Roman"/>
      <family val="1"/>
    </font>
    <font>
      <b/>
      <sz val="12"/>
      <name val="Times New Roman"/>
      <family val="1"/>
    </font>
    <font>
      <b/>
      <sz val="11"/>
      <name val="Times New Roman"/>
      <family val="1"/>
    </font>
    <font>
      <b/>
      <sz val="10"/>
      <color indexed="16"/>
      <name val="Arial"/>
      <family val="2"/>
    </font>
    <font>
      <b/>
      <sz val="8"/>
      <color indexed="32"/>
      <name val="Arial"/>
      <family val="2"/>
    </font>
    <font>
      <sz val="11"/>
      <name val="Arial Narrow"/>
      <family val="2"/>
    </font>
    <font>
      <sz val="11"/>
      <color indexed="12"/>
      <name val="Arial Narrow"/>
      <family val="2"/>
    </font>
    <font>
      <sz val="11"/>
      <color indexed="10"/>
      <name val="Arial Narrow"/>
      <family val="2"/>
    </font>
    <font>
      <sz val="11"/>
      <color indexed="8"/>
      <name val="Arial Narrow"/>
      <family val="2"/>
    </font>
    <font>
      <b/>
      <sz val="12"/>
      <color indexed="53"/>
      <name val="Times New Roman"/>
      <family val="1"/>
    </font>
    <font>
      <b/>
      <i/>
      <sz val="11"/>
      <name val="Arial Narrow"/>
      <family val="2"/>
    </font>
    <font>
      <b/>
      <sz val="11"/>
      <name val="Arial Narrow"/>
      <family val="2"/>
    </font>
    <font>
      <b/>
      <sz val="11"/>
      <color indexed="12"/>
      <name val="Arial Narrow"/>
      <family val="2"/>
    </font>
    <font>
      <i/>
      <sz val="11"/>
      <color indexed="32"/>
      <name val="Arial Narrow"/>
      <family val="2"/>
    </font>
    <font>
      <b/>
      <sz val="11"/>
      <color indexed="10"/>
      <name val="Arial Narrow"/>
      <family val="2"/>
    </font>
    <font>
      <sz val="11"/>
      <color indexed="16"/>
      <name val="Arial Narrow"/>
      <family val="2"/>
    </font>
    <font>
      <b/>
      <i/>
      <sz val="11"/>
      <color indexed="32"/>
      <name val="Arial Narrow"/>
      <family val="2"/>
    </font>
    <font>
      <sz val="11"/>
      <name val="Arial"/>
      <family val="2"/>
    </font>
    <font>
      <sz val="11"/>
      <color indexed="33"/>
      <name val="Arial Narrow"/>
      <family val="2"/>
    </font>
    <font>
      <sz val="11"/>
      <color indexed="12"/>
      <name val="Arial Narrow"/>
      <family val="2"/>
    </font>
    <font>
      <b/>
      <sz val="10"/>
      <color indexed="32"/>
      <name val="Times New Roman"/>
      <family val="1"/>
    </font>
    <font>
      <sz val="11"/>
      <name val="Times New Roman"/>
      <family val="1"/>
    </font>
    <font>
      <i/>
      <sz val="11"/>
      <name val="Times New Roman"/>
      <family val="1"/>
    </font>
    <font>
      <b/>
      <sz val="11"/>
      <color indexed="32"/>
      <name val="Times New Roman"/>
      <family val="1"/>
    </font>
    <font>
      <sz val="11"/>
      <color indexed="32"/>
      <name val="Arial Narrow"/>
      <family val="2"/>
    </font>
    <font>
      <b/>
      <i/>
      <sz val="11"/>
      <name val="Times New Roman"/>
      <family val="1"/>
    </font>
    <font>
      <b/>
      <sz val="11"/>
      <color indexed="8"/>
      <name val="Times New Roman"/>
      <family val="1"/>
    </font>
    <font>
      <b/>
      <sz val="11"/>
      <color indexed="32"/>
      <name val="Arial Narrow"/>
      <family val="2"/>
    </font>
    <font>
      <i/>
      <sz val="12"/>
      <name val="Times New Roman"/>
      <family val="1"/>
    </font>
    <font>
      <sz val="8.25"/>
      <color indexed="33"/>
      <name val="Microsoft Sans Serif"/>
      <family val="2"/>
    </font>
    <font>
      <sz val="10"/>
      <name val="Times New Roman"/>
      <family val="1"/>
    </font>
    <font>
      <b/>
      <sz val="12"/>
      <color indexed="32"/>
      <name val="Times New Roman"/>
      <family val="1"/>
    </font>
    <font>
      <b/>
      <u/>
      <sz val="11"/>
      <color indexed="32"/>
      <name val="Times New Roman"/>
      <family val="1"/>
    </font>
    <font>
      <sz val="8.25"/>
      <color indexed="12"/>
      <name val="Microsoft Sans Serif"/>
      <family val="2"/>
    </font>
    <font>
      <sz val="11.25"/>
      <name val="Arial Narrow"/>
      <family val="2"/>
    </font>
    <font>
      <sz val="8.25"/>
      <color indexed="8"/>
      <name val="Microsoft Sans Serif"/>
      <family val="2"/>
    </font>
    <font>
      <sz val="8.25"/>
      <name val="Microsoft Sans Serif"/>
      <family val="2"/>
    </font>
    <font>
      <sz val="8.25"/>
      <name val="Microsoft Sans Serif"/>
      <family val="2"/>
    </font>
    <font>
      <i/>
      <sz val="13"/>
      <name val="Times New Roman"/>
      <family val="1"/>
    </font>
    <font>
      <b/>
      <sz val="13"/>
      <name val="Times New Roman"/>
      <family val="1"/>
    </font>
    <font>
      <b/>
      <sz val="14"/>
      <name val="Times New Roman"/>
      <family val="1"/>
    </font>
    <font>
      <sz val="12"/>
      <name val="Times New Roman"/>
      <family val="1"/>
    </font>
    <font>
      <b/>
      <sz val="11"/>
      <color indexed="16"/>
      <name val="Arial Narrow"/>
      <family val="2"/>
    </font>
    <font>
      <b/>
      <sz val="8.25"/>
      <name val="Microsoft Sans Serif"/>
      <family val="2"/>
    </font>
    <font>
      <sz val="13"/>
      <name val="Times New Roman"/>
      <family val="1"/>
    </font>
    <font>
      <b/>
      <i/>
      <sz val="12"/>
      <name val="Times New Roman"/>
      <family val="1"/>
    </font>
    <font>
      <b/>
      <sz val="12"/>
      <color indexed="16"/>
      <name val="Times New Roman"/>
      <family val="1"/>
    </font>
    <font>
      <sz val="12"/>
      <color indexed="16"/>
      <name val="Times New Roman"/>
      <family val="1"/>
    </font>
    <font>
      <sz val="12"/>
      <name val=".VnTime"/>
      <family val="2"/>
    </font>
    <font>
      <sz val="14"/>
      <name val="Times New Roman"/>
      <family val="1"/>
    </font>
    <font>
      <sz val="8"/>
      <name val="Microsoft Sans Serif"/>
      <family val="2"/>
    </font>
    <font>
      <sz val="8.25"/>
      <name val="Microsoft Sans Serif"/>
      <family val="2"/>
    </font>
    <font>
      <sz val="11"/>
      <color rgb="FFFF0000"/>
      <name val="Arial Narrow"/>
      <family val="2"/>
    </font>
    <font>
      <sz val="8.25"/>
      <color rgb="FFFF0000"/>
      <name val="Microsoft Sans Serif"/>
      <family val="2"/>
    </font>
    <font>
      <sz val="12"/>
      <color rgb="FFFF0000"/>
      <name val="Times New Roman"/>
      <family val="1"/>
    </font>
    <font>
      <b/>
      <sz val="12"/>
      <name val="Calibri Light"/>
      <family val="1"/>
      <scheme val="major"/>
    </font>
    <font>
      <sz val="12"/>
      <name val="Calibri Light"/>
      <family val="1"/>
      <scheme val="major"/>
    </font>
    <font>
      <sz val="12"/>
      <color rgb="FF000000"/>
      <name val="Times New Roman"/>
      <family val="1"/>
    </font>
    <font>
      <b/>
      <sz val="12"/>
      <color rgb="FF000000"/>
      <name val="Times New Roman"/>
      <family val="1"/>
    </font>
    <font>
      <b/>
      <i/>
      <sz val="12"/>
      <color rgb="FF000000"/>
      <name val="Times New Roman"/>
      <family val="1"/>
    </font>
    <font>
      <sz val="12"/>
      <color rgb="FF0070C0"/>
      <name val="Times New Roman"/>
      <family val="1"/>
    </font>
    <font>
      <b/>
      <sz val="12"/>
      <color rgb="FF0070C0"/>
      <name val="Times New Roman"/>
      <family val="1"/>
    </font>
    <font>
      <sz val="11"/>
      <color theme="1"/>
      <name val="Calibri"/>
      <family val="2"/>
      <charset val="163"/>
      <scheme val="minor"/>
    </font>
    <font>
      <sz val="10"/>
      <name val="Arial"/>
      <family val="2"/>
    </font>
    <font>
      <b/>
      <sz val="12"/>
      <color indexed="8"/>
      <name val="Times New Roman"/>
      <family val="1"/>
    </font>
    <font>
      <b/>
      <sz val="9"/>
      <color indexed="81"/>
      <name val="Tahoma"/>
      <family val="2"/>
    </font>
    <font>
      <sz val="9"/>
      <color indexed="81"/>
      <name val="Tahoma"/>
      <family val="2"/>
    </font>
    <font>
      <b/>
      <sz val="12"/>
      <color rgb="FFFF0000"/>
      <name val="Times New Roman"/>
      <family val="1"/>
    </font>
    <font>
      <sz val="13"/>
      <color rgb="FF000000"/>
      <name val="Times New Roman"/>
      <family val="1"/>
    </font>
    <font>
      <i/>
      <sz val="13"/>
      <color rgb="FF000000"/>
      <name val="Times New Roman"/>
      <family val="1"/>
    </font>
    <font>
      <sz val="8.25"/>
      <name val="Microsoft Sans Serif"/>
    </font>
    <font>
      <b/>
      <sz val="11"/>
      <color theme="1"/>
      <name val="Times New Roman"/>
      <family val="1"/>
    </font>
    <font>
      <sz val="11"/>
      <color theme="1"/>
      <name val="Times New Roman"/>
      <family val="1"/>
    </font>
    <font>
      <i/>
      <sz val="11"/>
      <color indexed="12"/>
      <name val="Times New Roman"/>
      <family val="1"/>
    </font>
    <font>
      <b/>
      <sz val="11"/>
      <color indexed="12"/>
      <name val="Times New Roman"/>
      <family val="1"/>
    </font>
    <font>
      <sz val="11"/>
      <color rgb="FFFF0000"/>
      <name val="Times New Roman"/>
      <family val="1"/>
    </font>
    <font>
      <i/>
      <sz val="11"/>
      <color rgb="FFFF0000"/>
      <name val="Times New Roman"/>
      <family val="1"/>
    </font>
    <font>
      <i/>
      <sz val="11"/>
      <color indexed="10"/>
      <name val="Times New Roman"/>
      <family val="1"/>
    </font>
    <font>
      <b/>
      <i/>
      <sz val="11"/>
      <color rgb="FFFF0000"/>
      <name val="Times New Roman"/>
      <family val="1"/>
    </font>
    <font>
      <sz val="12"/>
      <color indexed="10"/>
      <name val="Times New Roman"/>
      <family val="1"/>
    </font>
    <font>
      <b/>
      <sz val="12"/>
      <name val=".VnTime"/>
      <family val="2"/>
    </font>
    <font>
      <sz val="14"/>
      <name val="Dutoan TCVN1993"/>
      <family val="2"/>
    </font>
    <font>
      <b/>
      <sz val="14"/>
      <name val="Dutoan TCVN1993"/>
      <family val="2"/>
    </font>
    <font>
      <sz val="12"/>
      <color theme="9" tint="-0.249977111117893"/>
      <name val="Times New Roman"/>
      <family val="1"/>
    </font>
    <font>
      <sz val="12"/>
      <name val="Dutoan TCVN1993"/>
      <family val="2"/>
    </font>
    <font>
      <sz val="12"/>
      <name val="Times New Roman"/>
      <family val="2"/>
      <charset val="163"/>
    </font>
    <font>
      <sz val="12"/>
      <color theme="1"/>
      <name val="Times New Roman"/>
      <family val="1"/>
    </font>
    <font>
      <b/>
      <sz val="12"/>
      <color rgb="FF1A1C1E"/>
      <name val="Times New Roman"/>
      <family val="1"/>
    </font>
    <font>
      <sz val="12"/>
      <color rgb="FF1A1C1E"/>
      <name val="Times New Roman"/>
      <family val="1"/>
    </font>
    <font>
      <i/>
      <sz val="12"/>
      <color rgb="FF1A1C1E"/>
      <name val="Times New Roman"/>
      <family val="1"/>
    </font>
    <font>
      <b/>
      <sz val="12"/>
      <color theme="1"/>
      <name val="Times New Roman"/>
      <family val="1"/>
    </font>
    <font>
      <i/>
      <sz val="12"/>
      <color theme="1"/>
      <name val="Times New Roman"/>
      <family val="1"/>
    </font>
    <font>
      <i/>
      <sz val="14"/>
      <name val="Times New Roman"/>
      <family val="1"/>
    </font>
    <font>
      <b/>
      <sz val="14"/>
      <color rgb="FFFF0000"/>
      <name val="Times New Roman"/>
      <family val="1"/>
    </font>
    <font>
      <i/>
      <sz val="14"/>
      <color rgb="FFFF0000"/>
      <name val="Times New Roman"/>
      <family val="1"/>
    </font>
    <font>
      <sz val="14"/>
      <color rgb="FFFF0000"/>
      <name val="Times New Roman"/>
      <family val="1"/>
    </font>
    <font>
      <b/>
      <i/>
      <sz val="14"/>
      <name val="Times New Roman"/>
      <family val="1"/>
    </font>
    <font>
      <b/>
      <sz val="14"/>
      <color rgb="FF1A1C1E"/>
      <name val="Times New Roman"/>
      <family val="1"/>
    </font>
    <font>
      <b/>
      <sz val="13"/>
      <color rgb="FF000000"/>
      <name val="Times New Roman"/>
      <family val="1"/>
    </font>
    <font>
      <sz val="13"/>
      <color theme="1"/>
      <name val="Times New Roman"/>
      <family val="1"/>
    </font>
    <font>
      <i/>
      <sz val="13"/>
      <color theme="1"/>
      <name val="Times New Roman"/>
      <family val="1"/>
    </font>
    <font>
      <sz val="14"/>
      <color theme="1"/>
      <name val="Times New Roman"/>
      <family val="1"/>
    </font>
    <font>
      <sz val="13.5"/>
      <color theme="1"/>
      <name val="Times New Roman"/>
      <family val="1"/>
    </font>
    <font>
      <b/>
      <sz val="13.5"/>
      <color theme="1"/>
      <name val="Times New Roman"/>
      <family val="1"/>
    </font>
    <font>
      <i/>
      <sz val="13.5"/>
      <color theme="1"/>
      <name val="Times New Roman"/>
      <family val="1"/>
    </font>
    <font>
      <sz val="13.5"/>
      <name val="Times New Roman"/>
      <family val="1"/>
    </font>
    <font>
      <b/>
      <sz val="12"/>
      <color theme="1"/>
      <name val="Times New Roman"/>
      <family val="1"/>
      <charset val="163"/>
    </font>
    <font>
      <sz val="12"/>
      <color theme="1"/>
      <name val="Times New Roman"/>
      <family val="1"/>
      <charset val="163"/>
    </font>
    <font>
      <b/>
      <sz val="13"/>
      <color theme="1"/>
      <name val="Times New Roman"/>
      <family val="1"/>
    </font>
  </fonts>
  <fills count="8">
    <fill>
      <patternFill patternType="none"/>
    </fill>
    <fill>
      <patternFill patternType="gray125"/>
    </fill>
    <fill>
      <patternFill patternType="solid">
        <fgColor indexed="34"/>
      </patternFill>
    </fill>
    <fill>
      <patternFill patternType="solid">
        <fgColor indexed="36"/>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rgb="FFFFFFFF"/>
        <bgColor indexed="64"/>
      </patternFill>
    </fill>
  </fills>
  <borders count="36">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style="hair">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hair">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right/>
      <top style="thin">
        <color indexed="64"/>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indexed="8"/>
      </bottom>
      <diagonal/>
    </border>
    <border>
      <left/>
      <right/>
      <top/>
      <bottom style="hair">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style="thin">
        <color indexed="8"/>
      </left>
      <right/>
      <top/>
      <bottom style="thin">
        <color indexed="8"/>
      </bottom>
      <diagonal/>
    </border>
    <border>
      <left style="thin">
        <color rgb="FF3366CC"/>
      </left>
      <right style="thin">
        <color rgb="FF3366CC"/>
      </right>
      <top style="thin">
        <color rgb="FF3366CC"/>
      </top>
      <bottom/>
      <diagonal/>
    </border>
    <border>
      <left style="thin">
        <color rgb="FF3366CC"/>
      </left>
      <right style="thin">
        <color rgb="FF3366CC"/>
      </right>
      <top style="thin">
        <color rgb="FF3366CC"/>
      </top>
      <bottom style="thin">
        <color rgb="FF3366CC"/>
      </bottom>
      <diagonal/>
    </border>
    <border>
      <left/>
      <right/>
      <top style="thin">
        <color rgb="FF3366CC"/>
      </top>
      <bottom/>
      <diagonal/>
    </border>
    <border>
      <left style="thin">
        <color rgb="FF3366CC"/>
      </left>
      <right style="thin">
        <color rgb="FF3366CC"/>
      </right>
      <top/>
      <bottom style="thin">
        <color rgb="FF3366CC"/>
      </bottom>
      <diagonal/>
    </border>
    <border>
      <left style="thin">
        <color rgb="FF3366CC"/>
      </left>
      <right/>
      <top style="thin">
        <color rgb="FF3366CC"/>
      </top>
      <bottom style="thin">
        <color rgb="FF3366CC"/>
      </bottom>
      <diagonal/>
    </border>
    <border>
      <left/>
      <right/>
      <top style="thin">
        <color rgb="FF3366CC"/>
      </top>
      <bottom style="thin">
        <color rgb="FF3366CC"/>
      </bottom>
      <diagonal/>
    </border>
    <border>
      <left/>
      <right style="thin">
        <color rgb="FF3366CC"/>
      </right>
      <top style="thin">
        <color rgb="FF3366CC"/>
      </top>
      <bottom style="thin">
        <color rgb="FF3366CC"/>
      </bottom>
      <diagonal/>
    </border>
    <border>
      <left style="thin">
        <color auto="1"/>
      </left>
      <right style="thin">
        <color auto="1"/>
      </right>
      <top/>
      <bottom style="hair">
        <color auto="1"/>
      </bottom>
      <diagonal/>
    </border>
  </borders>
  <cellStyleXfs count="11">
    <xf numFmtId="0" fontId="0" fillId="0" borderId="0">
      <protection locked="0"/>
    </xf>
    <xf numFmtId="43" fontId="51" fillId="0" borderId="0" applyFont="0" applyFill="0" applyBorder="0" applyAlignment="0" applyProtection="0"/>
    <xf numFmtId="0" fontId="51" fillId="0" borderId="0"/>
    <xf numFmtId="0" fontId="24" fillId="0" borderId="0"/>
    <xf numFmtId="0" fontId="54" fillId="0" borderId="0">
      <protection locked="0"/>
    </xf>
    <xf numFmtId="0" fontId="65" fillId="0" borderId="0"/>
    <xf numFmtId="0" fontId="66" fillId="0" borderId="0"/>
    <xf numFmtId="43" fontId="73" fillId="0" borderId="0" applyFont="0" applyFill="0" applyBorder="0" applyAlignment="0" applyProtection="0"/>
    <xf numFmtId="0" fontId="51" fillId="0" borderId="0"/>
    <xf numFmtId="0" fontId="1" fillId="0" borderId="0"/>
    <xf numFmtId="0" fontId="1" fillId="0" borderId="0"/>
  </cellStyleXfs>
  <cellXfs count="1068">
    <xf numFmtId="0" fontId="2" fillId="0" borderId="0" xfId="0" applyFont="1" applyAlignment="1">
      <alignment vertical="top"/>
      <protection locked="0"/>
    </xf>
    <xf numFmtId="0" fontId="5" fillId="2" borderId="1" xfId="0" applyFont="1" applyFill="1" applyBorder="1" applyAlignment="1">
      <alignment horizontal="center" vertical="center" wrapText="1"/>
      <protection locked="0"/>
    </xf>
    <xf numFmtId="0" fontId="5" fillId="2" borderId="2" xfId="0" applyFont="1" applyFill="1" applyBorder="1" applyAlignment="1">
      <alignment horizontal="center" vertical="center" wrapText="1"/>
      <protection locked="0"/>
    </xf>
    <xf numFmtId="0" fontId="6" fillId="0" borderId="3" xfId="0" applyFont="1" applyBorder="1" applyAlignment="1">
      <alignment horizontal="center" vertical="top" wrapText="1"/>
      <protection locked="0"/>
    </xf>
    <xf numFmtId="0" fontId="5" fillId="2" borderId="4" xfId="0" applyFont="1" applyFill="1" applyBorder="1" applyAlignment="1">
      <alignment horizontal="center" vertical="center" wrapText="1"/>
      <protection locked="0"/>
    </xf>
    <xf numFmtId="0" fontId="7" fillId="0" borderId="5" xfId="0" applyFont="1" applyBorder="1" applyAlignment="1">
      <alignment horizontal="center" vertical="top"/>
      <protection locked="0"/>
    </xf>
    <xf numFmtId="0" fontId="7" fillId="0" borderId="3" xfId="0" applyFont="1" applyBorder="1" applyAlignment="1">
      <alignment horizontal="center" vertical="top" wrapText="1"/>
      <protection locked="0"/>
    </xf>
    <xf numFmtId="3" fontId="7" fillId="0" borderId="3" xfId="0" applyNumberFormat="1" applyFont="1" applyBorder="1" applyAlignment="1">
      <alignment horizontal="center" vertical="top" wrapText="1"/>
      <protection locked="0"/>
    </xf>
    <xf numFmtId="3" fontId="7" fillId="3" borderId="3" xfId="0" applyNumberFormat="1" applyFont="1" applyFill="1" applyBorder="1" applyAlignment="1">
      <alignment horizontal="center" vertical="top" wrapText="1"/>
      <protection locked="0"/>
    </xf>
    <xf numFmtId="169" fontId="7" fillId="0" borderId="3" xfId="0" applyNumberFormat="1" applyFont="1" applyBorder="1" applyAlignment="1">
      <alignment horizontal="center" vertical="top" wrapText="1"/>
      <protection locked="0"/>
    </xf>
    <xf numFmtId="0" fontId="7" fillId="0" borderId="3" xfId="0" applyFont="1" applyBorder="1" applyAlignment="1">
      <alignment horizontal="center" vertical="top"/>
      <protection locked="0"/>
    </xf>
    <xf numFmtId="49" fontId="7" fillId="0" borderId="3" xfId="0" applyNumberFormat="1" applyFont="1" applyBorder="1" applyAlignment="1">
      <alignment horizontal="center" vertical="top" wrapText="1"/>
      <protection locked="0"/>
    </xf>
    <xf numFmtId="0" fontId="8" fillId="0" borderId="5" xfId="0" applyFont="1" applyBorder="1" applyAlignment="1">
      <alignment horizontal="center" vertical="top"/>
      <protection locked="0"/>
    </xf>
    <xf numFmtId="0" fontId="8" fillId="0" borderId="3" xfId="0" applyFont="1" applyBorder="1" applyAlignment="1">
      <alignment horizontal="center" vertical="top" wrapText="1"/>
      <protection locked="0"/>
    </xf>
    <xf numFmtId="0" fontId="8" fillId="0" borderId="3" xfId="0" applyFont="1" applyBorder="1" applyAlignment="1">
      <alignment vertical="top" wrapText="1"/>
      <protection locked="0"/>
    </xf>
    <xf numFmtId="3" fontId="8" fillId="0" borderId="3" xfId="0" applyNumberFormat="1" applyFont="1" applyBorder="1" applyAlignment="1">
      <alignment vertical="top" wrapText="1"/>
      <protection locked="0"/>
    </xf>
    <xf numFmtId="3" fontId="9" fillId="3" borderId="3" xfId="0" applyNumberFormat="1" applyFont="1" applyFill="1" applyBorder="1" applyAlignment="1">
      <alignment vertical="top" wrapText="1"/>
      <protection locked="0"/>
    </xf>
    <xf numFmtId="169" fontId="8" fillId="0" borderId="3" xfId="0" applyNumberFormat="1" applyFont="1" applyBorder="1" applyAlignment="1">
      <alignment vertical="top" wrapText="1"/>
      <protection locked="0"/>
    </xf>
    <xf numFmtId="0" fontId="8" fillId="0" borderId="3" xfId="0" applyFont="1" applyBorder="1" applyAlignment="1">
      <alignment horizontal="center" vertical="top"/>
      <protection locked="0"/>
    </xf>
    <xf numFmtId="0" fontId="8" fillId="0" borderId="3" xfId="0" applyFont="1" applyBorder="1" applyAlignment="1">
      <alignment vertical="top"/>
      <protection locked="0"/>
    </xf>
    <xf numFmtId="49" fontId="8" fillId="0" borderId="3" xfId="0" applyNumberFormat="1" applyFont="1" applyBorder="1" applyAlignment="1">
      <alignment vertical="top" wrapText="1"/>
      <protection locked="0"/>
    </xf>
    <xf numFmtId="3" fontId="8" fillId="3" borderId="3" xfId="0" applyNumberFormat="1" applyFont="1" applyFill="1" applyBorder="1" applyAlignment="1">
      <alignment vertical="top" wrapText="1"/>
      <protection locked="0"/>
    </xf>
    <xf numFmtId="3" fontId="10" fillId="3" borderId="3" xfId="0" applyNumberFormat="1" applyFont="1" applyFill="1" applyBorder="1" applyAlignment="1">
      <alignment vertical="top" wrapText="1"/>
      <protection locked="0"/>
    </xf>
    <xf numFmtId="0" fontId="8" fillId="0" borderId="6" xfId="0" applyFont="1" applyBorder="1" applyAlignment="1">
      <alignment horizontal="center" vertical="top"/>
      <protection locked="0"/>
    </xf>
    <xf numFmtId="0" fontId="8" fillId="0" borderId="2" xfId="0" applyFont="1" applyBorder="1" applyAlignment="1">
      <alignment horizontal="center" vertical="top" wrapText="1"/>
      <protection locked="0"/>
    </xf>
    <xf numFmtId="0" fontId="8" fillId="0" borderId="2" xfId="0" applyFont="1" applyBorder="1" applyAlignment="1">
      <alignment vertical="top" wrapText="1"/>
      <protection locked="0"/>
    </xf>
    <xf numFmtId="3" fontId="8" fillId="0" borderId="2" xfId="0" applyNumberFormat="1" applyFont="1" applyBorder="1" applyAlignment="1">
      <alignment vertical="top" wrapText="1"/>
      <protection locked="0"/>
    </xf>
    <xf numFmtId="3" fontId="9" fillId="3" borderId="2" xfId="0" applyNumberFormat="1" applyFont="1" applyFill="1" applyBorder="1" applyAlignment="1">
      <alignment vertical="top" wrapText="1"/>
      <protection locked="0"/>
    </xf>
    <xf numFmtId="169" fontId="8" fillId="0" borderId="2" xfId="0" applyNumberFormat="1" applyFont="1" applyBorder="1" applyAlignment="1">
      <alignment vertical="top" wrapText="1"/>
      <protection locked="0"/>
    </xf>
    <xf numFmtId="0" fontId="8" fillId="0" borderId="2" xfId="0" applyFont="1" applyBorder="1" applyAlignment="1">
      <alignment horizontal="center" vertical="top"/>
      <protection locked="0"/>
    </xf>
    <xf numFmtId="0" fontId="8" fillId="0" borderId="2" xfId="0" applyFont="1" applyBorder="1" applyAlignment="1">
      <alignment vertical="top"/>
      <protection locked="0"/>
    </xf>
    <xf numFmtId="49" fontId="8" fillId="0" borderId="2" xfId="0" applyNumberFormat="1" applyFont="1" applyBorder="1" applyAlignment="1">
      <alignment vertical="top" wrapText="1"/>
      <protection locked="0"/>
    </xf>
    <xf numFmtId="3" fontId="11" fillId="3" borderId="3" xfId="0" applyNumberFormat="1" applyFont="1" applyFill="1" applyBorder="1" applyAlignment="1">
      <alignment vertical="top" wrapText="1"/>
      <protection locked="0"/>
    </xf>
    <xf numFmtId="3" fontId="11" fillId="3" borderId="2" xfId="0" applyNumberFormat="1" applyFont="1" applyFill="1" applyBorder="1" applyAlignment="1">
      <alignment vertical="top" wrapText="1"/>
      <protection locked="0"/>
    </xf>
    <xf numFmtId="0" fontId="8" fillId="0" borderId="0" xfId="0" applyFont="1" applyAlignment="1">
      <alignment vertical="top"/>
      <protection locked="0"/>
    </xf>
    <xf numFmtId="0" fontId="8" fillId="0" borderId="0" xfId="0" applyFont="1" applyAlignment="1">
      <alignment horizontal="center"/>
      <protection locked="0"/>
    </xf>
    <xf numFmtId="0" fontId="8" fillId="0" borderId="0" xfId="0" applyFont="1" applyAlignment="1">
      <alignment vertical="center"/>
      <protection locked="0"/>
    </xf>
    <xf numFmtId="0" fontId="5" fillId="2" borderId="4" xfId="0" applyFont="1" applyFill="1" applyBorder="1" applyAlignment="1">
      <alignment horizontal="center" vertical="center"/>
      <protection locked="0"/>
    </xf>
    <xf numFmtId="0" fontId="5" fillId="2" borderId="1" xfId="0" applyFont="1" applyFill="1" applyBorder="1" applyAlignment="1">
      <alignment horizontal="center" vertical="center"/>
      <protection locked="0"/>
    </xf>
    <xf numFmtId="3" fontId="8" fillId="0" borderId="5" xfId="0" applyNumberFormat="1" applyFont="1" applyBorder="1" applyAlignment="1">
      <alignment horizontal="center" vertical="top" wrapText="1"/>
      <protection locked="0"/>
    </xf>
    <xf numFmtId="3" fontId="9" fillId="0" borderId="3" xfId="0" applyNumberFormat="1" applyFont="1" applyBorder="1" applyAlignment="1">
      <alignment horizontal="center" vertical="top" wrapText="1"/>
      <protection locked="0"/>
    </xf>
    <xf numFmtId="3" fontId="8" fillId="0" borderId="6" xfId="0" applyNumberFormat="1" applyFont="1" applyBorder="1" applyAlignment="1">
      <alignment horizontal="center" vertical="top" wrapText="1"/>
      <protection locked="0"/>
    </xf>
    <xf numFmtId="170" fontId="9" fillId="0" borderId="2" xfId="0" applyNumberFormat="1" applyFont="1" applyBorder="1" applyAlignment="1">
      <alignment horizontal="center" vertical="top" wrapText="1"/>
      <protection locked="0"/>
    </xf>
    <xf numFmtId="10" fontId="9" fillId="0" borderId="3" xfId="0" applyNumberFormat="1" applyFont="1" applyBorder="1" applyAlignment="1">
      <alignment horizontal="center" vertical="top" wrapText="1"/>
      <protection locked="0"/>
    </xf>
    <xf numFmtId="10" fontId="9" fillId="0" borderId="2" xfId="0" applyNumberFormat="1" applyFont="1" applyBorder="1" applyAlignment="1">
      <alignment horizontal="center" vertical="top" wrapText="1"/>
      <protection locked="0"/>
    </xf>
    <xf numFmtId="170" fontId="9" fillId="0" borderId="3" xfId="0" applyNumberFormat="1" applyFont="1" applyBorder="1" applyAlignment="1">
      <alignment vertical="top" wrapText="1"/>
      <protection locked="0"/>
    </xf>
    <xf numFmtId="170" fontId="9" fillId="0" borderId="2" xfId="0" applyNumberFormat="1" applyFont="1" applyBorder="1" applyAlignment="1">
      <alignment vertical="top" wrapText="1"/>
      <protection locked="0"/>
    </xf>
    <xf numFmtId="170" fontId="9" fillId="0" borderId="3" xfId="0" applyNumberFormat="1" applyFont="1" applyBorder="1" applyAlignment="1">
      <alignment horizontal="center" vertical="top" wrapText="1"/>
      <protection locked="0"/>
    </xf>
    <xf numFmtId="3" fontId="9" fillId="0" borderId="2" xfId="0" applyNumberFormat="1" applyFont="1" applyBorder="1" applyAlignment="1">
      <alignment horizontal="center" vertical="top" wrapText="1"/>
      <protection locked="0"/>
    </xf>
    <xf numFmtId="0" fontId="5" fillId="2" borderId="2" xfId="0" applyFont="1" applyFill="1" applyBorder="1" applyAlignment="1">
      <alignment horizontal="center" vertical="center"/>
      <protection locked="0"/>
    </xf>
    <xf numFmtId="10" fontId="5" fillId="2" borderId="2" xfId="0" applyNumberFormat="1" applyFont="1" applyFill="1" applyBorder="1" applyAlignment="1">
      <alignment horizontal="center" vertical="center" wrapText="1"/>
      <protection locked="0"/>
    </xf>
    <xf numFmtId="49" fontId="8" fillId="0" borderId="3" xfId="0" applyNumberFormat="1" applyFont="1" applyBorder="1" applyAlignment="1">
      <alignment horizontal="center" vertical="top" wrapText="1"/>
      <protection locked="0"/>
    </xf>
    <xf numFmtId="170" fontId="8" fillId="0" borderId="3" xfId="0" applyNumberFormat="1" applyFont="1" applyBorder="1" applyAlignment="1">
      <alignment horizontal="center" vertical="top" wrapText="1"/>
      <protection locked="0"/>
    </xf>
    <xf numFmtId="171" fontId="8" fillId="0" borderId="3" xfId="0" applyNumberFormat="1" applyFont="1" applyBorder="1" applyAlignment="1">
      <alignment vertical="top" wrapText="1"/>
      <protection locked="0"/>
    </xf>
    <xf numFmtId="170" fontId="8" fillId="0" borderId="3" xfId="0" applyNumberFormat="1" applyFont="1" applyBorder="1" applyAlignment="1">
      <alignment vertical="top" wrapText="1"/>
      <protection locked="0"/>
    </xf>
    <xf numFmtId="0" fontId="8" fillId="0" borderId="0" xfId="0" applyFont="1" applyAlignment="1">
      <alignment horizontal="center" vertical="center"/>
      <protection locked="0"/>
    </xf>
    <xf numFmtId="49" fontId="8" fillId="0" borderId="2" xfId="0" applyNumberFormat="1" applyFont="1" applyBorder="1" applyAlignment="1">
      <alignment horizontal="center" vertical="top" wrapText="1"/>
      <protection locked="0"/>
    </xf>
    <xf numFmtId="170" fontId="8" fillId="0" borderId="2" xfId="0" applyNumberFormat="1" applyFont="1" applyBorder="1" applyAlignment="1">
      <alignment horizontal="center" vertical="top" wrapText="1"/>
      <protection locked="0"/>
    </xf>
    <xf numFmtId="171" fontId="8" fillId="0" borderId="2" xfId="0" applyNumberFormat="1" applyFont="1" applyBorder="1" applyAlignment="1">
      <alignment vertical="top" wrapText="1"/>
      <protection locked="0"/>
    </xf>
    <xf numFmtId="170" fontId="8" fillId="0" borderId="2" xfId="0" applyNumberFormat="1" applyFont="1" applyBorder="1" applyAlignment="1">
      <alignment vertical="top" wrapText="1"/>
      <protection locked="0"/>
    </xf>
    <xf numFmtId="3" fontId="14" fillId="0" borderId="5" xfId="0" applyNumberFormat="1" applyFont="1" applyBorder="1" applyAlignment="1">
      <alignment horizontal="center" vertical="top" wrapText="1"/>
      <protection locked="0"/>
    </xf>
    <xf numFmtId="49" fontId="14" fillId="0" borderId="3" xfId="0" applyNumberFormat="1" applyFont="1" applyBorder="1" applyAlignment="1">
      <alignment horizontal="center" vertical="top" wrapText="1"/>
      <protection locked="0"/>
    </xf>
    <xf numFmtId="49" fontId="14" fillId="0" borderId="3" xfId="0" applyNumberFormat="1" applyFont="1" applyBorder="1" applyAlignment="1">
      <alignment vertical="top" wrapText="1"/>
      <protection locked="0"/>
    </xf>
    <xf numFmtId="3" fontId="15" fillId="0" borderId="3" xfId="0" applyNumberFormat="1" applyFont="1" applyBorder="1" applyAlignment="1">
      <alignment vertical="top" wrapText="1"/>
      <protection locked="0"/>
    </xf>
    <xf numFmtId="3" fontId="14" fillId="0" borderId="3" xfId="0" applyNumberFormat="1" applyFont="1" applyBorder="1" applyAlignment="1">
      <alignment horizontal="center" vertical="top" wrapText="1"/>
      <protection locked="0"/>
    </xf>
    <xf numFmtId="172" fontId="14" fillId="0" borderId="3" xfId="0" applyNumberFormat="1" applyFont="1" applyBorder="1" applyAlignment="1">
      <alignment vertical="top" wrapText="1"/>
      <protection locked="0"/>
    </xf>
    <xf numFmtId="171" fontId="14" fillId="0" borderId="3" xfId="0" applyNumberFormat="1" applyFont="1" applyBorder="1" applyAlignment="1">
      <alignment vertical="top" wrapText="1"/>
      <protection locked="0"/>
    </xf>
    <xf numFmtId="169" fontId="14" fillId="0" borderId="3" xfId="0" applyNumberFormat="1" applyFont="1" applyBorder="1" applyAlignment="1">
      <alignment horizontal="center" vertical="top" wrapText="1"/>
      <protection locked="0"/>
    </xf>
    <xf numFmtId="0" fontId="14" fillId="0" borderId="3" xfId="0" applyFont="1" applyBorder="1" applyAlignment="1">
      <alignment horizontal="center" vertical="top"/>
      <protection locked="0"/>
    </xf>
    <xf numFmtId="3" fontId="14" fillId="0" borderId="3" xfId="0" applyNumberFormat="1" applyFont="1" applyBorder="1" applyAlignment="1">
      <alignment vertical="top" wrapText="1"/>
      <protection locked="0"/>
    </xf>
    <xf numFmtId="3" fontId="16" fillId="0" borderId="5" xfId="0" applyNumberFormat="1" applyFont="1" applyBorder="1" applyAlignment="1">
      <alignment horizontal="center" vertical="top" wrapText="1"/>
      <protection locked="0"/>
    </xf>
    <xf numFmtId="49" fontId="16" fillId="0" borderId="3" xfId="0" applyNumberFormat="1" applyFont="1" applyBorder="1" applyAlignment="1">
      <alignment horizontal="center" vertical="top" wrapText="1"/>
      <protection locked="0"/>
    </xf>
    <xf numFmtId="49" fontId="16" fillId="0" borderId="3" xfId="0" applyNumberFormat="1" applyFont="1" applyBorder="1" applyAlignment="1">
      <alignment vertical="top" wrapText="1"/>
      <protection locked="0"/>
    </xf>
    <xf numFmtId="3" fontId="16" fillId="0" borderId="3" xfId="0" applyNumberFormat="1" applyFont="1" applyBorder="1" applyAlignment="1">
      <alignment vertical="top" wrapText="1"/>
      <protection locked="0"/>
    </xf>
    <xf numFmtId="3" fontId="16" fillId="0" borderId="3" xfId="0" applyNumberFormat="1" applyFont="1" applyBorder="1" applyAlignment="1">
      <alignment horizontal="center" vertical="top" wrapText="1"/>
      <protection locked="0"/>
    </xf>
    <xf numFmtId="172" fontId="16" fillId="0" borderId="3" xfId="0" applyNumberFormat="1" applyFont="1" applyBorder="1" applyAlignment="1">
      <alignment vertical="top" wrapText="1"/>
      <protection locked="0"/>
    </xf>
    <xf numFmtId="171" fontId="16" fillId="0" borderId="3" xfId="0" applyNumberFormat="1" applyFont="1" applyBorder="1" applyAlignment="1">
      <alignment vertical="top" wrapText="1"/>
      <protection locked="0"/>
    </xf>
    <xf numFmtId="169" fontId="16" fillId="0" borderId="3" xfId="0" applyNumberFormat="1" applyFont="1" applyBorder="1" applyAlignment="1">
      <alignment horizontal="center" vertical="top" wrapText="1"/>
      <protection locked="0"/>
    </xf>
    <xf numFmtId="0" fontId="16" fillId="0" borderId="3" xfId="0" applyFont="1" applyBorder="1" applyAlignment="1">
      <alignment horizontal="center" vertical="top"/>
      <protection locked="0"/>
    </xf>
    <xf numFmtId="3" fontId="8" fillId="0" borderId="3" xfId="0" applyNumberFormat="1" applyFont="1" applyBorder="1" applyAlignment="1">
      <alignment horizontal="center" vertical="top" wrapText="1"/>
      <protection locked="0"/>
    </xf>
    <xf numFmtId="172" fontId="8" fillId="0" borderId="3" xfId="0" applyNumberFormat="1" applyFont="1" applyBorder="1" applyAlignment="1">
      <alignment vertical="top" wrapText="1"/>
      <protection locked="0"/>
    </xf>
    <xf numFmtId="169" fontId="8" fillId="0" borderId="3" xfId="0" applyNumberFormat="1" applyFont="1" applyBorder="1" applyAlignment="1">
      <alignment horizontal="center" vertical="top" wrapText="1"/>
      <protection locked="0"/>
    </xf>
    <xf numFmtId="49" fontId="17" fillId="0" borderId="3" xfId="0" applyNumberFormat="1" applyFont="1" applyBorder="1" applyAlignment="1">
      <alignment vertical="top" wrapText="1"/>
      <protection locked="0"/>
    </xf>
    <xf numFmtId="3" fontId="8" fillId="0" borderId="2" xfId="0" applyNumberFormat="1" applyFont="1" applyBorder="1" applyAlignment="1">
      <alignment horizontal="center" vertical="top" wrapText="1"/>
      <protection locked="0"/>
    </xf>
    <xf numFmtId="172" fontId="8" fillId="0" borderId="2" xfId="0" applyNumberFormat="1" applyFont="1" applyBorder="1" applyAlignment="1">
      <alignment vertical="top" wrapText="1"/>
      <protection locked="0"/>
    </xf>
    <xf numFmtId="169" fontId="8" fillId="0" borderId="2" xfId="0" applyNumberFormat="1" applyFont="1" applyBorder="1" applyAlignment="1">
      <alignment horizontal="center" vertical="top" wrapText="1"/>
      <protection locked="0"/>
    </xf>
    <xf numFmtId="0" fontId="18" fillId="0" borderId="5" xfId="0" applyFont="1" applyBorder="1" applyAlignment="1">
      <alignment horizontal="center" vertical="top"/>
      <protection locked="0"/>
    </xf>
    <xf numFmtId="0" fontId="18" fillId="0" borderId="3" xfId="0" applyFont="1" applyBorder="1" applyAlignment="1">
      <alignment horizontal="center" vertical="top" wrapText="1"/>
      <protection locked="0"/>
    </xf>
    <xf numFmtId="168" fontId="18" fillId="0" borderId="3" xfId="0" applyNumberFormat="1" applyFont="1" applyBorder="1" applyAlignment="1">
      <alignment horizontal="center" vertical="top" wrapText="1"/>
      <protection locked="0"/>
    </xf>
    <xf numFmtId="168" fontId="8" fillId="0" borderId="3" xfId="0" applyNumberFormat="1" applyFont="1" applyBorder="1" applyAlignment="1">
      <alignment vertical="top" wrapText="1"/>
      <protection locked="0"/>
    </xf>
    <xf numFmtId="0" fontId="19" fillId="0" borderId="3" xfId="0" applyFont="1" applyBorder="1" applyAlignment="1">
      <alignment vertical="top" wrapText="1"/>
      <protection locked="0"/>
    </xf>
    <xf numFmtId="0" fontId="19" fillId="0" borderId="3" xfId="0" applyFont="1" applyBorder="1" applyAlignment="1">
      <alignment horizontal="center" vertical="top" wrapText="1"/>
      <protection locked="0"/>
    </xf>
    <xf numFmtId="168" fontId="19" fillId="0" borderId="3" xfId="0" applyNumberFormat="1" applyFont="1" applyBorder="1" applyAlignment="1">
      <alignment vertical="top" wrapText="1"/>
      <protection locked="0"/>
    </xf>
    <xf numFmtId="172" fontId="19" fillId="0" borderId="3" xfId="0" applyNumberFormat="1" applyFont="1" applyBorder="1" applyAlignment="1">
      <alignment vertical="top" wrapText="1"/>
      <protection locked="0"/>
    </xf>
    <xf numFmtId="169" fontId="19" fillId="0" borderId="3" xfId="0" applyNumberFormat="1" applyFont="1" applyBorder="1" applyAlignment="1">
      <alignment horizontal="center" vertical="top" wrapText="1"/>
      <protection locked="0"/>
    </xf>
    <xf numFmtId="0" fontId="18" fillId="0" borderId="2" xfId="0" applyFont="1" applyBorder="1" applyAlignment="1">
      <alignment horizontal="center" vertical="top" wrapText="1"/>
      <protection locked="0"/>
    </xf>
    <xf numFmtId="168" fontId="8" fillId="0" borderId="2" xfId="0" applyNumberFormat="1" applyFont="1" applyBorder="1" applyAlignment="1">
      <alignment vertical="top" wrapText="1"/>
      <protection locked="0"/>
    </xf>
    <xf numFmtId="168" fontId="7" fillId="0" borderId="3" xfId="0" applyNumberFormat="1" applyFont="1" applyBorder="1" applyAlignment="1">
      <alignment horizontal="center" vertical="top" wrapText="1"/>
      <protection locked="0"/>
    </xf>
    <xf numFmtId="0" fontId="7" fillId="0" borderId="6" xfId="0" applyFont="1" applyBorder="1" applyAlignment="1">
      <alignment horizontal="center" vertical="top"/>
      <protection locked="0"/>
    </xf>
    <xf numFmtId="0" fontId="7" fillId="0" borderId="2" xfId="0" applyFont="1" applyBorder="1" applyAlignment="1">
      <alignment horizontal="center" vertical="top" wrapText="1"/>
      <protection locked="0"/>
    </xf>
    <xf numFmtId="0" fontId="7" fillId="0" borderId="2" xfId="0" applyFont="1" applyBorder="1" applyAlignment="1">
      <alignment vertical="top" wrapText="1"/>
      <protection locked="0"/>
    </xf>
    <xf numFmtId="168" fontId="7" fillId="0" borderId="2" xfId="0" applyNumberFormat="1" applyFont="1" applyBorder="1" applyAlignment="1">
      <alignment vertical="top" wrapText="1"/>
      <protection locked="0"/>
    </xf>
    <xf numFmtId="3" fontId="7" fillId="0" borderId="2" xfId="0" applyNumberFormat="1" applyFont="1" applyBorder="1" applyAlignment="1">
      <alignment vertical="top" wrapText="1"/>
      <protection locked="0"/>
    </xf>
    <xf numFmtId="3" fontId="7" fillId="3" borderId="2" xfId="0" applyNumberFormat="1" applyFont="1" applyFill="1" applyBorder="1" applyAlignment="1">
      <alignment vertical="top" wrapText="1"/>
      <protection locked="0"/>
    </xf>
    <xf numFmtId="169" fontId="7" fillId="0" borderId="2" xfId="0" applyNumberFormat="1" applyFont="1" applyBorder="1" applyAlignment="1">
      <alignment vertical="top" wrapText="1"/>
      <protection locked="0"/>
    </xf>
    <xf numFmtId="0" fontId="5" fillId="2" borderId="2" xfId="0" applyFont="1" applyFill="1" applyBorder="1" applyAlignment="1" applyProtection="1">
      <alignment horizontal="center" vertical="center" wrapText="1"/>
    </xf>
    <xf numFmtId="49" fontId="8" fillId="0" borderId="5" xfId="0" applyNumberFormat="1" applyFont="1" applyBorder="1" applyAlignment="1" applyProtection="1">
      <alignment horizontal="center" vertical="top" wrapText="1"/>
    </xf>
    <xf numFmtId="0" fontId="8" fillId="0" borderId="3" xfId="0" applyFont="1" applyBorder="1" applyAlignment="1" applyProtection="1">
      <alignment horizontal="center" vertical="top" wrapText="1"/>
    </xf>
    <xf numFmtId="168" fontId="8" fillId="0" borderId="3" xfId="0" applyNumberFormat="1" applyFont="1" applyBorder="1" applyAlignment="1" applyProtection="1">
      <alignment vertical="top" wrapText="1"/>
    </xf>
    <xf numFmtId="173" fontId="8" fillId="0" borderId="3" xfId="0" applyNumberFormat="1" applyFont="1" applyBorder="1" applyAlignment="1">
      <alignment horizontal="center" vertical="top" wrapText="1"/>
      <protection locked="0"/>
    </xf>
    <xf numFmtId="49" fontId="20" fillId="0" borderId="3" xfId="0" applyNumberFormat="1" applyFont="1" applyBorder="1" applyAlignment="1">
      <alignment horizontal="center" vertical="top" wrapText="1"/>
      <protection locked="0"/>
    </xf>
    <xf numFmtId="169" fontId="8" fillId="0" borderId="3" xfId="0" applyNumberFormat="1" applyFont="1" applyBorder="1" applyAlignment="1" applyProtection="1">
      <alignment vertical="top" wrapText="1"/>
    </xf>
    <xf numFmtId="173" fontId="8" fillId="0" borderId="3" xfId="0" applyNumberFormat="1" applyFont="1" applyBorder="1" applyAlignment="1" applyProtection="1">
      <alignment vertical="top" wrapText="1"/>
    </xf>
    <xf numFmtId="173" fontId="8" fillId="0" borderId="3" xfId="0" applyNumberFormat="1" applyFont="1" applyBorder="1" applyAlignment="1">
      <alignment vertical="top" wrapText="1"/>
      <protection locked="0"/>
    </xf>
    <xf numFmtId="3" fontId="8" fillId="0" borderId="3" xfId="0" applyNumberFormat="1" applyFont="1" applyBorder="1" applyAlignment="1" applyProtection="1">
      <alignment vertical="top" wrapText="1"/>
    </xf>
    <xf numFmtId="49" fontId="8" fillId="0" borderId="6" xfId="0" applyNumberFormat="1" applyFont="1" applyBorder="1" applyAlignment="1" applyProtection="1">
      <alignment horizontal="center" vertical="top" wrapText="1"/>
    </xf>
    <xf numFmtId="0" fontId="8" fillId="0" borderId="2" xfId="0" applyFont="1" applyBorder="1" applyAlignment="1" applyProtection="1">
      <alignment horizontal="center" vertical="top" wrapText="1"/>
    </xf>
    <xf numFmtId="168" fontId="8" fillId="0" borderId="2" xfId="0" applyNumberFormat="1" applyFont="1" applyBorder="1" applyAlignment="1" applyProtection="1">
      <alignment vertical="top" wrapText="1"/>
    </xf>
    <xf numFmtId="173" fontId="8" fillId="0" borderId="2" xfId="0" applyNumberFormat="1" applyFont="1" applyBorder="1" applyAlignment="1">
      <alignment horizontal="center" vertical="top" wrapText="1"/>
      <protection locked="0"/>
    </xf>
    <xf numFmtId="49" fontId="20" fillId="0" borderId="2" xfId="0" applyNumberFormat="1" applyFont="1" applyBorder="1" applyAlignment="1">
      <alignment horizontal="center" vertical="top" wrapText="1"/>
      <protection locked="0"/>
    </xf>
    <xf numFmtId="169" fontId="8" fillId="0" borderId="2" xfId="0" applyNumberFormat="1" applyFont="1" applyBorder="1" applyAlignment="1" applyProtection="1">
      <alignment vertical="top" wrapText="1"/>
    </xf>
    <xf numFmtId="173" fontId="8" fillId="0" borderId="2" xfId="0" applyNumberFormat="1" applyFont="1" applyBorder="1" applyAlignment="1" applyProtection="1">
      <alignment vertical="top" wrapText="1"/>
    </xf>
    <xf numFmtId="173" fontId="8" fillId="0" borderId="2" xfId="0" applyNumberFormat="1" applyFont="1" applyBorder="1" applyAlignment="1">
      <alignment vertical="top" wrapText="1"/>
      <protection locked="0"/>
    </xf>
    <xf numFmtId="3" fontId="8" fillId="0" borderId="2" xfId="0" applyNumberFormat="1" applyFont="1" applyBorder="1" applyAlignment="1" applyProtection="1">
      <alignment vertical="top" wrapText="1"/>
    </xf>
    <xf numFmtId="0" fontId="8" fillId="0" borderId="0" xfId="0" applyFont="1" applyAlignment="1" applyProtection="1">
      <alignment vertical="top"/>
    </xf>
    <xf numFmtId="0" fontId="21" fillId="0" borderId="0" xfId="0" applyFont="1" applyAlignment="1" applyProtection="1">
      <alignment horizontal="center" vertical="center" wrapText="1"/>
    </xf>
    <xf numFmtId="3" fontId="21" fillId="0" borderId="0" xfId="0" applyNumberFormat="1" applyFont="1" applyAlignment="1" applyProtection="1">
      <alignment horizontal="center" vertical="center" wrapText="1"/>
    </xf>
    <xf numFmtId="0" fontId="8" fillId="0" borderId="5" xfId="0" applyFont="1" applyBorder="1" applyAlignment="1">
      <alignment vertical="top"/>
      <protection locked="0"/>
    </xf>
    <xf numFmtId="0" fontId="14" fillId="0" borderId="5" xfId="0" applyFont="1" applyBorder="1" applyAlignment="1">
      <alignment horizontal="center" vertical="top"/>
      <protection locked="0"/>
    </xf>
    <xf numFmtId="0" fontId="14" fillId="0" borderId="3" xfId="0" applyFont="1" applyBorder="1" applyAlignment="1">
      <alignment horizontal="center" vertical="top" wrapText="1"/>
      <protection locked="0"/>
    </xf>
    <xf numFmtId="0" fontId="14" fillId="0" borderId="3" xfId="0" applyFont="1" applyBorder="1" applyAlignment="1">
      <alignment vertical="top" wrapText="1"/>
      <protection locked="0"/>
    </xf>
    <xf numFmtId="0" fontId="13" fillId="0" borderId="5" xfId="0" applyFont="1" applyBorder="1" applyAlignment="1">
      <alignment vertical="top"/>
      <protection locked="0"/>
    </xf>
    <xf numFmtId="3" fontId="19" fillId="0" borderId="3" xfId="0" applyNumberFormat="1" applyFont="1" applyBorder="1" applyAlignment="1">
      <alignment vertical="top" wrapText="1"/>
      <protection locked="0"/>
    </xf>
    <xf numFmtId="0" fontId="8" fillId="0" borderId="6" xfId="0" applyFont="1" applyBorder="1" applyAlignment="1">
      <alignment vertical="top"/>
      <protection locked="0"/>
    </xf>
    <xf numFmtId="0" fontId="22" fillId="0" borderId="3" xfId="0" applyFont="1" applyBorder="1" applyAlignment="1">
      <alignment vertical="top" wrapText="1"/>
      <protection locked="0"/>
    </xf>
    <xf numFmtId="0" fontId="23" fillId="0" borderId="3" xfId="0" applyFont="1" applyBorder="1" applyAlignment="1">
      <alignment horizontal="center" vertical="center" wrapText="1"/>
      <protection locked="0"/>
    </xf>
    <xf numFmtId="0" fontId="23" fillId="0" borderId="3" xfId="0" applyFont="1" applyBorder="1" applyAlignment="1">
      <alignment horizontal="center" vertical="top" wrapText="1"/>
      <protection locked="0"/>
    </xf>
    <xf numFmtId="168" fontId="23" fillId="0" borderId="3" xfId="0" applyNumberFormat="1" applyFont="1" applyBorder="1" applyAlignment="1">
      <alignment vertical="top" wrapText="1"/>
      <protection locked="0"/>
    </xf>
    <xf numFmtId="0" fontId="23" fillId="0" borderId="3" xfId="0" applyFont="1" applyBorder="1" applyAlignment="1">
      <alignment vertical="top"/>
      <protection locked="0"/>
    </xf>
    <xf numFmtId="3" fontId="23" fillId="0" borderId="3" xfId="0" applyNumberFormat="1" applyFont="1" applyBorder="1" applyAlignment="1">
      <alignment vertical="top" wrapText="1"/>
      <protection locked="0"/>
    </xf>
    <xf numFmtId="0" fontId="23" fillId="0" borderId="6" xfId="0" applyFont="1" applyBorder="1" applyAlignment="1">
      <alignment horizontal="center" vertical="center"/>
      <protection locked="0"/>
    </xf>
    <xf numFmtId="0" fontId="23" fillId="0" borderId="2" xfId="0" applyFont="1" applyBorder="1" applyAlignment="1">
      <alignment horizontal="center" vertical="center" wrapText="1"/>
      <protection locked="0"/>
    </xf>
    <xf numFmtId="168" fontId="23" fillId="0" borderId="2" xfId="0" applyNumberFormat="1" applyFont="1" applyBorder="1" applyAlignment="1">
      <alignment vertical="center" wrapText="1"/>
      <protection locked="0"/>
    </xf>
    <xf numFmtId="0" fontId="23" fillId="0" borderId="2" xfId="0" applyFont="1" applyBorder="1" applyAlignment="1">
      <alignment vertical="center"/>
      <protection locked="0"/>
    </xf>
    <xf numFmtId="3" fontId="23" fillId="0" borderId="2" xfId="0" applyNumberFormat="1" applyFont="1" applyBorder="1" applyAlignment="1">
      <alignment vertical="center" wrapText="1"/>
      <protection locked="0"/>
    </xf>
    <xf numFmtId="0" fontId="24" fillId="0" borderId="5" xfId="0" applyFont="1" applyBorder="1" applyAlignment="1">
      <alignment horizontal="center" vertical="top"/>
      <protection locked="0"/>
    </xf>
    <xf numFmtId="0" fontId="24" fillId="0" borderId="3" xfId="0" applyFont="1" applyBorder="1" applyAlignment="1">
      <alignment vertical="top" wrapText="1"/>
      <protection locked="0"/>
    </xf>
    <xf numFmtId="0" fontId="24" fillId="0" borderId="3" xfId="0" applyFont="1" applyBorder="1" applyAlignment="1">
      <alignment horizontal="center" vertical="top" wrapText="1"/>
      <protection locked="0"/>
    </xf>
    <xf numFmtId="0" fontId="24" fillId="0" borderId="3" xfId="0" applyFont="1" applyBorder="1" applyAlignment="1">
      <alignment vertical="top"/>
      <protection locked="0"/>
    </xf>
    <xf numFmtId="0" fontId="24" fillId="0" borderId="3" xfId="0" applyFont="1" applyBorder="1" applyAlignment="1">
      <alignment horizontal="center" vertical="top"/>
      <protection locked="0"/>
    </xf>
    <xf numFmtId="3" fontId="24" fillId="0" borderId="3" xfId="0" applyNumberFormat="1" applyFont="1" applyBorder="1" applyAlignment="1">
      <alignment vertical="top" wrapText="1"/>
      <protection locked="0"/>
    </xf>
    <xf numFmtId="0" fontId="25" fillId="0" borderId="5" xfId="0" applyFont="1" applyBorder="1" applyAlignment="1">
      <alignment horizontal="center" vertical="top"/>
      <protection locked="0"/>
    </xf>
    <xf numFmtId="0" fontId="25" fillId="0" borderId="3" xfId="0" applyFont="1" applyBorder="1" applyAlignment="1">
      <alignment vertical="top" wrapText="1"/>
      <protection locked="0"/>
    </xf>
    <xf numFmtId="0" fontId="25" fillId="0" borderId="3" xfId="0" applyFont="1" applyBorder="1" applyAlignment="1">
      <alignment horizontal="center" vertical="top" wrapText="1"/>
      <protection locked="0"/>
    </xf>
    <xf numFmtId="0" fontId="25" fillId="0" borderId="3" xfId="0" applyFont="1" applyBorder="1" applyAlignment="1">
      <alignment vertical="top"/>
      <protection locked="0"/>
    </xf>
    <xf numFmtId="0" fontId="25" fillId="0" borderId="3" xfId="0" applyFont="1" applyBorder="1" applyAlignment="1">
      <alignment horizontal="center" vertical="top"/>
      <protection locked="0"/>
    </xf>
    <xf numFmtId="3" fontId="25" fillId="0" borderId="3" xfId="0" applyNumberFormat="1" applyFont="1" applyBorder="1" applyAlignment="1">
      <alignment vertical="top" wrapText="1"/>
      <protection locked="0"/>
    </xf>
    <xf numFmtId="0" fontId="5" fillId="0" borderId="5" xfId="0" applyFont="1" applyBorder="1" applyAlignment="1">
      <alignment horizontal="center" vertical="top"/>
      <protection locked="0"/>
    </xf>
    <xf numFmtId="0" fontId="5" fillId="0" borderId="3" xfId="0" applyFont="1" applyBorder="1" applyAlignment="1">
      <alignment vertical="top" wrapText="1"/>
      <protection locked="0"/>
    </xf>
    <xf numFmtId="0" fontId="5" fillId="0" borderId="3" xfId="0" applyFont="1" applyBorder="1" applyAlignment="1">
      <alignment horizontal="center" vertical="top" wrapText="1"/>
      <protection locked="0"/>
    </xf>
    <xf numFmtId="0" fontId="5" fillId="0" borderId="3" xfId="0" applyFont="1" applyBorder="1" applyAlignment="1">
      <alignment vertical="top"/>
      <protection locked="0"/>
    </xf>
    <xf numFmtId="49" fontId="5" fillId="0" borderId="3" xfId="0" applyNumberFormat="1" applyFont="1" applyBorder="1" applyAlignment="1">
      <alignment horizontal="center" vertical="top" wrapText="1"/>
      <protection locked="0"/>
    </xf>
    <xf numFmtId="3" fontId="5" fillId="0" borderId="3" xfId="0" applyNumberFormat="1" applyFont="1" applyBorder="1" applyAlignment="1">
      <alignment vertical="top" wrapText="1"/>
      <protection locked="0"/>
    </xf>
    <xf numFmtId="49" fontId="24" fillId="0" borderId="3" xfId="0" applyNumberFormat="1" applyFont="1" applyBorder="1" applyAlignment="1">
      <alignment horizontal="center" vertical="top" wrapText="1"/>
      <protection locked="0"/>
    </xf>
    <xf numFmtId="9" fontId="24" fillId="0" borderId="3" xfId="0" applyNumberFormat="1" applyFont="1" applyBorder="1" applyAlignment="1">
      <alignment vertical="top" wrapText="1"/>
      <protection locked="0"/>
    </xf>
    <xf numFmtId="9" fontId="24" fillId="0" borderId="3" xfId="0" applyNumberFormat="1" applyFont="1" applyBorder="1" applyAlignment="1">
      <alignment horizontal="center" vertical="top" wrapText="1"/>
      <protection locked="0"/>
    </xf>
    <xf numFmtId="10" fontId="5" fillId="0" borderId="3" xfId="0" applyNumberFormat="1" applyFont="1" applyBorder="1" applyAlignment="1">
      <alignment vertical="top" wrapText="1"/>
      <protection locked="0"/>
    </xf>
    <xf numFmtId="10" fontId="5" fillId="0" borderId="3" xfId="0" applyNumberFormat="1" applyFont="1" applyBorder="1" applyAlignment="1">
      <alignment horizontal="center" vertical="top" wrapText="1"/>
      <protection locked="0"/>
    </xf>
    <xf numFmtId="0" fontId="26" fillId="0" borderId="5" xfId="0" applyFont="1" applyBorder="1" applyAlignment="1">
      <alignment horizontal="center" vertical="center"/>
      <protection locked="0"/>
    </xf>
    <xf numFmtId="0" fontId="26" fillId="0" borderId="3" xfId="0" applyFont="1" applyBorder="1" applyAlignment="1">
      <alignment horizontal="center" vertical="center" wrapText="1"/>
      <protection locked="0"/>
    </xf>
    <xf numFmtId="0" fontId="27" fillId="0" borderId="3" xfId="0" applyFont="1" applyBorder="1" applyAlignment="1">
      <alignment horizontal="center" vertical="center" wrapText="1"/>
      <protection locked="0"/>
    </xf>
    <xf numFmtId="0" fontId="26" fillId="0" borderId="3" xfId="0" applyFont="1" applyBorder="1" applyAlignment="1">
      <alignment vertical="center"/>
      <protection locked="0"/>
    </xf>
    <xf numFmtId="0" fontId="26" fillId="0" borderId="3" xfId="0" applyFont="1" applyBorder="1" applyAlignment="1">
      <alignment horizontal="center" vertical="center"/>
      <protection locked="0"/>
    </xf>
    <xf numFmtId="3" fontId="26" fillId="0" borderId="3" xfId="0" applyNumberFormat="1" applyFont="1" applyBorder="1" applyAlignment="1">
      <alignment vertical="center" wrapText="1"/>
      <protection locked="0"/>
    </xf>
    <xf numFmtId="0" fontId="23" fillId="0" borderId="5" xfId="0" applyFont="1" applyBorder="1" applyAlignment="1">
      <alignment horizontal="center" vertical="top"/>
      <protection locked="0"/>
    </xf>
    <xf numFmtId="0" fontId="23" fillId="0" borderId="5" xfId="0" applyFont="1" applyBorder="1" applyAlignment="1">
      <alignment horizontal="center" vertical="center"/>
      <protection locked="0"/>
    </xf>
    <xf numFmtId="3" fontId="23" fillId="0" borderId="3" xfId="0" applyNumberFormat="1" applyFont="1" applyBorder="1" applyAlignment="1">
      <alignment vertical="center" wrapText="1"/>
      <protection locked="0"/>
    </xf>
    <xf numFmtId="49" fontId="8" fillId="0" borderId="0" xfId="0" applyNumberFormat="1" applyFont="1" applyAlignment="1">
      <alignment vertical="top" wrapText="1"/>
      <protection locked="0"/>
    </xf>
    <xf numFmtId="0" fontId="29" fillId="2" borderId="2" xfId="0" applyFont="1" applyFill="1" applyBorder="1" applyAlignment="1">
      <alignment horizontal="center" vertical="top" wrapText="1"/>
      <protection locked="0"/>
    </xf>
    <xf numFmtId="49" fontId="11" fillId="0" borderId="5" xfId="0" applyNumberFormat="1" applyFont="1" applyBorder="1" applyAlignment="1">
      <alignment horizontal="center" vertical="top" wrapText="1"/>
      <protection locked="0"/>
    </xf>
    <xf numFmtId="0" fontId="11" fillId="0" borderId="3" xfId="0" applyFont="1" applyBorder="1" applyAlignment="1">
      <alignment vertical="top" wrapText="1"/>
      <protection locked="0"/>
    </xf>
    <xf numFmtId="0" fontId="11" fillId="0" borderId="3" xfId="0" applyFont="1" applyBorder="1" applyAlignment="1">
      <alignment horizontal="center" vertical="top" wrapText="1"/>
      <protection locked="0"/>
    </xf>
    <xf numFmtId="164" fontId="11" fillId="0" borderId="3" xfId="0" applyNumberFormat="1" applyFont="1" applyBorder="1" applyAlignment="1">
      <alignment vertical="top" wrapText="1"/>
      <protection locked="0"/>
    </xf>
    <xf numFmtId="165" fontId="11" fillId="0" borderId="3" xfId="0" applyNumberFormat="1" applyFont="1" applyBorder="1" applyAlignment="1">
      <alignment vertical="top" wrapText="1"/>
      <protection locked="0"/>
    </xf>
    <xf numFmtId="166" fontId="11" fillId="0" borderId="3" xfId="0" applyNumberFormat="1" applyFont="1" applyBorder="1" applyAlignment="1">
      <alignment horizontal="center" vertical="top" wrapText="1"/>
      <protection locked="0"/>
    </xf>
    <xf numFmtId="49" fontId="23" fillId="0" borderId="5" xfId="0" applyNumberFormat="1" applyFont="1" applyBorder="1" applyAlignment="1">
      <alignment vertical="top" wrapText="1"/>
      <protection locked="0"/>
    </xf>
    <xf numFmtId="0" fontId="23" fillId="0" borderId="3" xfId="0" applyFont="1" applyBorder="1" applyAlignment="1">
      <alignment vertical="top" wrapText="1"/>
      <protection locked="0"/>
    </xf>
    <xf numFmtId="164" fontId="23" fillId="0" borderId="3" xfId="0" applyNumberFormat="1" applyFont="1" applyBorder="1" applyAlignment="1">
      <alignment vertical="top" wrapText="1"/>
      <protection locked="0"/>
    </xf>
    <xf numFmtId="165" fontId="23" fillId="0" borderId="3" xfId="0" applyNumberFormat="1" applyFont="1" applyBorder="1" applyAlignment="1">
      <alignment vertical="top" wrapText="1"/>
      <protection locked="0"/>
    </xf>
    <xf numFmtId="166" fontId="23" fillId="0" borderId="3" xfId="0" applyNumberFormat="1" applyFont="1" applyBorder="1" applyAlignment="1">
      <alignment vertical="top" wrapText="1"/>
      <protection locked="0"/>
    </xf>
    <xf numFmtId="49" fontId="5" fillId="2" borderId="4" xfId="0" applyNumberFormat="1" applyFont="1" applyFill="1" applyBorder="1" applyAlignment="1">
      <alignment horizontal="center" vertical="center" wrapText="1"/>
      <protection locked="0"/>
    </xf>
    <xf numFmtId="49" fontId="5" fillId="2" borderId="1" xfId="0" applyNumberFormat="1" applyFont="1" applyFill="1" applyBorder="1" applyAlignment="1">
      <alignment horizontal="center" vertical="center" wrapText="1"/>
      <protection locked="0"/>
    </xf>
    <xf numFmtId="174" fontId="8" fillId="0" borderId="3" xfId="0" applyNumberFormat="1" applyFont="1" applyBorder="1" applyAlignment="1">
      <alignment horizontal="center" vertical="top" wrapText="1"/>
      <protection locked="0"/>
    </xf>
    <xf numFmtId="166" fontId="8" fillId="0" borderId="3" xfId="0" applyNumberFormat="1" applyFont="1" applyBorder="1" applyAlignment="1">
      <alignment vertical="top" wrapText="1"/>
      <protection locked="0"/>
    </xf>
    <xf numFmtId="174" fontId="8" fillId="0" borderId="2" xfId="0" applyNumberFormat="1" applyFont="1" applyBorder="1" applyAlignment="1">
      <alignment horizontal="center" vertical="top" wrapText="1"/>
      <protection locked="0"/>
    </xf>
    <xf numFmtId="166" fontId="8" fillId="0" borderId="2" xfId="0" applyNumberFormat="1" applyFont="1" applyBorder="1" applyAlignment="1">
      <alignment vertical="top" wrapText="1"/>
      <protection locked="0"/>
    </xf>
    <xf numFmtId="49" fontId="5" fillId="2" borderId="2" xfId="0" applyNumberFormat="1" applyFont="1" applyFill="1" applyBorder="1" applyAlignment="1">
      <alignment horizontal="center" vertical="center" wrapText="1"/>
      <protection locked="0"/>
    </xf>
    <xf numFmtId="166" fontId="8" fillId="0" borderId="3" xfId="0" applyNumberFormat="1" applyFont="1" applyBorder="1" applyAlignment="1">
      <alignment horizontal="center" vertical="top" wrapText="1"/>
      <protection locked="0"/>
    </xf>
    <xf numFmtId="3" fontId="30" fillId="0" borderId="2" xfId="0" applyNumberFormat="1" applyFont="1" applyBorder="1" applyAlignment="1">
      <alignment wrapText="1"/>
      <protection locked="0"/>
    </xf>
    <xf numFmtId="0" fontId="2" fillId="0" borderId="0" xfId="0" applyFont="1" applyAlignment="1" applyProtection="1">
      <alignment horizontal="center" vertical="top"/>
    </xf>
    <xf numFmtId="174" fontId="32" fillId="0" borderId="0" xfId="0" applyNumberFormat="1" applyFont="1" applyAlignment="1" applyProtection="1">
      <alignment horizontal="right" vertical="top" wrapText="1"/>
    </xf>
    <xf numFmtId="49" fontId="4" fillId="0" borderId="5" xfId="0" applyNumberFormat="1" applyFont="1" applyBorder="1" applyAlignment="1">
      <alignment horizontal="center" vertical="top" wrapText="1"/>
      <protection locked="0"/>
    </xf>
    <xf numFmtId="0" fontId="4" fillId="0" borderId="3" xfId="0" applyFont="1" applyBorder="1" applyAlignment="1">
      <alignment vertical="top" wrapText="1"/>
      <protection locked="0"/>
    </xf>
    <xf numFmtId="0" fontId="4" fillId="0" borderId="3" xfId="0" applyFont="1" applyBorder="1" applyAlignment="1">
      <alignment horizontal="center" vertical="top" wrapText="1"/>
      <protection locked="0"/>
    </xf>
    <xf numFmtId="174" fontId="4" fillId="0" borderId="3" xfId="0" applyNumberFormat="1" applyFont="1" applyBorder="1" applyAlignment="1">
      <alignment horizontal="center" vertical="top" wrapText="1"/>
      <protection locked="0"/>
    </xf>
    <xf numFmtId="175" fontId="4" fillId="0" borderId="3" xfId="0" applyNumberFormat="1" applyFont="1" applyBorder="1" applyAlignment="1">
      <alignment horizontal="center" vertical="top" wrapText="1"/>
      <protection locked="0"/>
    </xf>
    <xf numFmtId="49" fontId="4" fillId="0" borderId="3" xfId="0" applyNumberFormat="1" applyFont="1" applyBorder="1" applyAlignment="1">
      <alignment horizontal="center" vertical="top" wrapText="1"/>
      <protection locked="0"/>
    </xf>
    <xf numFmtId="3" fontId="4" fillId="0" borderId="3" xfId="0" applyNumberFormat="1" applyFont="1" applyBorder="1" applyAlignment="1">
      <alignment vertical="top" wrapText="1"/>
      <protection locked="0"/>
    </xf>
    <xf numFmtId="0" fontId="32" fillId="0" borderId="0" xfId="0" applyFont="1" applyAlignment="1" applyProtection="1">
      <alignment horizontal="center" vertical="top"/>
    </xf>
    <xf numFmtId="0" fontId="32" fillId="0" borderId="0" xfId="0" applyFont="1" applyAlignment="1" applyProtection="1">
      <alignment horizontal="right" vertical="top"/>
    </xf>
    <xf numFmtId="3" fontId="2" fillId="0" borderId="0" xfId="0" applyNumberFormat="1" applyFont="1" applyAlignment="1" applyProtection="1">
      <alignment vertical="top" wrapText="1"/>
    </xf>
    <xf numFmtId="49" fontId="31" fillId="0" borderId="5" xfId="0" applyNumberFormat="1" applyFont="1" applyBorder="1" applyAlignment="1">
      <alignment horizontal="center" vertical="top" wrapText="1"/>
      <protection locked="0"/>
    </xf>
    <xf numFmtId="0" fontId="31" fillId="0" borderId="3" xfId="0" applyFont="1" applyBorder="1" applyAlignment="1">
      <alignment vertical="top" wrapText="1"/>
      <protection locked="0"/>
    </xf>
    <xf numFmtId="0" fontId="31" fillId="0" borderId="3" xfId="0" applyFont="1" applyBorder="1" applyAlignment="1">
      <alignment horizontal="center" vertical="top" wrapText="1"/>
      <protection locked="0"/>
    </xf>
    <xf numFmtId="174" fontId="31" fillId="0" borderId="3" xfId="0" applyNumberFormat="1" applyFont="1" applyBorder="1" applyAlignment="1">
      <alignment horizontal="center" vertical="top" wrapText="1"/>
      <protection locked="0"/>
    </xf>
    <xf numFmtId="175" fontId="31" fillId="0" borderId="3" xfId="0" applyNumberFormat="1" applyFont="1" applyBorder="1" applyAlignment="1">
      <alignment horizontal="center" vertical="top" wrapText="1"/>
      <protection locked="0"/>
    </xf>
    <xf numFmtId="49" fontId="31" fillId="0" borderId="3" xfId="0" applyNumberFormat="1" applyFont="1" applyBorder="1" applyAlignment="1">
      <alignment horizontal="center" vertical="top" wrapText="1"/>
      <protection locked="0"/>
    </xf>
    <xf numFmtId="3" fontId="31" fillId="0" borderId="3" xfId="0" applyNumberFormat="1" applyFont="1" applyBorder="1" applyAlignment="1">
      <alignment vertical="top" wrapText="1"/>
      <protection locked="0"/>
    </xf>
    <xf numFmtId="3" fontId="32" fillId="0" borderId="0" xfId="0" applyNumberFormat="1" applyFont="1" applyAlignment="1" applyProtection="1">
      <alignment horizontal="right" vertical="top" wrapText="1"/>
    </xf>
    <xf numFmtId="49" fontId="33" fillId="0" borderId="5" xfId="0" applyNumberFormat="1" applyFont="1" applyBorder="1" applyAlignment="1">
      <alignment horizontal="center" vertical="top" wrapText="1"/>
      <protection locked="0"/>
    </xf>
    <xf numFmtId="0" fontId="33" fillId="0" borderId="3" xfId="0" applyFont="1" applyBorder="1" applyAlignment="1">
      <alignment vertical="top" wrapText="1"/>
      <protection locked="0"/>
    </xf>
    <xf numFmtId="0" fontId="33" fillId="0" borderId="3" xfId="0" applyFont="1" applyBorder="1" applyAlignment="1">
      <alignment horizontal="center" vertical="top" wrapText="1"/>
      <protection locked="0"/>
    </xf>
    <xf numFmtId="174" fontId="2" fillId="0" borderId="3" xfId="0" applyNumberFormat="1" applyFont="1" applyBorder="1" applyAlignment="1">
      <alignment horizontal="center" vertical="top" wrapText="1"/>
      <protection locked="0"/>
    </xf>
    <xf numFmtId="175" fontId="2" fillId="0" borderId="3" xfId="0" applyNumberFormat="1" applyFont="1" applyBorder="1" applyAlignment="1">
      <alignment horizontal="center" vertical="top" wrapText="1"/>
      <protection locked="0"/>
    </xf>
    <xf numFmtId="49" fontId="2" fillId="0" borderId="3" xfId="0" applyNumberFormat="1" applyFont="1" applyBorder="1" applyAlignment="1">
      <alignment horizontal="center" vertical="top" wrapText="1"/>
      <protection locked="0"/>
    </xf>
    <xf numFmtId="3" fontId="32" fillId="0" borderId="0" xfId="0" applyNumberFormat="1" applyFont="1" applyAlignment="1" applyProtection="1">
      <alignment vertical="top" wrapText="1"/>
    </xf>
    <xf numFmtId="49" fontId="34" fillId="0" borderId="5" xfId="0" applyNumberFormat="1" applyFont="1" applyBorder="1" applyAlignment="1">
      <alignment horizontal="center" vertical="top" wrapText="1"/>
      <protection locked="0"/>
    </xf>
    <xf numFmtId="0" fontId="34" fillId="0" borderId="3" xfId="0" applyFont="1" applyBorder="1" applyAlignment="1">
      <alignment vertical="top" wrapText="1"/>
      <protection locked="0"/>
    </xf>
    <xf numFmtId="0" fontId="34" fillId="0" borderId="3" xfId="0" applyFont="1" applyBorder="1" applyAlignment="1">
      <alignment horizontal="center" vertical="top" wrapText="1"/>
      <protection locked="0"/>
    </xf>
    <xf numFmtId="174" fontId="34" fillId="0" borderId="3" xfId="0" applyNumberFormat="1" applyFont="1" applyBorder="1" applyAlignment="1">
      <alignment horizontal="center" vertical="top" wrapText="1"/>
      <protection locked="0"/>
    </xf>
    <xf numFmtId="175" fontId="34" fillId="0" borderId="3" xfId="0" applyNumberFormat="1" applyFont="1" applyBorder="1" applyAlignment="1">
      <alignment horizontal="center" vertical="top" wrapText="1"/>
      <protection locked="0"/>
    </xf>
    <xf numFmtId="49" fontId="34" fillId="0" borderId="3" xfId="0" applyNumberFormat="1" applyFont="1" applyBorder="1" applyAlignment="1">
      <alignment horizontal="center" vertical="top" wrapText="1"/>
      <protection locked="0"/>
    </xf>
    <xf numFmtId="3" fontId="34" fillId="0" borderId="3" xfId="0" applyNumberFormat="1" applyFont="1" applyBorder="1" applyAlignment="1">
      <alignment vertical="top" wrapText="1"/>
      <protection locked="0"/>
    </xf>
    <xf numFmtId="0" fontId="2" fillId="0" borderId="2" xfId="0" applyFont="1" applyBorder="1" applyAlignment="1">
      <alignment vertical="top"/>
      <protection locked="0"/>
    </xf>
    <xf numFmtId="0" fontId="32" fillId="0" borderId="0" xfId="0" applyFont="1" applyAlignment="1" applyProtection="1">
      <alignment vertical="top"/>
    </xf>
    <xf numFmtId="0" fontId="2" fillId="0" borderId="0" xfId="0" applyFont="1" applyAlignment="1" applyProtection="1">
      <alignment vertical="top"/>
    </xf>
    <xf numFmtId="0" fontId="5" fillId="2" borderId="0" xfId="0" applyFont="1" applyFill="1" applyAlignment="1">
      <alignment horizontal="center" vertical="center" wrapText="1"/>
      <protection locked="0"/>
    </xf>
    <xf numFmtId="0" fontId="14" fillId="0" borderId="3" xfId="0" applyFont="1" applyBorder="1" applyAlignment="1">
      <alignment vertical="top"/>
      <protection locked="0"/>
    </xf>
    <xf numFmtId="0" fontId="5" fillId="0" borderId="5" xfId="0" applyFont="1" applyBorder="1" applyAlignment="1">
      <alignment vertical="top"/>
      <protection locked="0"/>
    </xf>
    <xf numFmtId="49" fontId="5" fillId="0" borderId="3" xfId="0" applyNumberFormat="1" applyFont="1" applyBorder="1" applyAlignment="1">
      <alignment horizontal="right" vertical="top" wrapText="1"/>
      <protection locked="0"/>
    </xf>
    <xf numFmtId="0" fontId="5" fillId="0" borderId="3" xfId="0" applyFont="1" applyBorder="1" applyAlignment="1">
      <alignment horizontal="center" vertical="top"/>
      <protection locked="0"/>
    </xf>
    <xf numFmtId="0" fontId="24" fillId="0" borderId="5" xfId="0" applyFont="1" applyBorder="1" applyAlignment="1">
      <alignment vertical="top"/>
      <protection locked="0"/>
    </xf>
    <xf numFmtId="49" fontId="24" fillId="0" borderId="3" xfId="0" applyNumberFormat="1" applyFont="1" applyBorder="1" applyAlignment="1">
      <alignment horizontal="right" vertical="top" wrapText="1"/>
      <protection locked="0"/>
    </xf>
    <xf numFmtId="0" fontId="26" fillId="0" borderId="6" xfId="0" applyFont="1" applyBorder="1" applyAlignment="1">
      <alignment vertical="top"/>
      <protection locked="0"/>
    </xf>
    <xf numFmtId="0" fontId="26" fillId="0" borderId="2" xfId="0" applyFont="1" applyBorder="1" applyAlignment="1">
      <alignment horizontal="center" vertical="top" wrapText="1"/>
      <protection locked="0"/>
    </xf>
    <xf numFmtId="0" fontId="26" fillId="0" borderId="2" xfId="0" applyFont="1" applyBorder="1" applyAlignment="1">
      <alignment vertical="top" wrapText="1"/>
      <protection locked="0"/>
    </xf>
    <xf numFmtId="10" fontId="26" fillId="0" borderId="2" xfId="0" applyNumberFormat="1" applyFont="1" applyBorder="1" applyAlignment="1">
      <alignment vertical="top" wrapText="1"/>
      <protection locked="0"/>
    </xf>
    <xf numFmtId="3" fontId="26" fillId="0" borderId="2" xfId="0" applyNumberFormat="1" applyFont="1" applyBorder="1" applyAlignment="1">
      <alignment vertical="top" wrapText="1"/>
      <protection locked="0"/>
    </xf>
    <xf numFmtId="0" fontId="26" fillId="0" borderId="2" xfId="0" applyFont="1" applyBorder="1" applyAlignment="1">
      <alignment horizontal="center" vertical="top"/>
      <protection locked="0"/>
    </xf>
    <xf numFmtId="3" fontId="35" fillId="0" borderId="2" xfId="0" applyNumberFormat="1" applyFont="1" applyBorder="1" applyAlignment="1">
      <alignment vertical="top" wrapText="1"/>
      <protection locked="0"/>
    </xf>
    <xf numFmtId="0" fontId="2" fillId="0" borderId="3" xfId="0" applyFont="1" applyBorder="1" applyAlignment="1">
      <alignment vertical="top"/>
      <protection locked="0"/>
    </xf>
    <xf numFmtId="0" fontId="2" fillId="0" borderId="5" xfId="0" applyFont="1" applyBorder="1" applyAlignment="1">
      <alignment horizontal="center" vertical="top"/>
      <protection locked="0"/>
    </xf>
    <xf numFmtId="0" fontId="2" fillId="0" borderId="3" xfId="0" applyFont="1" applyBorder="1" applyAlignment="1">
      <alignment horizontal="center" vertical="top" wrapText="1"/>
      <protection locked="0"/>
    </xf>
    <xf numFmtId="0" fontId="23" fillId="0" borderId="3" xfId="0" applyFont="1" applyBorder="1" applyAlignment="1">
      <alignment vertical="center"/>
      <protection locked="0"/>
    </xf>
    <xf numFmtId="49" fontId="14" fillId="0" borderId="5" xfId="0" applyNumberFormat="1" applyFont="1" applyBorder="1" applyAlignment="1">
      <alignment horizontal="center" vertical="top" wrapText="1"/>
      <protection locked="0"/>
    </xf>
    <xf numFmtId="49" fontId="8" fillId="0" borderId="5" xfId="0" applyNumberFormat="1" applyFont="1" applyBorder="1" applyAlignment="1">
      <alignment horizontal="center" vertical="top" wrapText="1"/>
      <protection locked="0"/>
    </xf>
    <xf numFmtId="3" fontId="21" fillId="0" borderId="0" xfId="0" applyNumberFormat="1" applyFont="1" applyAlignment="1">
      <alignment vertical="top" wrapText="1"/>
      <protection locked="0"/>
    </xf>
    <xf numFmtId="49" fontId="30" fillId="0" borderId="5" xfId="0" applyNumberFormat="1" applyFont="1" applyBorder="1" applyAlignment="1">
      <alignment horizontal="center" vertical="center" wrapText="1"/>
      <protection locked="0"/>
    </xf>
    <xf numFmtId="49" fontId="30" fillId="0" borderId="3" xfId="0" applyNumberFormat="1" applyFont="1" applyBorder="1" applyAlignment="1">
      <alignment horizontal="center" vertical="center" wrapText="1"/>
      <protection locked="0"/>
    </xf>
    <xf numFmtId="3" fontId="30" fillId="0" borderId="3" xfId="0" applyNumberFormat="1" applyFont="1" applyBorder="1" applyAlignment="1">
      <alignment vertical="center" wrapText="1"/>
      <protection locked="0"/>
    </xf>
    <xf numFmtId="49" fontId="30" fillId="0" borderId="6" xfId="0" applyNumberFormat="1" applyFont="1" applyBorder="1" applyAlignment="1">
      <alignment horizontal="center" vertical="center" wrapText="1"/>
      <protection locked="0"/>
    </xf>
    <xf numFmtId="49" fontId="30" fillId="0" borderId="2" xfId="0" applyNumberFormat="1" applyFont="1" applyBorder="1" applyAlignment="1">
      <alignment horizontal="center" vertical="center" wrapText="1"/>
      <protection locked="0"/>
    </xf>
    <xf numFmtId="3" fontId="30" fillId="0" borderId="2" xfId="0" applyNumberFormat="1" applyFont="1" applyBorder="1" applyAlignment="1">
      <alignment vertical="center" wrapText="1"/>
      <protection locked="0"/>
    </xf>
    <xf numFmtId="49" fontId="5" fillId="0" borderId="0" xfId="0" applyNumberFormat="1" applyFont="1" applyAlignment="1">
      <alignment horizontal="center" vertical="center" wrapText="1"/>
      <protection locked="0"/>
    </xf>
    <xf numFmtId="3" fontId="2" fillId="0" borderId="0" xfId="0" applyNumberFormat="1" applyFont="1" applyAlignment="1">
      <alignment horizontal="center" vertical="top" wrapText="1"/>
      <protection locked="0"/>
    </xf>
    <xf numFmtId="49" fontId="2" fillId="0" borderId="0" xfId="0" applyNumberFormat="1" applyFont="1" applyAlignment="1">
      <alignment vertical="top" wrapText="1"/>
      <protection locked="0"/>
    </xf>
    <xf numFmtId="49" fontId="2" fillId="0" borderId="0" xfId="0" applyNumberFormat="1" applyFont="1" applyAlignment="1">
      <alignment horizontal="center" vertical="top" wrapText="1"/>
      <protection locked="0"/>
    </xf>
    <xf numFmtId="176" fontId="36" fillId="0" borderId="0" xfId="0" applyNumberFormat="1" applyFont="1" applyAlignment="1">
      <alignment horizontal="center" vertical="top" wrapText="1"/>
      <protection locked="0"/>
    </xf>
    <xf numFmtId="49" fontId="8" fillId="0" borderId="6" xfId="0" applyNumberFormat="1" applyFont="1" applyBorder="1" applyAlignment="1">
      <alignment horizontal="center" vertical="top" wrapText="1"/>
      <protection locked="0"/>
    </xf>
    <xf numFmtId="0" fontId="8" fillId="0" borderId="0" xfId="0" applyFont="1" applyAlignment="1">
      <alignment horizontal="center" vertical="top"/>
      <protection locked="0"/>
    </xf>
    <xf numFmtId="0" fontId="37" fillId="0" borderId="0" xfId="0" applyFont="1" applyAlignment="1">
      <alignment vertical="top"/>
      <protection locked="0"/>
    </xf>
    <xf numFmtId="0" fontId="2" fillId="0" borderId="0" xfId="0" applyFont="1" applyAlignment="1">
      <alignment horizontal="center" vertical="top"/>
      <protection locked="0"/>
    </xf>
    <xf numFmtId="49" fontId="2" fillId="0" borderId="0" xfId="0" applyNumberFormat="1" applyFont="1" applyAlignment="1">
      <alignment vertical="center"/>
      <protection locked="0"/>
    </xf>
    <xf numFmtId="49" fontId="2" fillId="0" borderId="0" xfId="0" applyNumberFormat="1" applyFont="1" applyAlignment="1">
      <alignment horizontal="center" vertical="center"/>
      <protection locked="0"/>
    </xf>
    <xf numFmtId="3" fontId="5" fillId="0" borderId="0" xfId="0" applyNumberFormat="1" applyFont="1" applyAlignment="1" applyProtection="1">
      <alignment vertical="top"/>
    </xf>
    <xf numFmtId="3" fontId="5" fillId="0" borderId="0" xfId="0" applyNumberFormat="1" applyFont="1" applyAlignment="1" applyProtection="1">
      <alignment horizontal="center" vertical="top"/>
    </xf>
    <xf numFmtId="3" fontId="5" fillId="4" borderId="0" xfId="0" applyNumberFormat="1" applyFont="1" applyFill="1" applyAlignment="1" applyProtection="1">
      <alignment horizontal="center" vertical="top"/>
    </xf>
    <xf numFmtId="3" fontId="39" fillId="0" borderId="0" xfId="0" applyNumberFormat="1" applyFont="1" applyAlignment="1" applyProtection="1">
      <alignment horizontal="right" vertical="top" wrapText="1"/>
    </xf>
    <xf numFmtId="178" fontId="31" fillId="0" borderId="3" xfId="0" applyNumberFormat="1" applyFont="1" applyBorder="1" applyAlignment="1">
      <alignment horizontal="center" vertical="top" wrapText="1"/>
      <protection locked="0"/>
    </xf>
    <xf numFmtId="0" fontId="40" fillId="0" borderId="0" xfId="0" applyFont="1" applyFill="1" applyAlignment="1">
      <alignment vertical="top"/>
      <protection locked="0"/>
    </xf>
    <xf numFmtId="0" fontId="41" fillId="0" borderId="0" xfId="0" applyFont="1" applyBorder="1" applyAlignment="1">
      <alignment horizontal="center" vertical="center"/>
      <protection locked="0"/>
    </xf>
    <xf numFmtId="0" fontId="32" fillId="0" borderId="0" xfId="0" applyFont="1" applyFill="1" applyAlignment="1" applyProtection="1">
      <alignment vertical="top"/>
    </xf>
    <xf numFmtId="0" fontId="32" fillId="0" borderId="0" xfId="0" applyFont="1" applyFill="1" applyAlignment="1" applyProtection="1">
      <alignment horizontal="right" vertical="top"/>
    </xf>
    <xf numFmtId="0" fontId="40" fillId="0" borderId="0" xfId="0" applyFont="1" applyFill="1" applyAlignment="1" applyProtection="1">
      <alignment vertical="top"/>
    </xf>
    <xf numFmtId="0" fontId="42" fillId="0" borderId="0" xfId="3" applyFont="1" applyAlignment="1">
      <alignment horizontal="center" vertical="center"/>
    </xf>
    <xf numFmtId="3" fontId="43" fillId="0" borderId="0" xfId="3" applyNumberFormat="1" applyFont="1" applyBorder="1" applyAlignment="1">
      <alignment horizontal="center" vertical="center"/>
    </xf>
    <xf numFmtId="0" fontId="40" fillId="0" borderId="0" xfId="0" applyFont="1" applyFill="1" applyBorder="1" applyAlignment="1">
      <alignment vertical="top"/>
      <protection locked="0"/>
    </xf>
    <xf numFmtId="0" fontId="0" fillId="0" borderId="0" xfId="0" applyFont="1" applyFill="1" applyBorder="1" applyAlignment="1">
      <alignment vertical="top"/>
      <protection locked="0"/>
    </xf>
    <xf numFmtId="0" fontId="44" fillId="0" borderId="0" xfId="0" applyFont="1" applyAlignment="1" applyProtection="1">
      <alignment horizontal="center" vertical="center"/>
    </xf>
    <xf numFmtId="180" fontId="5" fillId="2" borderId="1" xfId="0" applyNumberFormat="1" applyFont="1" applyFill="1" applyBorder="1" applyAlignment="1">
      <alignment horizontal="center" vertical="center" wrapText="1"/>
      <protection locked="0"/>
    </xf>
    <xf numFmtId="180" fontId="8" fillId="0" borderId="3" xfId="0" applyNumberFormat="1" applyFont="1" applyBorder="1" applyAlignment="1">
      <alignment vertical="top" wrapText="1"/>
      <protection locked="0"/>
    </xf>
    <xf numFmtId="180" fontId="23" fillId="0" borderId="3" xfId="0" applyNumberFormat="1" applyFont="1" applyBorder="1" applyAlignment="1">
      <alignment vertical="top" wrapText="1"/>
      <protection locked="0"/>
    </xf>
    <xf numFmtId="180" fontId="23" fillId="0" borderId="3" xfId="0" applyNumberFormat="1" applyFont="1" applyBorder="1" applyAlignment="1">
      <alignment vertical="center" wrapText="1"/>
      <protection locked="0"/>
    </xf>
    <xf numFmtId="180" fontId="2" fillId="0" borderId="0" xfId="0" applyNumberFormat="1" applyFont="1" applyAlignment="1">
      <alignment vertical="top"/>
      <protection locked="0"/>
    </xf>
    <xf numFmtId="0" fontId="8" fillId="4" borderId="5" xfId="0" applyFont="1" applyFill="1" applyBorder="1" applyAlignment="1">
      <alignment horizontal="center" vertical="top"/>
      <protection locked="0"/>
    </xf>
    <xf numFmtId="0" fontId="8" fillId="4" borderId="3" xfId="0" applyFont="1" applyFill="1" applyBorder="1" applyAlignment="1">
      <alignment horizontal="center" vertical="top" wrapText="1"/>
      <protection locked="0"/>
    </xf>
    <xf numFmtId="0" fontId="8" fillId="4" borderId="3" xfId="0" applyFont="1" applyFill="1" applyBorder="1" applyAlignment="1">
      <alignment vertical="top" wrapText="1"/>
      <protection locked="0"/>
    </xf>
    <xf numFmtId="180" fontId="8" fillId="4" borderId="3" xfId="0" applyNumberFormat="1" applyFont="1" applyFill="1" applyBorder="1" applyAlignment="1">
      <alignment vertical="top" wrapText="1"/>
      <protection locked="0"/>
    </xf>
    <xf numFmtId="3" fontId="8" fillId="4" borderId="3" xfId="0" applyNumberFormat="1" applyFont="1" applyFill="1" applyBorder="1" applyAlignment="1">
      <alignment vertical="top" wrapText="1"/>
      <protection locked="0"/>
    </xf>
    <xf numFmtId="0" fontId="55" fillId="0" borderId="5" xfId="0" applyFont="1" applyBorder="1" applyAlignment="1">
      <alignment horizontal="center" vertical="top"/>
      <protection locked="0"/>
    </xf>
    <xf numFmtId="0" fontId="55" fillId="0" borderId="3" xfId="0" applyFont="1" applyBorder="1" applyAlignment="1">
      <alignment horizontal="center" vertical="top" wrapText="1"/>
      <protection locked="0"/>
    </xf>
    <xf numFmtId="0" fontId="55" fillId="0" borderId="3" xfId="0" applyFont="1" applyBorder="1" applyAlignment="1">
      <alignment vertical="top" wrapText="1"/>
      <protection locked="0"/>
    </xf>
    <xf numFmtId="180" fontId="55" fillId="0" borderId="3" xfId="0" applyNumberFormat="1" applyFont="1" applyBorder="1" applyAlignment="1">
      <alignment vertical="top" wrapText="1"/>
      <protection locked="0"/>
    </xf>
    <xf numFmtId="3" fontId="55" fillId="0" borderId="3" xfId="0" applyNumberFormat="1" applyFont="1" applyBorder="1" applyAlignment="1">
      <alignment vertical="top" wrapText="1"/>
      <protection locked="0"/>
    </xf>
    <xf numFmtId="0" fontId="56" fillId="0" borderId="3" xfId="0" applyFont="1" applyBorder="1" applyAlignment="1">
      <alignment vertical="top"/>
      <protection locked="0"/>
    </xf>
    <xf numFmtId="0" fontId="56" fillId="0" borderId="0" xfId="0" applyFont="1" applyAlignment="1">
      <alignment vertical="top"/>
      <protection locked="0"/>
    </xf>
    <xf numFmtId="0" fontId="18" fillId="4" borderId="3" xfId="0" applyFont="1" applyFill="1" applyBorder="1" applyAlignment="1">
      <alignment horizontal="center" vertical="top" wrapText="1"/>
      <protection locked="0"/>
    </xf>
    <xf numFmtId="0" fontId="45" fillId="0" borderId="5" xfId="0" applyFont="1" applyBorder="1" applyAlignment="1">
      <alignment horizontal="center" vertical="top"/>
      <protection locked="0"/>
    </xf>
    <xf numFmtId="0" fontId="45" fillId="0" borderId="3" xfId="0" applyFont="1" applyBorder="1" applyAlignment="1">
      <alignment horizontal="center" vertical="top" wrapText="1"/>
      <protection locked="0"/>
    </xf>
    <xf numFmtId="180" fontId="45" fillId="0" borderId="3" xfId="0" applyNumberFormat="1" applyFont="1" applyBorder="1" applyAlignment="1">
      <alignment horizontal="center" vertical="top" wrapText="1"/>
      <protection locked="0"/>
    </xf>
    <xf numFmtId="0" fontId="46" fillId="0" borderId="3" xfId="0" applyFont="1" applyBorder="1" applyAlignment="1">
      <alignment vertical="top"/>
      <protection locked="0"/>
    </xf>
    <xf numFmtId="0" fontId="46" fillId="0" borderId="0" xfId="0" applyFont="1" applyAlignment="1">
      <alignment vertical="top"/>
      <protection locked="0"/>
    </xf>
    <xf numFmtId="14" fontId="2" fillId="0" borderId="0" xfId="0" applyNumberFormat="1" applyFont="1" applyAlignment="1">
      <alignment vertical="top"/>
      <protection locked="0"/>
    </xf>
    <xf numFmtId="3" fontId="2" fillId="0" borderId="0" xfId="0" applyNumberFormat="1" applyFont="1" applyAlignment="1">
      <alignment vertical="top"/>
      <protection locked="0"/>
    </xf>
    <xf numFmtId="0" fontId="44" fillId="0" borderId="0" xfId="0" applyFont="1" applyAlignment="1">
      <alignment vertical="top"/>
      <protection locked="0"/>
    </xf>
    <xf numFmtId="0" fontId="4" fillId="0" borderId="0" xfId="0" applyFont="1" applyAlignment="1">
      <alignment vertical="top"/>
      <protection locked="0"/>
    </xf>
    <xf numFmtId="0" fontId="44" fillId="0" borderId="0" xfId="0" applyFont="1" applyAlignment="1">
      <alignment horizontal="left" vertical="center"/>
      <protection locked="0"/>
    </xf>
    <xf numFmtId="0" fontId="4" fillId="2" borderId="4" xfId="0" applyFont="1" applyFill="1" applyBorder="1" applyAlignment="1">
      <alignment horizontal="center" vertical="center" wrapText="1"/>
      <protection locked="0"/>
    </xf>
    <xf numFmtId="180" fontId="4" fillId="2" borderId="4" xfId="0" applyNumberFormat="1" applyFont="1" applyFill="1" applyBorder="1" applyAlignment="1">
      <alignment horizontal="center" vertical="center" wrapText="1"/>
      <protection locked="0"/>
    </xf>
    <xf numFmtId="0" fontId="49" fillId="0" borderId="4" xfId="0" applyFont="1" applyBorder="1" applyAlignment="1">
      <alignment horizontal="center" vertical="center"/>
      <protection locked="0"/>
    </xf>
    <xf numFmtId="0" fontId="49" fillId="0" borderId="4" xfId="0" applyFont="1" applyBorder="1" applyAlignment="1">
      <alignment horizontal="left" vertical="center" wrapText="1"/>
      <protection locked="0"/>
    </xf>
    <xf numFmtId="180" fontId="49" fillId="0" borderId="4" xfId="0" applyNumberFormat="1" applyFont="1" applyBorder="1" applyAlignment="1">
      <alignment horizontal="left" vertical="center" wrapText="1"/>
      <protection locked="0"/>
    </xf>
    <xf numFmtId="3" fontId="4" fillId="0" borderId="4" xfId="0" applyNumberFormat="1" applyFont="1" applyBorder="1" applyAlignment="1">
      <alignment horizontal="left" vertical="center" wrapText="1"/>
      <protection locked="0"/>
    </xf>
    <xf numFmtId="0" fontId="4" fillId="0" borderId="0" xfId="0" applyFont="1" applyAlignment="1">
      <alignment horizontal="left" vertical="center"/>
      <protection locked="0"/>
    </xf>
    <xf numFmtId="0" fontId="44" fillId="4" borderId="4" xfId="0" applyFont="1" applyFill="1" applyBorder="1" applyAlignment="1">
      <alignment horizontal="center" vertical="center"/>
      <protection locked="0"/>
    </xf>
    <xf numFmtId="0" fontId="44" fillId="4" borderId="4" xfId="0" applyFont="1" applyFill="1" applyBorder="1" applyAlignment="1">
      <alignment horizontal="left" vertical="center" wrapText="1"/>
      <protection locked="0"/>
    </xf>
    <xf numFmtId="180" fontId="44" fillId="4" borderId="4" xfId="0" applyNumberFormat="1" applyFont="1" applyFill="1" applyBorder="1" applyAlignment="1">
      <alignment horizontal="left" vertical="center" wrapText="1"/>
      <protection locked="0"/>
    </xf>
    <xf numFmtId="3" fontId="44" fillId="4" borderId="4" xfId="0" applyNumberFormat="1" applyFont="1" applyFill="1" applyBorder="1" applyAlignment="1">
      <alignment horizontal="left" vertical="center" wrapText="1"/>
      <protection locked="0"/>
    </xf>
    <xf numFmtId="0" fontId="44" fillId="0" borderId="4" xfId="0" applyFont="1" applyBorder="1" applyAlignment="1">
      <alignment horizontal="center" vertical="center"/>
      <protection locked="0"/>
    </xf>
    <xf numFmtId="0" fontId="44" fillId="0" borderId="4" xfId="0" applyFont="1" applyBorder="1" applyAlignment="1">
      <alignment horizontal="left" vertical="center" wrapText="1"/>
      <protection locked="0"/>
    </xf>
    <xf numFmtId="0" fontId="44" fillId="0" borderId="4" xfId="0" applyFont="1" applyBorder="1" applyAlignment="1">
      <alignment horizontal="center" vertical="center" wrapText="1"/>
      <protection locked="0"/>
    </xf>
    <xf numFmtId="180" fontId="44" fillId="0" borderId="4" xfId="0" applyNumberFormat="1" applyFont="1" applyBorder="1" applyAlignment="1">
      <alignment horizontal="center" vertical="center" wrapText="1"/>
      <protection locked="0"/>
    </xf>
    <xf numFmtId="3" fontId="44" fillId="0" borderId="4" xfId="0" applyNumberFormat="1" applyFont="1" applyBorder="1" applyAlignment="1">
      <alignment horizontal="center" vertical="center" wrapText="1"/>
      <protection locked="0"/>
    </xf>
    <xf numFmtId="3" fontId="44" fillId="0" borderId="4" xfId="0" applyNumberFormat="1" applyFont="1" applyBorder="1" applyAlignment="1">
      <alignment horizontal="right" vertical="center" wrapText="1"/>
      <protection locked="0"/>
    </xf>
    <xf numFmtId="0" fontId="57" fillId="0" borderId="4" xfId="0" applyFont="1" applyBorder="1" applyAlignment="1">
      <alignment horizontal="center" vertical="center"/>
      <protection locked="0"/>
    </xf>
    <xf numFmtId="0" fontId="57" fillId="0" borderId="4" xfId="0" applyFont="1" applyBorder="1" applyAlignment="1">
      <alignment horizontal="left" vertical="center" wrapText="1"/>
      <protection locked="0"/>
    </xf>
    <xf numFmtId="0" fontId="57" fillId="0" borderId="4" xfId="0" applyFont="1" applyBorder="1" applyAlignment="1">
      <alignment horizontal="center" vertical="center" wrapText="1"/>
      <protection locked="0"/>
    </xf>
    <xf numFmtId="180" fontId="57" fillId="0" borderId="4" xfId="0" applyNumberFormat="1" applyFont="1" applyBorder="1" applyAlignment="1">
      <alignment horizontal="center" vertical="center" wrapText="1"/>
      <protection locked="0"/>
    </xf>
    <xf numFmtId="3" fontId="57" fillId="0" borderId="4" xfId="0" applyNumberFormat="1" applyFont="1" applyBorder="1" applyAlignment="1">
      <alignment horizontal="center" vertical="center" wrapText="1"/>
      <protection locked="0"/>
    </xf>
    <xf numFmtId="3" fontId="57" fillId="0" borderId="4" xfId="0" applyNumberFormat="1" applyFont="1" applyBorder="1" applyAlignment="1">
      <alignment horizontal="right" vertical="center" wrapText="1"/>
      <protection locked="0"/>
    </xf>
    <xf numFmtId="0" fontId="57" fillId="0" borderId="0" xfId="0" applyFont="1" applyAlignment="1">
      <alignment horizontal="left" vertical="center"/>
      <protection locked="0"/>
    </xf>
    <xf numFmtId="0" fontId="44" fillId="4" borderId="4" xfId="0" applyFont="1" applyFill="1" applyBorder="1" applyAlignment="1">
      <alignment horizontal="center" vertical="center" wrapText="1"/>
      <protection locked="0"/>
    </xf>
    <xf numFmtId="180" fontId="44" fillId="4" borderId="4" xfId="0" applyNumberFormat="1" applyFont="1" applyFill="1" applyBorder="1" applyAlignment="1">
      <alignment horizontal="center" vertical="center" wrapText="1"/>
      <protection locked="0"/>
    </xf>
    <xf numFmtId="3" fontId="44" fillId="4" borderId="4" xfId="0" applyNumberFormat="1" applyFont="1" applyFill="1" applyBorder="1" applyAlignment="1">
      <alignment horizontal="center" vertical="center" wrapText="1"/>
      <protection locked="0"/>
    </xf>
    <xf numFmtId="3" fontId="44" fillId="4" borderId="4" xfId="0" applyNumberFormat="1" applyFont="1" applyFill="1" applyBorder="1" applyAlignment="1">
      <alignment horizontal="right" vertical="center" wrapText="1"/>
      <protection locked="0"/>
    </xf>
    <xf numFmtId="0" fontId="44" fillId="4" borderId="4" xfId="0" applyFont="1" applyFill="1" applyBorder="1" applyAlignment="1">
      <alignment horizontal="left" vertical="center"/>
      <protection locked="0"/>
    </xf>
    <xf numFmtId="0" fontId="50" fillId="4" borderId="4" xfId="0" applyFont="1" applyFill="1" applyBorder="1" applyAlignment="1">
      <alignment horizontal="left" vertical="center" wrapText="1"/>
      <protection locked="0"/>
    </xf>
    <xf numFmtId="0" fontId="49" fillId="0" borderId="4" xfId="0" applyFont="1" applyBorder="1" applyAlignment="1">
      <alignment horizontal="center" vertical="center" wrapText="1"/>
      <protection locked="0"/>
    </xf>
    <xf numFmtId="180" fontId="49" fillId="0" borderId="4" xfId="0" applyNumberFormat="1" applyFont="1" applyBorder="1" applyAlignment="1">
      <alignment horizontal="center" vertical="center" wrapText="1"/>
      <protection locked="0"/>
    </xf>
    <xf numFmtId="3" fontId="4" fillId="0" borderId="4" xfId="0" applyNumberFormat="1" applyFont="1" applyBorder="1" applyAlignment="1">
      <alignment horizontal="center" vertical="center" wrapText="1"/>
      <protection locked="0"/>
    </xf>
    <xf numFmtId="3" fontId="4" fillId="0" borderId="4" xfId="0" applyNumberFormat="1" applyFont="1" applyBorder="1" applyAlignment="1">
      <alignment horizontal="right" vertical="center" wrapText="1"/>
      <protection locked="0"/>
    </xf>
    <xf numFmtId="0" fontId="44" fillId="4" borderId="5" xfId="0" applyFont="1" applyFill="1" applyBorder="1" applyAlignment="1">
      <alignment horizontal="left" vertical="center"/>
      <protection locked="0"/>
    </xf>
    <xf numFmtId="0" fontId="44" fillId="4" borderId="3" xfId="0" applyFont="1" applyFill="1" applyBorder="1" applyAlignment="1">
      <alignment horizontal="left" vertical="center" wrapText="1"/>
      <protection locked="0"/>
    </xf>
    <xf numFmtId="180" fontId="44" fillId="4" borderId="3" xfId="0" applyNumberFormat="1" applyFont="1" applyFill="1" applyBorder="1" applyAlignment="1">
      <alignment horizontal="left" vertical="center" wrapText="1"/>
      <protection locked="0"/>
    </xf>
    <xf numFmtId="3" fontId="44" fillId="4" borderId="3" xfId="0" applyNumberFormat="1" applyFont="1" applyFill="1" applyBorder="1" applyAlignment="1">
      <alignment horizontal="left" vertical="center" wrapText="1"/>
      <protection locked="0"/>
    </xf>
    <xf numFmtId="0" fontId="44" fillId="0" borderId="5" xfId="0" applyFont="1" applyBorder="1" applyAlignment="1">
      <alignment horizontal="left" vertical="center"/>
      <protection locked="0"/>
    </xf>
    <xf numFmtId="0" fontId="50" fillId="0" borderId="3" xfId="0" applyFont="1" applyBorder="1" applyAlignment="1">
      <alignment horizontal="left" vertical="center" wrapText="1"/>
      <protection locked="0"/>
    </xf>
    <xf numFmtId="0" fontId="44" fillId="0" borderId="3" xfId="0" applyFont="1" applyBorder="1" applyAlignment="1">
      <alignment horizontal="left" vertical="center" wrapText="1"/>
      <protection locked="0"/>
    </xf>
    <xf numFmtId="180" fontId="44" fillId="0" borderId="3" xfId="0" applyNumberFormat="1" applyFont="1" applyBorder="1" applyAlignment="1">
      <alignment horizontal="left" vertical="center" wrapText="1"/>
      <protection locked="0"/>
    </xf>
    <xf numFmtId="3" fontId="44" fillId="0" borderId="3" xfId="0" applyNumberFormat="1" applyFont="1" applyBorder="1" applyAlignment="1">
      <alignment horizontal="left" vertical="center" wrapText="1"/>
      <protection locked="0"/>
    </xf>
    <xf numFmtId="0" fontId="34" fillId="0" borderId="5" xfId="0" applyFont="1" applyBorder="1" applyAlignment="1">
      <alignment horizontal="left" vertical="center"/>
      <protection locked="0"/>
    </xf>
    <xf numFmtId="0" fontId="34" fillId="0" borderId="3" xfId="0" applyFont="1" applyBorder="1" applyAlignment="1">
      <alignment horizontal="center" vertical="center" wrapText="1"/>
      <protection locked="0"/>
    </xf>
    <xf numFmtId="0" fontId="34" fillId="0" borderId="3" xfId="0" applyFont="1" applyBorder="1" applyAlignment="1">
      <alignment horizontal="left" vertical="center" wrapText="1"/>
      <protection locked="0"/>
    </xf>
    <xf numFmtId="180" fontId="34" fillId="0" borderId="3" xfId="0" applyNumberFormat="1" applyFont="1" applyBorder="1" applyAlignment="1">
      <alignment horizontal="left" vertical="center" wrapText="1"/>
      <protection locked="0"/>
    </xf>
    <xf numFmtId="0" fontId="34" fillId="0" borderId="3" xfId="0" applyFont="1" applyBorder="1" applyAlignment="1">
      <alignment horizontal="left" vertical="center"/>
      <protection locked="0"/>
    </xf>
    <xf numFmtId="3" fontId="34" fillId="0" borderId="3" xfId="0" applyNumberFormat="1" applyFont="1" applyBorder="1" applyAlignment="1">
      <alignment horizontal="left" vertical="center" wrapText="1"/>
      <protection locked="0"/>
    </xf>
    <xf numFmtId="180" fontId="44" fillId="0" borderId="0" xfId="0" applyNumberFormat="1" applyFont="1" applyAlignment="1">
      <alignment horizontal="left" vertical="center"/>
      <protection locked="0"/>
    </xf>
    <xf numFmtId="0" fontId="47" fillId="0" borderId="0" xfId="0" applyFont="1" applyFill="1" applyAlignment="1" applyProtection="1">
      <alignment horizontal="center" vertical="center"/>
    </xf>
    <xf numFmtId="0" fontId="47" fillId="0" borderId="0" xfId="0" applyFont="1" applyFill="1" applyAlignment="1" applyProtection="1">
      <alignment vertical="center"/>
    </xf>
    <xf numFmtId="0" fontId="47" fillId="0" borderId="0" xfId="0" applyFont="1" applyFill="1" applyAlignment="1" applyProtection="1">
      <alignment vertical="center" wrapText="1"/>
    </xf>
    <xf numFmtId="0" fontId="47" fillId="0" borderId="0" xfId="0" applyFont="1" applyFill="1" applyAlignment="1" applyProtection="1">
      <alignment horizontal="center" vertical="center" wrapText="1"/>
    </xf>
    <xf numFmtId="181" fontId="47" fillId="0" borderId="0" xfId="0" applyNumberFormat="1" applyFont="1" applyFill="1" applyAlignment="1" applyProtection="1">
      <alignment horizontal="right" vertical="center"/>
    </xf>
    <xf numFmtId="181" fontId="47" fillId="0" borderId="0" xfId="0" applyNumberFormat="1" applyFont="1" applyFill="1" applyAlignment="1" applyProtection="1">
      <alignment horizontal="right" vertical="center" shrinkToFit="1"/>
    </xf>
    <xf numFmtId="0" fontId="42" fillId="0" borderId="0" xfId="0" applyFont="1" applyFill="1" applyProtection="1"/>
    <xf numFmtId="181" fontId="44" fillId="0" borderId="0" xfId="0" applyNumberFormat="1" applyFont="1" applyFill="1" applyAlignment="1" applyProtection="1">
      <alignment horizontal="center" vertical="center"/>
    </xf>
    <xf numFmtId="0" fontId="44" fillId="0" borderId="0" xfId="0" applyFont="1" applyFill="1" applyProtection="1"/>
    <xf numFmtId="0" fontId="47" fillId="0" borderId="0" xfId="0" applyFont="1" applyFill="1" applyAlignment="1" applyProtection="1">
      <alignment horizontal="center"/>
    </xf>
    <xf numFmtId="0" fontId="43" fillId="0" borderId="0" xfId="0" applyFont="1" applyFill="1" applyBorder="1" applyAlignment="1" applyProtection="1">
      <alignment horizontal="centerContinuous" vertical="center"/>
    </xf>
    <xf numFmtId="0" fontId="42" fillId="0" borderId="0" xfId="0" applyFont="1" applyFill="1" applyBorder="1" applyAlignment="1" applyProtection="1">
      <alignment horizontal="centerContinuous" wrapText="1"/>
    </xf>
    <xf numFmtId="0" fontId="42" fillId="0" borderId="0" xfId="0" applyFont="1" applyFill="1" applyBorder="1" applyAlignment="1" applyProtection="1">
      <alignment horizontal="centerContinuous"/>
    </xf>
    <xf numFmtId="3" fontId="42" fillId="0" borderId="0" xfId="0" applyNumberFormat="1" applyFont="1" applyFill="1" applyBorder="1" applyAlignment="1" applyProtection="1">
      <alignment horizontal="centerContinuous"/>
    </xf>
    <xf numFmtId="3" fontId="4" fillId="0" borderId="0" xfId="0" applyNumberFormat="1" applyFont="1" applyFill="1" applyBorder="1" applyAlignment="1" applyProtection="1">
      <alignment horizontal="centerContinuous" vertical="center"/>
    </xf>
    <xf numFmtId="0" fontId="4" fillId="0" borderId="0" xfId="0" applyFont="1" applyFill="1" applyBorder="1" applyAlignment="1" applyProtection="1">
      <alignment horizontal="centerContinuous"/>
    </xf>
    <xf numFmtId="0" fontId="44" fillId="0" borderId="0" xfId="0" applyFont="1" applyFill="1" applyAlignment="1" applyProtection="1"/>
    <xf numFmtId="0" fontId="44" fillId="0" borderId="0" xfId="0" quotePrefix="1" applyFont="1" applyFill="1" applyAlignment="1" applyProtection="1"/>
    <xf numFmtId="0" fontId="4" fillId="0" borderId="0" xfId="0" applyFont="1" applyFill="1" applyBorder="1" applyAlignment="1" applyProtection="1">
      <alignment horizontal="centerContinuous" vertical="center"/>
    </xf>
    <xf numFmtId="0" fontId="4" fillId="0" borderId="0" xfId="0" applyFont="1" applyFill="1" applyBorder="1" applyAlignment="1" applyProtection="1">
      <alignment horizontal="centerContinuous" wrapText="1"/>
    </xf>
    <xf numFmtId="3" fontId="4" fillId="0" borderId="0" xfId="0" applyNumberFormat="1" applyFont="1" applyFill="1" applyBorder="1" applyAlignment="1" applyProtection="1">
      <alignment horizontal="centerContinuous"/>
    </xf>
    <xf numFmtId="0" fontId="44" fillId="0" borderId="0" xfId="0" applyFont="1" applyFill="1" applyAlignment="1" applyProtection="1">
      <alignment horizontal="left" vertical="center"/>
    </xf>
    <xf numFmtId="0" fontId="4" fillId="0" borderId="0" xfId="0" applyFont="1" applyFill="1" applyBorder="1" applyAlignment="1" applyProtection="1">
      <alignment horizontal="centerContinuous" vertical="center" wrapText="1"/>
    </xf>
    <xf numFmtId="0" fontId="31" fillId="0" borderId="0" xfId="0" applyFont="1" applyFill="1" applyAlignment="1" applyProtection="1">
      <alignment horizontal="center" vertical="center"/>
    </xf>
    <xf numFmtId="3" fontId="31" fillId="0" borderId="0" xfId="0" applyNumberFormat="1" applyFont="1" applyFill="1" applyBorder="1" applyAlignment="1" applyProtection="1">
      <alignment horizontal="center" vertical="center"/>
    </xf>
    <xf numFmtId="14" fontId="44" fillId="0" borderId="0" xfId="0" applyNumberFormat="1" applyFont="1" applyFill="1" applyProtection="1"/>
    <xf numFmtId="0" fontId="42" fillId="0" borderId="0" xfId="0" applyFont="1" applyFill="1" applyAlignment="1" applyProtection="1">
      <alignment horizontal="center" vertical="center" wrapText="1"/>
    </xf>
    <xf numFmtId="0" fontId="42" fillId="0" borderId="0" xfId="0" applyFont="1" applyFill="1" applyAlignment="1" applyProtection="1">
      <alignment horizontal="center" vertical="center"/>
    </xf>
    <xf numFmtId="0" fontId="24" fillId="0" borderId="0" xfId="0" applyFont="1" applyFill="1" applyAlignment="1" applyProtection="1">
      <alignment horizontal="center" vertical="center"/>
    </xf>
    <xf numFmtId="182" fontId="44" fillId="0" borderId="28" xfId="0" applyNumberFormat="1" applyFont="1" applyFill="1" applyBorder="1" applyAlignment="1" applyProtection="1">
      <alignment horizontal="center" vertical="center"/>
    </xf>
    <xf numFmtId="183" fontId="44" fillId="0" borderId="28" xfId="0" applyNumberFormat="1" applyFont="1" applyFill="1" applyBorder="1" applyAlignment="1" applyProtection="1">
      <alignment horizontal="center" vertical="center" wrapText="1"/>
    </xf>
    <xf numFmtId="0" fontId="24" fillId="0" borderId="0" xfId="0" applyFont="1" applyFill="1" applyProtection="1"/>
    <xf numFmtId="184" fontId="44" fillId="0" borderId="29" xfId="0" applyNumberFormat="1" applyFont="1" applyFill="1" applyBorder="1" applyAlignment="1" applyProtection="1">
      <alignment horizontal="center" vertical="center"/>
    </xf>
    <xf numFmtId="185" fontId="44" fillId="0" borderId="29" xfId="0" applyNumberFormat="1" applyFont="1" applyFill="1" applyBorder="1" applyAlignment="1" applyProtection="1">
      <alignment horizontal="center" vertical="center"/>
    </xf>
    <xf numFmtId="181" fontId="44" fillId="0" borderId="29" xfId="0" applyNumberFormat="1" applyFont="1" applyFill="1" applyBorder="1" applyAlignment="1" applyProtection="1">
      <alignment horizontal="right" vertical="center"/>
    </xf>
    <xf numFmtId="181" fontId="44" fillId="0" borderId="29" xfId="0" applyNumberFormat="1" applyFont="1" applyFill="1" applyBorder="1" applyAlignment="1" applyProtection="1">
      <alignment horizontal="center" vertical="center"/>
    </xf>
    <xf numFmtId="181" fontId="44" fillId="0" borderId="0" xfId="0" applyNumberFormat="1" applyFont="1" applyFill="1" applyProtection="1"/>
    <xf numFmtId="186" fontId="44" fillId="0" borderId="29" xfId="0" applyNumberFormat="1" applyFont="1" applyFill="1" applyBorder="1" applyAlignment="1" applyProtection="1">
      <alignment horizontal="center" vertical="center"/>
    </xf>
    <xf numFmtId="0" fontId="4" fillId="0" borderId="29" xfId="0" applyNumberFormat="1" applyFont="1" applyFill="1" applyBorder="1" applyAlignment="1" applyProtection="1">
      <alignment horizontal="center" vertical="center" wrapText="1"/>
    </xf>
    <xf numFmtId="0" fontId="4" fillId="0" borderId="29" xfId="0" applyNumberFormat="1" applyFont="1" applyFill="1" applyBorder="1" applyAlignment="1" applyProtection="1">
      <alignment horizontal="center" vertical="center"/>
    </xf>
    <xf numFmtId="181" fontId="4" fillId="0" borderId="29" xfId="0" applyNumberFormat="1" applyFont="1" applyFill="1" applyBorder="1" applyAlignment="1" applyProtection="1">
      <alignment horizontal="right" vertical="center"/>
    </xf>
    <xf numFmtId="181" fontId="4" fillId="0" borderId="29" xfId="0" applyNumberFormat="1" applyFont="1" applyFill="1" applyBorder="1" applyAlignment="1" applyProtection="1">
      <alignment horizontal="right" vertical="center" shrinkToFit="1"/>
    </xf>
    <xf numFmtId="181" fontId="4" fillId="0" borderId="29" xfId="0" applyNumberFormat="1" applyFont="1" applyFill="1" applyBorder="1" applyAlignment="1" applyProtection="1">
      <alignment horizontal="center" vertical="center"/>
    </xf>
    <xf numFmtId="9" fontId="44" fillId="0" borderId="0" xfId="0" applyNumberFormat="1" applyFont="1" applyFill="1" applyProtection="1"/>
    <xf numFmtId="0" fontId="44" fillId="0" borderId="0" xfId="0" applyFont="1" applyFill="1" applyAlignment="1" applyProtection="1">
      <alignment horizontal="center" vertical="center"/>
    </xf>
    <xf numFmtId="0" fontId="44" fillId="0" borderId="0" xfId="2" quotePrefix="1" applyFont="1" applyFill="1" applyAlignment="1"/>
    <xf numFmtId="0" fontId="44" fillId="0" borderId="0" xfId="2" applyFont="1" applyFill="1" applyAlignment="1">
      <alignment horizontal="left"/>
    </xf>
    <xf numFmtId="0" fontId="44" fillId="0" borderId="0" xfId="2" applyFont="1" applyFill="1" applyAlignment="1">
      <alignment wrapText="1"/>
    </xf>
    <xf numFmtId="179" fontId="44" fillId="0" borderId="0" xfId="1" applyNumberFormat="1" applyFont="1" applyFill="1" applyAlignment="1"/>
    <xf numFmtId="0" fontId="44" fillId="0" borderId="0" xfId="2" applyFont="1" applyFill="1" applyAlignment="1">
      <alignment horizontal="right"/>
    </xf>
    <xf numFmtId="0" fontId="31" fillId="0" borderId="0" xfId="2" applyFont="1" applyFill="1" applyAlignment="1">
      <alignment horizontal="center" wrapText="1"/>
    </xf>
    <xf numFmtId="0" fontId="4" fillId="0" borderId="0" xfId="3" applyFont="1" applyFill="1" applyAlignment="1" applyProtection="1">
      <alignment vertical="center"/>
    </xf>
    <xf numFmtId="0" fontId="31" fillId="0" borderId="0" xfId="3" applyFont="1" applyFill="1" applyAlignment="1" applyProtection="1">
      <alignment vertical="top"/>
    </xf>
    <xf numFmtId="0" fontId="31" fillId="0" borderId="0" xfId="2" applyFont="1" applyFill="1" applyAlignment="1">
      <alignment wrapText="1"/>
    </xf>
    <xf numFmtId="0" fontId="4" fillId="0" borderId="0" xfId="2" applyFont="1" applyFill="1" applyAlignment="1">
      <alignment horizontal="center" wrapText="1"/>
    </xf>
    <xf numFmtId="0" fontId="47" fillId="0" borderId="0" xfId="2" applyFont="1" applyFill="1" applyAlignment="1">
      <alignment vertical="center"/>
    </xf>
    <xf numFmtId="0" fontId="47" fillId="0" borderId="0" xfId="2" applyFont="1" applyFill="1" applyAlignment="1">
      <alignment horizontal="left" vertical="center"/>
    </xf>
    <xf numFmtId="0" fontId="47" fillId="0" borderId="0" xfId="2" applyFont="1" applyFill="1" applyAlignment="1">
      <alignment wrapText="1"/>
    </xf>
    <xf numFmtId="179" fontId="47" fillId="0" borderId="0" xfId="1" applyNumberFormat="1" applyFont="1" applyFill="1" applyAlignment="1"/>
    <xf numFmtId="0" fontId="47" fillId="0" borderId="0" xfId="2" applyFont="1" applyFill="1" applyAlignment="1">
      <alignment horizontal="right"/>
    </xf>
    <xf numFmtId="187" fontId="47" fillId="0" borderId="0" xfId="1" applyNumberFormat="1" applyFont="1" applyFill="1"/>
    <xf numFmtId="0" fontId="47" fillId="0" borderId="0" xfId="2" applyFont="1" applyFill="1"/>
    <xf numFmtId="0" fontId="44" fillId="0" borderId="0" xfId="0" applyFont="1" applyFill="1" applyAlignment="1" applyProtection="1">
      <alignment vertical="center"/>
    </xf>
    <xf numFmtId="0" fontId="44" fillId="0" borderId="0" xfId="0" applyFont="1" applyFill="1" applyAlignment="1" applyProtection="1">
      <alignment vertical="center" wrapText="1"/>
    </xf>
    <xf numFmtId="0" fontId="44" fillId="0" borderId="0" xfId="0" applyFont="1" applyFill="1" applyAlignment="1" applyProtection="1">
      <alignment horizontal="center" vertical="center" wrapText="1"/>
    </xf>
    <xf numFmtId="181" fontId="44" fillId="0" borderId="0" xfId="0" applyNumberFormat="1" applyFont="1" applyFill="1" applyAlignment="1" applyProtection="1">
      <alignment horizontal="right" vertical="center"/>
    </xf>
    <xf numFmtId="181" fontId="44" fillId="0" borderId="0" xfId="0" applyNumberFormat="1" applyFont="1" applyFill="1" applyAlignment="1" applyProtection="1">
      <alignment horizontal="right" vertical="center" shrinkToFit="1"/>
    </xf>
    <xf numFmtId="0" fontId="44" fillId="0" borderId="0" xfId="0" applyFont="1" applyProtection="1"/>
    <xf numFmtId="0" fontId="31" fillId="0" borderId="0" xfId="0" applyFont="1" applyProtection="1"/>
    <xf numFmtId="0" fontId="4" fillId="0" borderId="0" xfId="0" applyFont="1" applyBorder="1" applyAlignment="1" applyProtection="1">
      <alignment vertical="center"/>
    </xf>
    <xf numFmtId="0" fontId="4" fillId="0" borderId="0" xfId="0" applyFont="1" applyBorder="1" applyAlignment="1" applyProtection="1">
      <alignment wrapText="1"/>
    </xf>
    <xf numFmtId="0" fontId="4" fillId="0" borderId="0" xfId="0" applyFont="1" applyAlignment="1" applyProtection="1">
      <alignment vertical="center"/>
    </xf>
    <xf numFmtId="0" fontId="4" fillId="5" borderId="0" xfId="0" applyFont="1" applyFill="1" applyBorder="1" applyAlignment="1" applyProtection="1">
      <alignment horizontal="left"/>
    </xf>
    <xf numFmtId="0" fontId="4" fillId="5" borderId="0" xfId="0" applyFont="1" applyFill="1" applyBorder="1" applyAlignment="1" applyProtection="1">
      <alignment vertical="center"/>
    </xf>
    <xf numFmtId="3" fontId="4" fillId="5" borderId="0" xfId="0" applyNumberFormat="1" applyFont="1" applyFill="1" applyBorder="1" applyAlignment="1" applyProtection="1">
      <alignment horizontal="right"/>
    </xf>
    <xf numFmtId="0" fontId="4" fillId="5" borderId="0" xfId="0" applyFont="1" applyFill="1" applyBorder="1" applyProtection="1"/>
    <xf numFmtId="0" fontId="44" fillId="5" borderId="0" xfId="0" applyFont="1" applyFill="1" applyProtection="1"/>
    <xf numFmtId="0" fontId="4" fillId="0" borderId="0" xfId="0" applyFont="1" applyAlignment="1" applyProtection="1">
      <alignment horizontal="left" vertical="center" wrapText="1"/>
    </xf>
    <xf numFmtId="0" fontId="44" fillId="0" borderId="7" xfId="0" applyFont="1" applyBorder="1" applyAlignment="1" applyProtection="1">
      <alignment horizontal="center" vertical="center"/>
    </xf>
    <xf numFmtId="1" fontId="44" fillId="0" borderId="7" xfId="0" applyNumberFormat="1" applyFont="1" applyBorder="1" applyAlignment="1" applyProtection="1">
      <alignment horizontal="center" vertical="center" wrapText="1"/>
    </xf>
    <xf numFmtId="0" fontId="44" fillId="0" borderId="0" xfId="0" applyFont="1" applyAlignment="1" applyProtection="1">
      <alignment horizontal="center"/>
    </xf>
    <xf numFmtId="0" fontId="44" fillId="0" borderId="7" xfId="0" applyFont="1" applyBorder="1" applyAlignment="1" applyProtection="1">
      <alignment horizontal="center"/>
    </xf>
    <xf numFmtId="0" fontId="44" fillId="0" borderId="0" xfId="0" applyFont="1" applyBorder="1" applyAlignment="1" applyProtection="1">
      <alignment horizontal="center"/>
    </xf>
    <xf numFmtId="0" fontId="44" fillId="0" borderId="0" xfId="0" applyFont="1" applyAlignment="1" applyProtection="1">
      <alignment horizontal="left"/>
    </xf>
    <xf numFmtId="0" fontId="44" fillId="0" borderId="0" xfId="0" applyFont="1" applyAlignment="1" applyProtection="1">
      <alignment vertical="center"/>
    </xf>
    <xf numFmtId="3" fontId="44" fillId="0" borderId="0" xfId="0" applyNumberFormat="1" applyFont="1" applyAlignment="1" applyProtection="1">
      <alignment horizontal="right"/>
    </xf>
    <xf numFmtId="0" fontId="4" fillId="0" borderId="0" xfId="0" applyFont="1" applyAlignment="1" applyProtection="1">
      <alignment horizontal="center" vertical="center"/>
    </xf>
    <xf numFmtId="2" fontId="4" fillId="0" borderId="0" xfId="0" applyNumberFormat="1" applyFont="1" applyAlignment="1" applyProtection="1">
      <alignment horizontal="center" vertical="center"/>
    </xf>
    <xf numFmtId="188" fontId="44" fillId="0" borderId="0" xfId="0" applyNumberFormat="1" applyFont="1" applyAlignment="1" applyProtection="1">
      <alignment horizontal="right"/>
    </xf>
    <xf numFmtId="0" fontId="44" fillId="0" borderId="0" xfId="0" applyFont="1" applyAlignment="1" applyProtection="1">
      <alignment horizontal="right"/>
    </xf>
    <xf numFmtId="184" fontId="44" fillId="0" borderId="7" xfId="0" applyNumberFormat="1" applyFont="1" applyBorder="1" applyAlignment="1" applyProtection="1">
      <alignment horizontal="right" vertical="center" wrapText="1"/>
    </xf>
    <xf numFmtId="0" fontId="4" fillId="0" borderId="0" xfId="0" applyFont="1" applyFill="1" applyAlignment="1" applyProtection="1">
      <alignment horizontal="left" vertical="center"/>
    </xf>
    <xf numFmtId="0" fontId="4" fillId="0" borderId="29" xfId="0" applyFont="1" applyFill="1" applyBorder="1" applyAlignment="1" applyProtection="1">
      <alignment horizontal="center" vertical="center" wrapText="1"/>
    </xf>
    <xf numFmtId="3" fontId="4" fillId="0" borderId="7" xfId="0" applyNumberFormat="1"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166" fontId="4" fillId="5" borderId="0" xfId="0" applyNumberFormat="1" applyFont="1" applyFill="1" applyAlignment="1">
      <alignment vertical="top" wrapText="1"/>
      <protection locked="0"/>
    </xf>
    <xf numFmtId="0" fontId="4" fillId="5" borderId="0" xfId="0" applyFont="1" applyFill="1" applyAlignment="1" applyProtection="1">
      <alignment horizontal="center" vertical="top"/>
    </xf>
    <xf numFmtId="0" fontId="4" fillId="5" borderId="0" xfId="0" applyFont="1" applyFill="1" applyAlignment="1">
      <alignment horizontal="center" vertical="top"/>
      <protection locked="0"/>
    </xf>
    <xf numFmtId="167" fontId="4" fillId="5" borderId="0" xfId="0" applyNumberFormat="1" applyFont="1" applyFill="1" applyAlignment="1">
      <alignment horizontal="center" vertical="top"/>
      <protection locked="0"/>
    </xf>
    <xf numFmtId="0" fontId="44" fillId="5" borderId="0" xfId="0" applyFont="1" applyFill="1" applyAlignment="1">
      <alignment vertical="top"/>
      <protection locked="0"/>
    </xf>
    <xf numFmtId="0" fontId="44" fillId="5" borderId="0" xfId="0" applyFont="1" applyFill="1" applyAlignment="1" applyProtection="1">
      <alignment horizontal="center" vertical="top"/>
    </xf>
    <xf numFmtId="0" fontId="4" fillId="5" borderId="2" xfId="0" applyFont="1" applyFill="1" applyBorder="1" applyAlignment="1">
      <alignment horizontal="center" vertical="center" wrapText="1"/>
      <protection locked="0"/>
    </xf>
    <xf numFmtId="0" fontId="44" fillId="5" borderId="0" xfId="0" applyFont="1" applyFill="1" applyAlignment="1">
      <alignment horizontal="center" vertical="top"/>
      <protection locked="0"/>
    </xf>
    <xf numFmtId="0" fontId="4" fillId="5" borderId="0" xfId="0" applyFont="1" applyFill="1" applyAlignment="1">
      <alignment horizontal="center" vertical="center" wrapText="1"/>
      <protection locked="0"/>
    </xf>
    <xf numFmtId="3" fontId="44" fillId="5" borderId="5" xfId="0" applyNumberFormat="1" applyFont="1" applyFill="1" applyBorder="1" applyAlignment="1">
      <alignment horizontal="center" vertical="top" wrapText="1"/>
      <protection locked="0"/>
    </xf>
    <xf numFmtId="49" fontId="4" fillId="5" borderId="3" xfId="0" applyNumberFormat="1" applyFont="1" applyFill="1" applyBorder="1" applyAlignment="1">
      <alignment horizontal="center" vertical="top" wrapText="1"/>
      <protection locked="0"/>
    </xf>
    <xf numFmtId="0" fontId="44" fillId="5" borderId="3" xfId="0" applyFont="1" applyFill="1" applyBorder="1" applyAlignment="1">
      <alignment vertical="top" wrapText="1"/>
      <protection locked="0"/>
    </xf>
    <xf numFmtId="0" fontId="4" fillId="5" borderId="3" xfId="0" applyFont="1" applyFill="1" applyBorder="1" applyAlignment="1">
      <alignment horizontal="center" vertical="top" wrapText="1"/>
      <protection locked="0"/>
    </xf>
    <xf numFmtId="168" fontId="44" fillId="5" borderId="3" xfId="0" applyNumberFormat="1" applyFont="1" applyFill="1" applyBorder="1" applyAlignment="1">
      <alignment horizontal="right" vertical="top" wrapText="1"/>
      <protection locked="0"/>
    </xf>
    <xf numFmtId="3" fontId="4" fillId="5" borderId="3" xfId="0" applyNumberFormat="1" applyFont="1" applyFill="1" applyBorder="1" applyAlignment="1">
      <alignment horizontal="center" vertical="top" wrapText="1"/>
      <protection locked="0"/>
    </xf>
    <xf numFmtId="3" fontId="44" fillId="5" borderId="3" xfId="0" applyNumberFormat="1" applyFont="1" applyFill="1" applyBorder="1" applyAlignment="1">
      <alignment horizontal="right" vertical="top" wrapText="1"/>
      <protection locked="0"/>
    </xf>
    <xf numFmtId="169" fontId="4" fillId="5" borderId="3" xfId="0" applyNumberFormat="1" applyFont="1" applyFill="1" applyBorder="1" applyAlignment="1">
      <alignment horizontal="center" vertical="top" wrapText="1"/>
      <protection locked="0"/>
    </xf>
    <xf numFmtId="167" fontId="44" fillId="5" borderId="0" xfId="0" applyNumberFormat="1" applyFont="1" applyFill="1" applyAlignment="1">
      <alignment horizontal="center" vertical="top"/>
      <protection locked="0"/>
    </xf>
    <xf numFmtId="168" fontId="4" fillId="5" borderId="3" xfId="0" applyNumberFormat="1" applyFont="1" applyFill="1" applyBorder="1" applyAlignment="1">
      <alignment horizontal="right" vertical="top" wrapText="1"/>
      <protection locked="0"/>
    </xf>
    <xf numFmtId="49" fontId="44" fillId="5" borderId="3" xfId="0" applyNumberFormat="1" applyFont="1" applyFill="1" applyBorder="1" applyAlignment="1">
      <alignment horizontal="center" vertical="top" wrapText="1"/>
      <protection locked="0"/>
    </xf>
    <xf numFmtId="0" fontId="44" fillId="5" borderId="3" xfId="0" applyFont="1" applyFill="1" applyBorder="1" applyAlignment="1">
      <alignment horizontal="center" vertical="top" wrapText="1"/>
      <protection locked="0"/>
    </xf>
    <xf numFmtId="169" fontId="44" fillId="5" borderId="3" xfId="0" applyNumberFormat="1" applyFont="1" applyFill="1" applyBorder="1" applyAlignment="1">
      <alignment horizontal="right" vertical="top" wrapText="1"/>
      <protection locked="0"/>
    </xf>
    <xf numFmtId="0" fontId="44" fillId="5" borderId="3" xfId="0" applyFont="1" applyFill="1" applyBorder="1" applyAlignment="1">
      <alignment horizontal="left" vertical="top" wrapText="1"/>
      <protection locked="0"/>
    </xf>
    <xf numFmtId="0" fontId="31" fillId="5" borderId="3" xfId="0" applyFont="1" applyFill="1" applyBorder="1" applyAlignment="1">
      <alignment horizontal="left" vertical="top" wrapText="1"/>
      <protection locked="0"/>
    </xf>
    <xf numFmtId="3" fontId="44" fillId="5" borderId="6" xfId="0" applyNumberFormat="1" applyFont="1" applyFill="1" applyBorder="1" applyAlignment="1">
      <alignment horizontal="center" vertical="top" wrapText="1"/>
      <protection locked="0"/>
    </xf>
    <xf numFmtId="49" fontId="4" fillId="5" borderId="2" xfId="0" applyNumberFormat="1" applyFont="1" applyFill="1" applyBorder="1" applyAlignment="1">
      <alignment horizontal="center" vertical="top" wrapText="1"/>
      <protection locked="0"/>
    </xf>
    <xf numFmtId="0" fontId="44" fillId="5" borderId="2" xfId="0" applyFont="1" applyFill="1" applyBorder="1" applyAlignment="1">
      <alignment vertical="top" wrapText="1"/>
      <protection locked="0"/>
    </xf>
    <xf numFmtId="0" fontId="4" fillId="5" borderId="2" xfId="0" applyFont="1" applyFill="1" applyBorder="1" applyAlignment="1">
      <alignment horizontal="center" vertical="top" wrapText="1"/>
      <protection locked="0"/>
    </xf>
    <xf numFmtId="168" fontId="44" fillId="5" borderId="2" xfId="0" applyNumberFormat="1" applyFont="1" applyFill="1" applyBorder="1" applyAlignment="1">
      <alignment horizontal="right" vertical="top" wrapText="1"/>
      <protection locked="0"/>
    </xf>
    <xf numFmtId="168" fontId="4" fillId="5" borderId="2" xfId="0" applyNumberFormat="1" applyFont="1" applyFill="1" applyBorder="1" applyAlignment="1">
      <alignment horizontal="center" vertical="top" wrapText="1"/>
      <protection locked="0"/>
    </xf>
    <xf numFmtId="3" fontId="4" fillId="5" borderId="2" xfId="0" applyNumberFormat="1" applyFont="1" applyFill="1" applyBorder="1" applyAlignment="1">
      <alignment horizontal="center" vertical="top" wrapText="1"/>
      <protection locked="0"/>
    </xf>
    <xf numFmtId="3" fontId="44" fillId="5" borderId="2" xfId="0" applyNumberFormat="1" applyFont="1" applyFill="1" applyBorder="1" applyAlignment="1">
      <alignment horizontal="right" vertical="top" wrapText="1"/>
      <protection locked="0"/>
    </xf>
    <xf numFmtId="169" fontId="4" fillId="5" borderId="2" xfId="0" applyNumberFormat="1" applyFont="1" applyFill="1" applyBorder="1" applyAlignment="1">
      <alignment horizontal="center" vertical="top" wrapText="1"/>
      <protection locked="0"/>
    </xf>
    <xf numFmtId="164" fontId="44" fillId="5" borderId="0" xfId="0" applyNumberFormat="1" applyFont="1" applyFill="1" applyAlignment="1">
      <alignment vertical="top" wrapText="1"/>
      <protection locked="0"/>
    </xf>
    <xf numFmtId="165" fontId="44" fillId="5" borderId="0" xfId="0" applyNumberFormat="1" applyFont="1" applyFill="1" applyAlignment="1">
      <alignment vertical="top" wrapText="1"/>
      <protection locked="0"/>
    </xf>
    <xf numFmtId="166" fontId="44" fillId="5" borderId="0" xfId="0" applyNumberFormat="1" applyFont="1" applyFill="1" applyAlignment="1">
      <alignment vertical="top" wrapText="1"/>
      <protection locked="0"/>
    </xf>
    <xf numFmtId="0" fontId="4" fillId="5" borderId="0" xfId="0" applyFont="1" applyFill="1" applyAlignment="1">
      <alignment vertical="top"/>
      <protection locked="0"/>
    </xf>
    <xf numFmtId="0" fontId="4" fillId="5" borderId="4" xfId="0" applyFont="1" applyFill="1" applyBorder="1" applyAlignment="1">
      <alignment horizontal="center" vertical="center" wrapText="1"/>
      <protection locked="0"/>
    </xf>
    <xf numFmtId="3" fontId="44" fillId="5" borderId="4" xfId="0" applyNumberFormat="1" applyFont="1" applyFill="1" applyBorder="1" applyAlignment="1">
      <alignment horizontal="center" vertical="top" wrapText="1"/>
      <protection locked="0"/>
    </xf>
    <xf numFmtId="49" fontId="4" fillId="5" borderId="4" xfId="0" applyNumberFormat="1" applyFont="1" applyFill="1" applyBorder="1" applyAlignment="1">
      <alignment horizontal="center" vertical="top" wrapText="1"/>
      <protection locked="0"/>
    </xf>
    <xf numFmtId="0" fontId="44" fillId="5" borderId="4" xfId="0" applyFont="1" applyFill="1" applyBorder="1" applyAlignment="1">
      <alignment vertical="top" wrapText="1"/>
      <protection locked="0"/>
    </xf>
    <xf numFmtId="0" fontId="4" fillId="5" borderId="4" xfId="0" applyFont="1" applyFill="1" applyBorder="1" applyAlignment="1">
      <alignment horizontal="center" vertical="top" wrapText="1"/>
      <protection locked="0"/>
    </xf>
    <xf numFmtId="168" fontId="44" fillId="5" borderId="4" xfId="0" applyNumberFormat="1" applyFont="1" applyFill="1" applyBorder="1" applyAlignment="1">
      <alignment horizontal="right" vertical="top" wrapText="1"/>
      <protection locked="0"/>
    </xf>
    <xf numFmtId="168" fontId="4" fillId="5" borderId="4" xfId="0" applyNumberFormat="1" applyFont="1" applyFill="1" applyBorder="1" applyAlignment="1">
      <alignment horizontal="center" vertical="top" wrapText="1"/>
      <protection locked="0"/>
    </xf>
    <xf numFmtId="3" fontId="4" fillId="5" borderId="4" xfId="0" applyNumberFormat="1" applyFont="1" applyFill="1" applyBorder="1" applyAlignment="1">
      <alignment horizontal="center" vertical="top" wrapText="1"/>
      <protection locked="0"/>
    </xf>
    <xf numFmtId="3" fontId="44" fillId="5" borderId="4" xfId="0" applyNumberFormat="1" applyFont="1" applyFill="1" applyBorder="1" applyAlignment="1">
      <alignment horizontal="right" vertical="top" wrapText="1"/>
      <protection locked="0"/>
    </xf>
    <xf numFmtId="168" fontId="4" fillId="5" borderId="4" xfId="0" applyNumberFormat="1" applyFont="1" applyFill="1" applyBorder="1" applyAlignment="1">
      <alignment horizontal="right" vertical="top" wrapText="1"/>
      <protection locked="0"/>
    </xf>
    <xf numFmtId="49" fontId="44" fillId="5" borderId="4" xfId="0" applyNumberFormat="1" applyFont="1" applyFill="1" applyBorder="1" applyAlignment="1">
      <alignment horizontal="center" vertical="top" wrapText="1"/>
      <protection locked="0"/>
    </xf>
    <xf numFmtId="0" fontId="44" fillId="5" borderId="4" xfId="0" applyFont="1" applyFill="1" applyBorder="1" applyAlignment="1">
      <alignment horizontal="center" vertical="top" wrapText="1"/>
      <protection locked="0"/>
    </xf>
    <xf numFmtId="0" fontId="4" fillId="5" borderId="4" xfId="0" applyFont="1" applyFill="1" applyBorder="1" applyAlignment="1">
      <alignment horizontal="left" vertical="top" wrapText="1"/>
      <protection locked="0"/>
    </xf>
    <xf numFmtId="0" fontId="44" fillId="5" borderId="4" xfId="0" applyFont="1" applyFill="1" applyBorder="1" applyAlignment="1">
      <alignment horizontal="left" vertical="top" wrapText="1"/>
      <protection locked="0"/>
    </xf>
    <xf numFmtId="0" fontId="31" fillId="5" borderId="4" xfId="0" applyFont="1" applyFill="1" applyBorder="1" applyAlignment="1">
      <alignment horizontal="left" vertical="top" wrapText="1"/>
      <protection locked="0"/>
    </xf>
    <xf numFmtId="0" fontId="48" fillId="5" borderId="4" xfId="0" applyFont="1" applyFill="1" applyBorder="1" applyAlignment="1">
      <alignment horizontal="left" vertical="top" wrapText="1"/>
      <protection locked="0"/>
    </xf>
    <xf numFmtId="0" fontId="4" fillId="0" borderId="0" xfId="0" applyFont="1" applyAlignment="1">
      <alignment horizontal="center" vertical="top"/>
      <protection locked="0"/>
    </xf>
    <xf numFmtId="0" fontId="48" fillId="0" borderId="0" xfId="0" applyFont="1" applyAlignment="1" applyProtection="1">
      <alignment horizontal="left"/>
    </xf>
    <xf numFmtId="0" fontId="48" fillId="0" borderId="0" xfId="0" applyFont="1" applyAlignment="1" applyProtection="1">
      <alignment horizontal="center" vertical="center"/>
    </xf>
    <xf numFmtId="0" fontId="48" fillId="0" borderId="0" xfId="0" applyFont="1" applyAlignment="1" applyProtection="1">
      <alignment horizontal="right" vertical="center"/>
    </xf>
    <xf numFmtId="0" fontId="48" fillId="0" borderId="0" xfId="0" applyFont="1" applyAlignment="1" applyProtection="1">
      <alignment horizontal="right"/>
    </xf>
    <xf numFmtId="0" fontId="48" fillId="0" borderId="0" xfId="0" applyFont="1" applyAlignment="1" applyProtection="1">
      <alignment horizontal="center"/>
    </xf>
    <xf numFmtId="0" fontId="4" fillId="0" borderId="0" xfId="0" applyFont="1" applyAlignment="1" applyProtection="1">
      <alignment wrapText="1"/>
    </xf>
    <xf numFmtId="0" fontId="4" fillId="0" borderId="0" xfId="0" applyFont="1" applyAlignment="1" applyProtection="1">
      <alignment horizontal="left" wrapText="1"/>
    </xf>
    <xf numFmtId="0" fontId="4" fillId="0" borderId="0" xfId="0" applyFont="1" applyAlignment="1" applyProtection="1">
      <alignment vertical="center" wrapText="1"/>
    </xf>
    <xf numFmtId="0" fontId="4" fillId="0" borderId="0" xfId="0" applyFont="1" applyAlignment="1" applyProtection="1">
      <alignment horizontal="right" vertical="center" wrapText="1"/>
    </xf>
    <xf numFmtId="0" fontId="4" fillId="0" borderId="0" xfId="0" applyFont="1" applyAlignment="1" applyProtection="1">
      <alignment horizontal="right" wrapText="1"/>
    </xf>
    <xf numFmtId="0" fontId="4" fillId="5" borderId="0" xfId="0" applyFont="1" applyFill="1" applyAlignment="1" applyProtection="1">
      <alignment horizontal="left"/>
    </xf>
    <xf numFmtId="0" fontId="4" fillId="5" borderId="0" xfId="0" applyFont="1" applyFill="1" applyAlignment="1" applyProtection="1">
      <alignment vertical="center"/>
    </xf>
    <xf numFmtId="177" fontId="4" fillId="5" borderId="0" xfId="0" applyNumberFormat="1" applyFont="1" applyFill="1" applyAlignment="1" applyProtection="1">
      <alignment horizontal="right" vertical="center"/>
    </xf>
    <xf numFmtId="1" fontId="4" fillId="5" borderId="0" xfId="0" applyNumberFormat="1" applyFont="1" applyFill="1" applyAlignment="1" applyProtection="1">
      <alignment horizontal="right"/>
    </xf>
    <xf numFmtId="3" fontId="4" fillId="5" borderId="0" xfId="0" applyNumberFormat="1" applyFont="1" applyFill="1" applyAlignment="1" applyProtection="1">
      <alignment horizontal="right"/>
    </xf>
    <xf numFmtId="0" fontId="4" fillId="5" borderId="0" xfId="0" applyFont="1" applyFill="1" applyProtection="1"/>
    <xf numFmtId="0" fontId="4" fillId="0" borderId="4" xfId="0" applyFont="1" applyBorder="1" applyAlignment="1">
      <alignment horizontal="center" vertical="center"/>
      <protection locked="0"/>
    </xf>
    <xf numFmtId="49" fontId="4" fillId="5" borderId="8" xfId="0" applyNumberFormat="1" applyFont="1" applyFill="1" applyBorder="1" applyAlignment="1">
      <alignment horizontal="center" vertical="center"/>
      <protection locked="0"/>
    </xf>
    <xf numFmtId="0" fontId="4" fillId="5" borderId="8" xfId="0" applyFont="1" applyFill="1" applyBorder="1" applyAlignment="1">
      <alignment vertical="top" wrapText="1"/>
      <protection locked="0"/>
    </xf>
    <xf numFmtId="3" fontId="4" fillId="5" borderId="8" xfId="0" applyNumberFormat="1" applyFont="1" applyFill="1" applyBorder="1" applyAlignment="1">
      <alignment horizontal="right" vertical="center" wrapText="1"/>
      <protection locked="0"/>
    </xf>
    <xf numFmtId="3" fontId="4" fillId="0" borderId="0" xfId="0" applyNumberFormat="1" applyFont="1" applyAlignment="1">
      <alignment vertical="top"/>
      <protection locked="0"/>
    </xf>
    <xf numFmtId="3" fontId="42" fillId="0" borderId="0" xfId="0" applyNumberFormat="1" applyFont="1" applyAlignment="1">
      <alignment vertical="top"/>
      <protection locked="0"/>
    </xf>
    <xf numFmtId="3" fontId="44" fillId="0" borderId="0" xfId="0" applyNumberFormat="1" applyFont="1" applyAlignment="1">
      <alignment vertical="top"/>
      <protection locked="0"/>
    </xf>
    <xf numFmtId="49" fontId="31" fillId="5" borderId="9" xfId="0" applyNumberFormat="1" applyFont="1" applyFill="1" applyBorder="1" applyAlignment="1">
      <alignment horizontal="center" vertical="center"/>
      <protection locked="0"/>
    </xf>
    <xf numFmtId="0" fontId="31" fillId="5" borderId="9" xfId="0" applyFont="1" applyFill="1" applyBorder="1" applyAlignment="1">
      <alignment vertical="center" wrapText="1"/>
      <protection locked="0"/>
    </xf>
    <xf numFmtId="49" fontId="31" fillId="5" borderId="9" xfId="0" applyNumberFormat="1" applyFont="1" applyFill="1" applyBorder="1" applyAlignment="1">
      <alignment horizontal="center" vertical="top" wrapText="1"/>
      <protection locked="0"/>
    </xf>
    <xf numFmtId="3" fontId="31" fillId="5" borderId="9" xfId="0" applyNumberFormat="1" applyFont="1" applyFill="1" applyBorder="1" applyAlignment="1">
      <alignment horizontal="right" vertical="center" wrapText="1"/>
      <protection locked="0"/>
    </xf>
    <xf numFmtId="9" fontId="44" fillId="0" borderId="0" xfId="0" applyNumberFormat="1" applyFont="1" applyAlignment="1">
      <alignment vertical="top"/>
      <protection locked="0"/>
    </xf>
    <xf numFmtId="49" fontId="4" fillId="5" borderId="9" xfId="0" applyNumberFormat="1" applyFont="1" applyFill="1" applyBorder="1" applyAlignment="1">
      <alignment horizontal="center" vertical="top"/>
      <protection locked="0"/>
    </xf>
    <xf numFmtId="0" fontId="4" fillId="5" borderId="9" xfId="0" applyFont="1" applyFill="1" applyBorder="1" applyAlignment="1">
      <alignment vertical="top" wrapText="1"/>
      <protection locked="0"/>
    </xf>
    <xf numFmtId="3" fontId="4" fillId="5" borderId="9" xfId="0" applyNumberFormat="1" applyFont="1" applyFill="1" applyBorder="1" applyAlignment="1">
      <alignment horizontal="right" vertical="center" wrapText="1"/>
      <protection locked="0"/>
    </xf>
    <xf numFmtId="49" fontId="4" fillId="5" borderId="9" xfId="0" applyNumberFormat="1" applyFont="1" applyFill="1" applyBorder="1" applyAlignment="1">
      <alignment horizontal="center" vertical="top" wrapText="1"/>
      <protection locked="0"/>
    </xf>
    <xf numFmtId="0" fontId="44" fillId="0" borderId="0" xfId="0" applyFont="1" applyAlignment="1" applyProtection="1">
      <alignment vertical="top"/>
    </xf>
    <xf numFmtId="3" fontId="44" fillId="0" borderId="0" xfId="0" applyNumberFormat="1" applyFont="1" applyAlignment="1" applyProtection="1">
      <alignment vertical="top"/>
    </xf>
    <xf numFmtId="3" fontId="44" fillId="5" borderId="9" xfId="0" applyNumberFormat="1" applyFont="1" applyFill="1" applyBorder="1" applyAlignment="1">
      <alignment horizontal="right" vertical="center" wrapText="1"/>
      <protection locked="0"/>
    </xf>
    <xf numFmtId="49" fontId="31" fillId="5" borderId="9" xfId="0" applyNumberFormat="1" applyFont="1" applyFill="1" applyBorder="1" applyAlignment="1">
      <alignment horizontal="center" vertical="top"/>
      <protection locked="0"/>
    </xf>
    <xf numFmtId="0" fontId="44" fillId="5" borderId="10" xfId="0" applyFont="1" applyFill="1" applyBorder="1" applyAlignment="1">
      <alignment horizontal="center" vertical="top"/>
      <protection locked="0"/>
    </xf>
    <xf numFmtId="0" fontId="4" fillId="5" borderId="10" xfId="0" applyFont="1" applyFill="1" applyBorder="1" applyAlignment="1">
      <alignment horizontal="center" vertical="top" wrapText="1"/>
      <protection locked="0"/>
    </xf>
    <xf numFmtId="49" fontId="4" fillId="5" borderId="10" xfId="0" applyNumberFormat="1" applyFont="1" applyFill="1" applyBorder="1" applyAlignment="1">
      <alignment horizontal="center" vertical="top" wrapText="1"/>
      <protection locked="0"/>
    </xf>
    <xf numFmtId="3" fontId="4" fillId="5" borderId="10" xfId="0" applyNumberFormat="1" applyFont="1" applyFill="1" applyBorder="1" applyAlignment="1">
      <alignment horizontal="right" vertical="center" wrapText="1"/>
      <protection locked="0"/>
    </xf>
    <xf numFmtId="3" fontId="4" fillId="4" borderId="0" xfId="0" applyNumberFormat="1" applyFont="1" applyFill="1" applyAlignment="1" applyProtection="1">
      <alignment vertical="top"/>
    </xf>
    <xf numFmtId="3" fontId="44" fillId="4" borderId="0" xfId="0" applyNumberFormat="1" applyFont="1" applyFill="1" applyAlignment="1">
      <alignment vertical="top"/>
      <protection locked="0"/>
    </xf>
    <xf numFmtId="3" fontId="4" fillId="0" borderId="0" xfId="0" applyNumberFormat="1" applyFont="1" applyAlignment="1" applyProtection="1">
      <alignment vertical="top"/>
    </xf>
    <xf numFmtId="0" fontId="58" fillId="2" borderId="7" xfId="0" applyFont="1" applyFill="1" applyBorder="1" applyAlignment="1">
      <alignment horizontal="center" vertical="center" wrapText="1"/>
      <protection locked="0"/>
    </xf>
    <xf numFmtId="0" fontId="58" fillId="2" borderId="7" xfId="0" applyFont="1" applyFill="1" applyBorder="1" applyAlignment="1">
      <alignment vertical="center" wrapText="1"/>
      <protection locked="0"/>
    </xf>
    <xf numFmtId="0" fontId="59" fillId="0" borderId="7" xfId="0" applyFont="1" applyBorder="1" applyAlignment="1">
      <alignment horizontal="center" vertical="center"/>
      <protection locked="0"/>
    </xf>
    <xf numFmtId="0" fontId="59" fillId="0" borderId="7" xfId="0" applyFont="1" applyBorder="1" applyAlignment="1">
      <alignment vertical="center" wrapText="1"/>
      <protection locked="0"/>
    </xf>
    <xf numFmtId="0" fontId="59" fillId="0" borderId="7" xfId="0" applyFont="1" applyBorder="1" applyAlignment="1">
      <alignment horizontal="center" vertical="center" wrapText="1"/>
      <protection locked="0"/>
    </xf>
    <xf numFmtId="189" fontId="59" fillId="0" borderId="7" xfId="0" applyNumberFormat="1" applyFont="1" applyBorder="1" applyAlignment="1">
      <alignment vertical="center" wrapText="1"/>
      <protection locked="0"/>
    </xf>
    <xf numFmtId="0" fontId="58" fillId="0" borderId="7" xfId="0" applyFont="1" applyBorder="1" applyAlignment="1">
      <alignment horizontal="center" vertical="center" wrapText="1"/>
      <protection locked="0"/>
    </xf>
    <xf numFmtId="0" fontId="58" fillId="0" borderId="7" xfId="0" applyFont="1" applyBorder="1" applyAlignment="1">
      <alignment vertical="center" wrapText="1"/>
      <protection locked="0"/>
    </xf>
    <xf numFmtId="0" fontId="59" fillId="0" borderId="7" xfId="0" applyFont="1" applyBorder="1" applyAlignment="1">
      <alignment vertical="center"/>
      <protection locked="0"/>
    </xf>
    <xf numFmtId="3" fontId="59" fillId="0" borderId="7" xfId="0" applyNumberFormat="1" applyFont="1" applyBorder="1" applyAlignment="1">
      <alignment vertical="center" wrapText="1"/>
      <protection locked="0"/>
    </xf>
    <xf numFmtId="181" fontId="44" fillId="0" borderId="7" xfId="0" applyNumberFormat="1" applyFont="1" applyFill="1" applyBorder="1" applyAlignment="1" applyProtection="1">
      <alignment horizontal="right" vertical="center"/>
    </xf>
    <xf numFmtId="0" fontId="4" fillId="0" borderId="0" xfId="0" applyFont="1" applyAlignment="1" applyProtection="1">
      <alignment horizontal="left" vertical="center"/>
    </xf>
    <xf numFmtId="190" fontId="44" fillId="0" borderId="7" xfId="0" applyNumberFormat="1" applyFont="1" applyFill="1" applyBorder="1" applyAlignment="1" applyProtection="1">
      <alignment horizontal="right" vertical="center"/>
    </xf>
    <xf numFmtId="191" fontId="44" fillId="0" borderId="7" xfId="0" applyNumberFormat="1" applyFont="1" applyFill="1" applyBorder="1" applyAlignment="1" applyProtection="1">
      <alignment horizontal="right" vertical="center"/>
    </xf>
    <xf numFmtId="192" fontId="44" fillId="0" borderId="7" xfId="0" applyNumberFormat="1" applyFont="1" applyFill="1" applyBorder="1" applyAlignment="1" applyProtection="1">
      <alignment horizontal="right" vertical="center"/>
    </xf>
    <xf numFmtId="192" fontId="57" fillId="0" borderId="7" xfId="0" applyNumberFormat="1" applyFont="1" applyFill="1" applyBorder="1" applyAlignment="1" applyProtection="1">
      <alignment horizontal="right" vertical="center"/>
    </xf>
    <xf numFmtId="0" fontId="58" fillId="5" borderId="7" xfId="0" applyFont="1" applyFill="1" applyBorder="1" applyAlignment="1">
      <alignment horizontal="center" vertical="center" wrapText="1"/>
      <protection locked="0"/>
    </xf>
    <xf numFmtId="0" fontId="58" fillId="5" borderId="7" xfId="0" applyFont="1" applyFill="1" applyBorder="1" applyAlignment="1">
      <alignment vertical="center" wrapText="1"/>
      <protection locked="0"/>
    </xf>
    <xf numFmtId="2" fontId="4" fillId="0" borderId="0" xfId="0" applyNumberFormat="1" applyFont="1" applyAlignment="1" applyProtection="1">
      <alignment vertical="center"/>
    </xf>
    <xf numFmtId="0" fontId="57" fillId="0" borderId="7" xfId="0" applyFont="1" applyBorder="1" applyAlignment="1" applyProtection="1">
      <alignment horizontal="center" vertical="center"/>
    </xf>
    <xf numFmtId="177" fontId="60" fillId="0" borderId="7" xfId="0" applyNumberFormat="1" applyFont="1" applyBorder="1" applyAlignment="1" applyProtection="1">
      <alignment vertical="center"/>
    </xf>
    <xf numFmtId="2" fontId="60" fillId="0" borderId="7" xfId="0" applyNumberFormat="1" applyFont="1" applyBorder="1" applyAlignment="1" applyProtection="1">
      <alignment vertical="center"/>
    </xf>
    <xf numFmtId="0" fontId="60" fillId="0" borderId="7" xfId="0" applyFont="1" applyBorder="1" applyAlignment="1" applyProtection="1">
      <alignment vertical="center" wrapText="1"/>
    </xf>
    <xf numFmtId="0" fontId="60" fillId="0" borderId="7" xfId="0" applyFont="1" applyBorder="1" applyAlignment="1" applyProtection="1">
      <alignment vertical="center"/>
    </xf>
    <xf numFmtId="0" fontId="4" fillId="5" borderId="7" xfId="0" applyFont="1" applyFill="1" applyBorder="1" applyAlignment="1">
      <alignment horizontal="center" vertical="center" wrapText="1"/>
      <protection locked="0"/>
    </xf>
    <xf numFmtId="0" fontId="61" fillId="0" borderId="7" xfId="0" applyFont="1" applyBorder="1" applyAlignment="1" applyProtection="1">
      <alignment vertical="center" wrapText="1"/>
    </xf>
    <xf numFmtId="0" fontId="44" fillId="0" borderId="7" xfId="0" applyFont="1" applyBorder="1" applyAlignment="1">
      <alignment horizontal="center" vertical="center" wrapText="1"/>
      <protection locked="0"/>
    </xf>
    <xf numFmtId="0" fontId="60" fillId="0" borderId="7" xfId="0" applyFont="1" applyBorder="1" applyAlignment="1" applyProtection="1">
      <alignment horizontal="center" vertical="center" wrapText="1"/>
    </xf>
    <xf numFmtId="0" fontId="4" fillId="0" borderId="7" xfId="0" applyFont="1" applyBorder="1" applyAlignment="1">
      <alignment horizontal="center" vertical="center" wrapText="1"/>
      <protection locked="0"/>
    </xf>
    <xf numFmtId="0" fontId="62" fillId="0" borderId="7" xfId="0" applyFont="1" applyBorder="1" applyAlignment="1" applyProtection="1">
      <alignment vertical="center" wrapText="1"/>
    </xf>
    <xf numFmtId="0" fontId="62" fillId="5" borderId="7" xfId="0" applyFont="1" applyFill="1" applyBorder="1" applyAlignment="1" applyProtection="1">
      <alignment vertical="center" wrapText="1"/>
    </xf>
    <xf numFmtId="0" fontId="60" fillId="5" borderId="7" xfId="0" applyFont="1" applyFill="1" applyBorder="1" applyAlignment="1" applyProtection="1">
      <alignment horizontal="center" vertical="center" wrapText="1"/>
    </xf>
    <xf numFmtId="0" fontId="4" fillId="0" borderId="0" xfId="3" applyFont="1" applyAlignment="1" applyProtection="1">
      <alignment horizontal="right" vertical="center" wrapText="1"/>
    </xf>
    <xf numFmtId="0" fontId="44" fillId="0" borderId="0" xfId="3" applyFont="1" applyProtection="1"/>
    <xf numFmtId="0" fontId="4" fillId="0" borderId="7" xfId="3" applyFont="1" applyBorder="1" applyAlignment="1" applyProtection="1">
      <alignment horizontal="center" vertical="center" wrapText="1"/>
    </xf>
    <xf numFmtId="193" fontId="4" fillId="0" borderId="7" xfId="3" applyNumberFormat="1" applyFont="1" applyBorder="1" applyAlignment="1" applyProtection="1">
      <alignment horizontal="center" vertical="center" wrapText="1"/>
    </xf>
    <xf numFmtId="194" fontId="4" fillId="0" borderId="7" xfId="3" applyNumberFormat="1" applyFont="1" applyBorder="1" applyAlignment="1" applyProtection="1">
      <alignment horizontal="right" vertical="center" wrapText="1"/>
    </xf>
    <xf numFmtId="4" fontId="4" fillId="0" borderId="0" xfId="3" applyNumberFormat="1" applyFont="1" applyAlignment="1" applyProtection="1">
      <alignment horizontal="right" vertical="center" wrapText="1"/>
    </xf>
    <xf numFmtId="0" fontId="4" fillId="0" borderId="0" xfId="3" applyFont="1" applyAlignment="1" applyProtection="1">
      <alignment horizontal="center" vertical="center" wrapText="1"/>
    </xf>
    <xf numFmtId="193" fontId="44" fillId="0" borderId="7" xfId="3" applyNumberFormat="1" applyFont="1" applyBorder="1" applyAlignment="1" applyProtection="1">
      <alignment horizontal="center" vertical="center" wrapText="1"/>
    </xf>
    <xf numFmtId="195" fontId="44" fillId="0" borderId="7" xfId="3" applyNumberFormat="1" applyFont="1" applyBorder="1" applyAlignment="1" applyProtection="1">
      <alignment horizontal="right" vertical="center" wrapText="1"/>
    </xf>
    <xf numFmtId="0" fontId="44" fillId="0" borderId="0" xfId="3" applyFont="1" applyAlignment="1" applyProtection="1">
      <alignment horizontal="center" vertical="center" wrapText="1"/>
    </xf>
    <xf numFmtId="195" fontId="44" fillId="0" borderId="7" xfId="1" applyNumberFormat="1" applyFont="1" applyFill="1" applyBorder="1" applyAlignment="1">
      <alignment horizontal="right" vertical="center" wrapText="1"/>
    </xf>
    <xf numFmtId="0" fontId="48" fillId="0" borderId="0" xfId="3" applyFont="1" applyAlignment="1" applyProtection="1">
      <alignment horizontal="center" vertical="center" wrapText="1"/>
    </xf>
    <xf numFmtId="2" fontId="44" fillId="0" borderId="0" xfId="3" applyNumberFormat="1" applyFont="1" applyAlignment="1" applyProtection="1">
      <alignment horizontal="center" vertical="center" wrapText="1"/>
    </xf>
    <xf numFmtId="0" fontId="44" fillId="0" borderId="7" xfId="0" applyFont="1" applyBorder="1" applyAlignment="1">
      <alignment horizontal="center" vertical="center"/>
      <protection locked="0"/>
    </xf>
    <xf numFmtId="0" fontId="44" fillId="0" borderId="7" xfId="0" applyFont="1" applyBorder="1" applyAlignment="1">
      <alignment vertical="center" wrapText="1"/>
      <protection locked="0"/>
    </xf>
    <xf numFmtId="0" fontId="44" fillId="0" borderId="11" xfId="3" applyFont="1" applyBorder="1" applyAlignment="1" applyProtection="1">
      <alignment horizontal="center"/>
    </xf>
    <xf numFmtId="2" fontId="44" fillId="0" borderId="11" xfId="3" applyNumberFormat="1" applyFont="1" applyBorder="1" applyProtection="1"/>
    <xf numFmtId="2" fontId="44" fillId="0" borderId="11" xfId="3" applyNumberFormat="1" applyFont="1" applyBorder="1" applyAlignment="1" applyProtection="1">
      <alignment horizontal="center"/>
    </xf>
    <xf numFmtId="193" fontId="44" fillId="0" borderId="11" xfId="3" applyNumberFormat="1" applyFont="1" applyBorder="1" applyAlignment="1" applyProtection="1">
      <alignment horizontal="center" vertical="center"/>
    </xf>
    <xf numFmtId="194" fontId="44" fillId="0" borderId="11" xfId="3" applyNumberFormat="1" applyFont="1" applyBorder="1" applyAlignment="1" applyProtection="1">
      <alignment horizontal="right"/>
    </xf>
    <xf numFmtId="2" fontId="44" fillId="0" borderId="0" xfId="3" applyNumberFormat="1" applyFont="1" applyAlignment="1" applyProtection="1">
      <alignment horizontal="right"/>
    </xf>
    <xf numFmtId="2" fontId="44" fillId="0" borderId="0" xfId="3" applyNumberFormat="1" applyFont="1" applyProtection="1"/>
    <xf numFmtId="0" fontId="44" fillId="0" borderId="0" xfId="3" applyFont="1" applyAlignment="1" applyProtection="1">
      <alignment horizontal="center"/>
    </xf>
    <xf numFmtId="2" fontId="4" fillId="0" borderId="0" xfId="3" applyNumberFormat="1" applyFont="1" applyAlignment="1" applyProtection="1">
      <alignment horizontal="center"/>
    </xf>
    <xf numFmtId="2" fontId="44" fillId="0" borderId="0" xfId="3" applyNumberFormat="1" applyFont="1" applyAlignment="1" applyProtection="1">
      <alignment horizontal="center"/>
    </xf>
    <xf numFmtId="193" fontId="44" fillId="0" borderId="0" xfId="3" applyNumberFormat="1" applyFont="1" applyAlignment="1" applyProtection="1">
      <alignment horizontal="center" vertical="center"/>
    </xf>
    <xf numFmtId="194" fontId="44" fillId="0" borderId="0" xfId="3" applyNumberFormat="1" applyFont="1" applyAlignment="1" applyProtection="1">
      <alignment horizontal="right"/>
    </xf>
    <xf numFmtId="2" fontId="4" fillId="0" borderId="0" xfId="3" applyNumberFormat="1" applyFont="1" applyAlignment="1" applyProtection="1">
      <alignment horizontal="center" vertical="center"/>
    </xf>
    <xf numFmtId="0" fontId="44" fillId="5" borderId="7" xfId="0" applyFont="1" applyFill="1" applyBorder="1" applyAlignment="1">
      <alignment horizontal="center" vertical="center" wrapText="1"/>
      <protection locked="0"/>
    </xf>
    <xf numFmtId="0" fontId="60" fillId="5" borderId="7" xfId="0" applyFont="1" applyFill="1" applyBorder="1" applyAlignment="1" applyProtection="1">
      <alignment vertical="center" wrapText="1"/>
    </xf>
    <xf numFmtId="0" fontId="60" fillId="5" borderId="7" xfId="0" applyFont="1" applyFill="1" applyBorder="1" applyAlignment="1" applyProtection="1">
      <alignment vertical="center"/>
    </xf>
    <xf numFmtId="0" fontId="60" fillId="0" borderId="0" xfId="0" applyFont="1" applyBorder="1" applyAlignment="1" applyProtection="1">
      <alignment vertical="center"/>
    </xf>
    <xf numFmtId="0" fontId="44" fillId="0" borderId="7" xfId="0" applyFont="1" applyBorder="1" applyAlignment="1" applyProtection="1">
      <alignment horizontal="center" vertical="center" wrapText="1"/>
    </xf>
    <xf numFmtId="0" fontId="57" fillId="0" borderId="7" xfId="0" applyFont="1" applyBorder="1" applyAlignment="1">
      <alignment horizontal="center" vertical="center" wrapText="1"/>
      <protection locked="0"/>
    </xf>
    <xf numFmtId="0" fontId="57" fillId="0" borderId="7" xfId="0" applyFont="1" applyBorder="1" applyAlignment="1" applyProtection="1">
      <alignment vertical="center" wrapText="1"/>
    </xf>
    <xf numFmtId="0" fontId="57" fillId="0" borderId="7" xfId="0" applyFont="1" applyBorder="1" applyAlignment="1" applyProtection="1">
      <alignment horizontal="center" vertical="center" wrapText="1"/>
    </xf>
    <xf numFmtId="0" fontId="60" fillId="0" borderId="7" xfId="0" applyFont="1" applyBorder="1" applyAlignment="1" applyProtection="1">
      <alignment horizontal="center" vertical="center"/>
    </xf>
    <xf numFmtId="0" fontId="57" fillId="5" borderId="7" xfId="0" applyFont="1" applyFill="1" applyBorder="1" applyAlignment="1">
      <alignment horizontal="center" vertical="center" wrapText="1"/>
      <protection locked="0"/>
    </xf>
    <xf numFmtId="0" fontId="57" fillId="5" borderId="7" xfId="0" applyFont="1" applyFill="1" applyBorder="1" applyAlignment="1" applyProtection="1">
      <alignment vertical="center" wrapText="1"/>
    </xf>
    <xf numFmtId="0" fontId="57" fillId="5" borderId="7" xfId="0" applyFont="1" applyFill="1" applyBorder="1" applyAlignment="1" applyProtection="1">
      <alignment horizontal="center" vertical="center" wrapText="1"/>
    </xf>
    <xf numFmtId="0" fontId="57" fillId="5" borderId="7" xfId="0" applyFont="1" applyFill="1" applyBorder="1" applyAlignment="1" applyProtection="1">
      <alignment vertical="center"/>
    </xf>
    <xf numFmtId="0" fontId="63" fillId="0" borderId="7" xfId="0" applyFont="1" applyBorder="1" applyAlignment="1">
      <alignment horizontal="center" vertical="center" wrapText="1"/>
      <protection locked="0"/>
    </xf>
    <xf numFmtId="0" fontId="63" fillId="0" borderId="7" xfId="0" applyFont="1" applyBorder="1" applyAlignment="1" applyProtection="1">
      <alignment vertical="center" wrapText="1"/>
    </xf>
    <xf numFmtId="0" fontId="63" fillId="0" borderId="7" xfId="0" applyFont="1" applyBorder="1" applyAlignment="1" applyProtection="1">
      <alignment horizontal="center" vertical="center" wrapText="1"/>
    </xf>
    <xf numFmtId="0" fontId="63" fillId="0" borderId="7" xfId="0" applyFont="1" applyBorder="1" applyAlignment="1" applyProtection="1">
      <alignment vertical="center"/>
    </xf>
    <xf numFmtId="177" fontId="63" fillId="0" borderId="7" xfId="0" applyNumberFormat="1" applyFont="1" applyBorder="1" applyAlignment="1" applyProtection="1">
      <alignment vertical="center"/>
    </xf>
    <xf numFmtId="0" fontId="63" fillId="0" borderId="7" xfId="0" applyFont="1" applyBorder="1" applyAlignment="1" applyProtection="1">
      <alignment horizontal="center" vertical="center"/>
    </xf>
    <xf numFmtId="2" fontId="63" fillId="0" borderId="7" xfId="0" applyNumberFormat="1" applyFont="1" applyBorder="1" applyAlignment="1" applyProtection="1">
      <alignment vertical="center"/>
    </xf>
    <xf numFmtId="0" fontId="63" fillId="0" borderId="0" xfId="0" applyFont="1" applyBorder="1" applyAlignment="1" applyProtection="1">
      <alignment vertical="center"/>
    </xf>
    <xf numFmtId="0" fontId="64" fillId="0" borderId="7" xfId="0" applyFont="1" applyBorder="1" applyAlignment="1">
      <alignment horizontal="center" vertical="center" wrapText="1"/>
      <protection locked="0"/>
    </xf>
    <xf numFmtId="0" fontId="64" fillId="5" borderId="7" xfId="0" applyFont="1" applyFill="1" applyBorder="1" applyAlignment="1" applyProtection="1">
      <alignment vertical="center" wrapText="1"/>
    </xf>
    <xf numFmtId="0" fontId="64" fillId="0" borderId="7" xfId="0" applyFont="1" applyBorder="1" applyAlignment="1" applyProtection="1">
      <alignment vertical="center" wrapText="1"/>
    </xf>
    <xf numFmtId="0" fontId="63" fillId="5" borderId="7" xfId="0" applyFont="1" applyFill="1" applyBorder="1" applyAlignment="1" applyProtection="1">
      <alignment vertical="center"/>
    </xf>
    <xf numFmtId="0" fontId="4" fillId="0" borderId="7" xfId="0" applyFont="1" applyFill="1" applyBorder="1" applyAlignment="1" applyProtection="1">
      <alignment horizontal="center" vertical="center" wrapText="1"/>
    </xf>
    <xf numFmtId="0" fontId="4" fillId="5" borderId="7" xfId="4" applyFont="1" applyFill="1" applyBorder="1" applyAlignment="1" applyProtection="1">
      <alignment horizontal="center" vertical="center" wrapText="1"/>
    </xf>
    <xf numFmtId="0" fontId="44" fillId="5" borderId="7" xfId="4" applyFont="1" applyFill="1" applyBorder="1" applyAlignment="1" applyProtection="1">
      <alignment horizontal="center" vertical="center" wrapText="1"/>
    </xf>
    <xf numFmtId="0" fontId="60" fillId="0" borderId="7" xfId="5" applyFont="1" applyBorder="1" applyAlignment="1">
      <alignment horizontal="right" vertical="center" wrapText="1"/>
    </xf>
    <xf numFmtId="3" fontId="60" fillId="0" borderId="7" xfId="5" applyNumberFormat="1" applyFont="1" applyBorder="1" applyAlignment="1">
      <alignment horizontal="right" vertical="center" wrapText="1"/>
    </xf>
    <xf numFmtId="4" fontId="60" fillId="0" borderId="7" xfId="5" applyNumberFormat="1" applyFont="1" applyBorder="1" applyAlignment="1">
      <alignment horizontal="right" vertical="center" wrapText="1"/>
    </xf>
    <xf numFmtId="0" fontId="57" fillId="5" borderId="7" xfId="5" applyFont="1" applyFill="1" applyBorder="1" applyAlignment="1">
      <alignment horizontal="right" vertical="center" wrapText="1"/>
    </xf>
    <xf numFmtId="0" fontId="60" fillId="5" borderId="7" xfId="5" applyFont="1" applyFill="1" applyBorder="1" applyAlignment="1">
      <alignment horizontal="right" vertical="center" wrapText="1"/>
    </xf>
    <xf numFmtId="0" fontId="61" fillId="0" borderId="7" xfId="5" applyFont="1" applyBorder="1" applyAlignment="1">
      <alignment horizontal="right" vertical="center" wrapText="1"/>
    </xf>
    <xf numFmtId="0" fontId="67" fillId="0" borderId="7" xfId="6" quotePrefix="1" applyFont="1" applyBorder="1" applyAlignment="1">
      <alignment horizontal="center" vertical="center" wrapText="1"/>
    </xf>
    <xf numFmtId="0" fontId="67" fillId="0" borderId="7" xfId="6" quotePrefix="1" applyFont="1" applyBorder="1" applyAlignment="1">
      <alignment vertical="center"/>
    </xf>
    <xf numFmtId="0" fontId="4" fillId="5" borderId="7" xfId="4" applyFont="1" applyFill="1" applyBorder="1" applyAlignment="1" applyProtection="1">
      <alignment vertical="center" wrapText="1"/>
    </xf>
    <xf numFmtId="0" fontId="44" fillId="5" borderId="7" xfId="4" applyFont="1" applyFill="1" applyBorder="1" applyAlignment="1" applyProtection="1">
      <alignment vertical="center" wrapText="1"/>
    </xf>
    <xf numFmtId="0" fontId="4" fillId="5" borderId="7" xfId="0" applyFont="1" applyFill="1" applyBorder="1" applyAlignment="1" applyProtection="1">
      <alignment vertical="center"/>
    </xf>
    <xf numFmtId="196" fontId="44" fillId="5" borderId="7" xfId="0" applyNumberFormat="1" applyFont="1" applyFill="1" applyBorder="1" applyAlignment="1" applyProtection="1">
      <alignment horizontal="right" vertical="center" wrapText="1"/>
    </xf>
    <xf numFmtId="0" fontId="44" fillId="5" borderId="7" xfId="5" applyFont="1" applyFill="1" applyBorder="1" applyAlignment="1">
      <alignment horizontal="right" vertical="center" wrapText="1"/>
    </xf>
    <xf numFmtId="196" fontId="70" fillId="5" borderId="7" xfId="0" applyNumberFormat="1" applyFont="1" applyFill="1" applyBorder="1" applyAlignment="1" applyProtection="1">
      <alignment horizontal="right" vertical="center" wrapText="1"/>
    </xf>
    <xf numFmtId="0" fontId="44" fillId="0" borderId="7" xfId="3" applyFont="1" applyBorder="1" applyAlignment="1" applyProtection="1">
      <alignment horizontal="center" vertical="center" wrapText="1"/>
    </xf>
    <xf numFmtId="0" fontId="48" fillId="0" borderId="7" xfId="3" applyFont="1" applyBorder="1" applyAlignment="1" applyProtection="1">
      <alignment horizontal="center" vertical="center" wrapText="1"/>
    </xf>
    <xf numFmtId="0" fontId="47" fillId="0" borderId="0" xfId="0" applyFont="1" applyAlignment="1" applyProtection="1">
      <alignment vertical="center"/>
    </xf>
    <xf numFmtId="0" fontId="71" fillId="0" borderId="0" xfId="0" applyFont="1" applyAlignment="1" applyProtection="1">
      <alignment vertical="center"/>
    </xf>
    <xf numFmtId="0" fontId="42" fillId="0" borderId="15" xfId="0" applyFont="1" applyBorder="1" applyAlignment="1" applyProtection="1">
      <alignment horizontal="center" vertical="center" wrapText="1"/>
    </xf>
    <xf numFmtId="0" fontId="42" fillId="0" borderId="7" xfId="0" applyFont="1" applyBorder="1" applyAlignment="1" applyProtection="1">
      <alignment horizontal="center" vertical="center" wrapText="1"/>
    </xf>
    <xf numFmtId="0" fontId="47" fillId="0" borderId="7" xfId="0" applyFont="1" applyBorder="1" applyAlignment="1" applyProtection="1">
      <alignment vertical="center"/>
    </xf>
    <xf numFmtId="0" fontId="47" fillId="0" borderId="7" xfId="0" applyFont="1" applyBorder="1" applyAlignment="1" applyProtection="1">
      <alignment horizontal="center" vertical="center" wrapText="1"/>
    </xf>
    <xf numFmtId="0" fontId="47" fillId="0" borderId="7" xfId="0" applyFont="1" applyBorder="1" applyAlignment="1" applyProtection="1">
      <alignment horizontal="left" vertical="center" wrapText="1"/>
    </xf>
    <xf numFmtId="3" fontId="47" fillId="0" borderId="7" xfId="0" applyNumberFormat="1" applyFont="1" applyBorder="1" applyAlignment="1" applyProtection="1">
      <alignment horizontal="right" vertical="center" wrapText="1"/>
    </xf>
    <xf numFmtId="0" fontId="47" fillId="0" borderId="7" xfId="0" applyFont="1" applyBorder="1" applyAlignment="1" applyProtection="1">
      <alignment horizontal="center" vertical="center"/>
    </xf>
    <xf numFmtId="3" fontId="47" fillId="0" borderId="0" xfId="0" applyNumberFormat="1" applyFont="1" applyAlignment="1" applyProtection="1">
      <alignment vertical="center"/>
    </xf>
    <xf numFmtId="0" fontId="42" fillId="0" borderId="0" xfId="0" applyFont="1" applyAlignment="1" applyProtection="1">
      <alignment vertical="center"/>
    </xf>
    <xf numFmtId="9" fontId="47" fillId="0" borderId="0" xfId="0" applyNumberFormat="1" applyFont="1" applyAlignment="1" applyProtection="1">
      <alignment vertical="center"/>
    </xf>
    <xf numFmtId="0" fontId="71" fillId="0" borderId="0" xfId="0" applyFont="1" applyAlignment="1" applyProtection="1">
      <alignment horizontal="left" vertical="center" indent="1"/>
    </xf>
    <xf numFmtId="0" fontId="71" fillId="0" borderId="0" xfId="0" quotePrefix="1" applyFont="1" applyAlignment="1" applyProtection="1">
      <alignment horizontal="left" vertical="center" indent="1"/>
    </xf>
    <xf numFmtId="0" fontId="72" fillId="0" borderId="0" xfId="0" quotePrefix="1" applyFont="1" applyAlignment="1" applyProtection="1">
      <alignment horizontal="left" vertical="center" indent="2"/>
    </xf>
    <xf numFmtId="0" fontId="41" fillId="0" borderId="0" xfId="0" applyFont="1" applyAlignment="1" applyProtection="1">
      <alignment vertical="center" wrapText="1"/>
    </xf>
    <xf numFmtId="0" fontId="41" fillId="0" borderId="0" xfId="0" applyFont="1" applyAlignment="1" applyProtection="1">
      <alignment vertical="center"/>
    </xf>
    <xf numFmtId="3" fontId="47" fillId="0" borderId="0" xfId="0" applyNumberFormat="1" applyFont="1" applyAlignment="1" applyProtection="1">
      <alignment horizontal="center" vertical="center"/>
    </xf>
    <xf numFmtId="3" fontId="42" fillId="0" borderId="0" xfId="0" applyNumberFormat="1" applyFont="1" applyAlignment="1" applyProtection="1">
      <alignment vertical="center"/>
    </xf>
    <xf numFmtId="0" fontId="42" fillId="0" borderId="0" xfId="0" applyFont="1" applyAlignment="1" applyProtection="1">
      <alignment horizontal="center" vertical="center"/>
    </xf>
    <xf numFmtId="0" fontId="71" fillId="0" borderId="0" xfId="0" applyFont="1" applyAlignment="1" applyProtection="1">
      <alignment horizontal="left" vertical="center" wrapText="1"/>
    </xf>
    <xf numFmtId="14" fontId="47" fillId="0" borderId="0" xfId="0" applyNumberFormat="1" applyFont="1" applyAlignment="1" applyProtection="1">
      <alignment vertical="center"/>
    </xf>
    <xf numFmtId="0" fontId="47" fillId="0" borderId="0" xfId="0" applyFont="1" applyBorder="1" applyAlignment="1" applyProtection="1">
      <alignment horizontal="left" vertical="center" wrapText="1"/>
    </xf>
    <xf numFmtId="0" fontId="47" fillId="0" borderId="0" xfId="0" applyFont="1" applyBorder="1" applyAlignment="1" applyProtection="1">
      <alignment vertical="center"/>
    </xf>
    <xf numFmtId="0" fontId="4" fillId="0" borderId="7" xfId="0" applyFont="1" applyFill="1" applyBorder="1" applyAlignment="1" applyProtection="1">
      <alignment horizontal="centerContinuous" vertical="center"/>
    </xf>
    <xf numFmtId="3" fontId="4" fillId="0" borderId="7" xfId="0" applyNumberFormat="1" applyFont="1" applyFill="1" applyBorder="1" applyAlignment="1" applyProtection="1">
      <alignment horizontal="centerContinuous" vertical="center"/>
    </xf>
    <xf numFmtId="182" fontId="44" fillId="0" borderId="7" xfId="0" applyNumberFormat="1" applyFont="1" applyFill="1" applyBorder="1" applyAlignment="1" applyProtection="1">
      <alignment horizontal="center" vertical="center"/>
    </xf>
    <xf numFmtId="183" fontId="44" fillId="0" borderId="7" xfId="0" applyNumberFormat="1" applyFont="1" applyFill="1" applyBorder="1" applyAlignment="1" applyProtection="1">
      <alignment horizontal="center" vertical="center" wrapText="1"/>
    </xf>
    <xf numFmtId="184" fontId="44" fillId="0" borderId="7" xfId="0" applyNumberFormat="1" applyFont="1" applyFill="1" applyBorder="1" applyAlignment="1" applyProtection="1">
      <alignment horizontal="center" vertical="center"/>
    </xf>
    <xf numFmtId="197" fontId="44" fillId="0" borderId="7" xfId="4" applyNumberFormat="1" applyFont="1" applyBorder="1" applyAlignment="1" applyProtection="1">
      <alignment horizontal="center" vertical="center" wrapText="1"/>
    </xf>
    <xf numFmtId="187" fontId="47" fillId="0" borderId="7" xfId="7" applyNumberFormat="1" applyFont="1" applyBorder="1" applyProtection="1"/>
    <xf numFmtId="3" fontId="42" fillId="0" borderId="7" xfId="0" applyNumberFormat="1" applyFont="1" applyBorder="1">
      <protection locked="0"/>
    </xf>
    <xf numFmtId="181" fontId="44" fillId="0" borderId="7" xfId="0" applyNumberFormat="1" applyFont="1" applyFill="1" applyBorder="1" applyAlignment="1" applyProtection="1">
      <alignment horizontal="center" vertical="center"/>
    </xf>
    <xf numFmtId="3" fontId="44" fillId="0" borderId="7" xfId="0" applyNumberFormat="1" applyFont="1" applyBorder="1" applyAlignment="1">
      <alignment vertical="center" wrapText="1"/>
      <protection locked="0"/>
    </xf>
    <xf numFmtId="168" fontId="44" fillId="0" borderId="7" xfId="0" applyNumberFormat="1" applyFont="1" applyBorder="1" applyAlignment="1">
      <alignment vertical="center" wrapText="1"/>
      <protection locked="0"/>
    </xf>
    <xf numFmtId="3" fontId="44" fillId="5" borderId="7" xfId="0" applyNumberFormat="1" applyFont="1" applyFill="1" applyBorder="1" applyAlignment="1" applyProtection="1">
      <alignment vertical="center" wrapText="1"/>
      <protection locked="0"/>
    </xf>
    <xf numFmtId="0" fontId="4" fillId="0" borderId="7" xfId="0" applyNumberFormat="1" applyFont="1" applyFill="1" applyBorder="1" applyAlignment="1" applyProtection="1">
      <alignment horizontal="center" vertical="center" wrapText="1"/>
    </xf>
    <xf numFmtId="3" fontId="4" fillId="0" borderId="7" xfId="0" applyNumberFormat="1" applyFont="1" applyBorder="1" applyAlignment="1">
      <alignment vertical="center" wrapText="1"/>
      <protection locked="0"/>
    </xf>
    <xf numFmtId="181" fontId="4" fillId="5" borderId="7" xfId="0" applyNumberFormat="1" applyFont="1" applyFill="1" applyBorder="1" applyAlignment="1" applyProtection="1">
      <alignment horizontal="right" vertical="center" shrinkToFit="1"/>
    </xf>
    <xf numFmtId="0" fontId="4" fillId="0" borderId="7" xfId="0" applyNumberFormat="1" applyFont="1" applyFill="1" applyBorder="1" applyAlignment="1" applyProtection="1">
      <alignment horizontal="center" vertical="center"/>
    </xf>
    <xf numFmtId="181" fontId="4" fillId="0" borderId="7" xfId="0" applyNumberFormat="1" applyFont="1" applyFill="1" applyBorder="1" applyAlignment="1" applyProtection="1">
      <alignment horizontal="right" vertical="center"/>
    </xf>
    <xf numFmtId="181" fontId="4" fillId="0" borderId="7" xfId="0" applyNumberFormat="1" applyFont="1" applyFill="1" applyBorder="1" applyAlignment="1" applyProtection="1">
      <alignment horizontal="center" vertical="center"/>
    </xf>
    <xf numFmtId="199" fontId="44" fillId="0" borderId="0" xfId="0" applyNumberFormat="1" applyFont="1" applyFill="1" applyAlignment="1" applyProtection="1">
      <alignment horizontal="right" vertical="center" shrinkToFit="1"/>
    </xf>
    <xf numFmtId="181" fontId="4" fillId="0" borderId="0" xfId="0" applyNumberFormat="1" applyFont="1" applyFill="1" applyAlignment="1" applyProtection="1">
      <alignment horizontal="right" vertical="center" shrinkToFit="1"/>
    </xf>
    <xf numFmtId="0" fontId="75" fillId="0" borderId="0" xfId="0" applyFont="1" applyProtection="1"/>
    <xf numFmtId="0" fontId="74" fillId="6" borderId="7" xfId="0" applyFont="1" applyFill="1" applyBorder="1" applyAlignment="1" applyProtection="1">
      <alignment horizontal="center" vertical="center"/>
    </xf>
    <xf numFmtId="0" fontId="5" fillId="0" borderId="7" xfId="0" applyFont="1" applyBorder="1" applyAlignment="1" applyProtection="1">
      <alignment horizontal="center" vertical="center"/>
    </xf>
    <xf numFmtId="0" fontId="5" fillId="0" borderId="7" xfId="0" applyFont="1" applyBorder="1" applyProtection="1"/>
    <xf numFmtId="0" fontId="24" fillId="0" borderId="7" xfId="0" applyFont="1" applyBorder="1" applyAlignment="1" applyProtection="1">
      <alignment horizontal="center"/>
    </xf>
    <xf numFmtId="0" fontId="24" fillId="0" borderId="7" xfId="0" applyFont="1" applyBorder="1" applyAlignment="1" applyProtection="1">
      <alignment horizontal="center" vertical="center"/>
    </xf>
    <xf numFmtId="0" fontId="75" fillId="0" borderId="7" xfId="0" applyFont="1" applyBorder="1" applyAlignment="1" applyProtection="1">
      <alignment horizontal="center" vertical="center"/>
    </xf>
    <xf numFmtId="0" fontId="75" fillId="0" borderId="7" xfId="0" applyFont="1" applyBorder="1" applyProtection="1"/>
    <xf numFmtId="0" fontId="28" fillId="0" borderId="7" xfId="0" applyFont="1" applyBorder="1" applyAlignment="1" applyProtection="1">
      <alignment horizontal="center" vertical="center"/>
    </xf>
    <xf numFmtId="0" fontId="28" fillId="0" borderId="7" xfId="0" applyFont="1" applyBorder="1" applyAlignment="1" applyProtection="1">
      <alignment wrapText="1"/>
    </xf>
    <xf numFmtId="0" fontId="24" fillId="0" borderId="7" xfId="0" applyFont="1" applyBorder="1" applyAlignment="1" applyProtection="1">
      <alignment wrapText="1"/>
    </xf>
    <xf numFmtId="0" fontId="24" fillId="0" borderId="7" xfId="0" applyFont="1" applyBorder="1" applyAlignment="1" applyProtection="1">
      <alignment vertical="center"/>
    </xf>
    <xf numFmtId="0" fontId="25" fillId="0" borderId="7" xfId="0" applyFont="1" applyBorder="1" applyAlignment="1" applyProtection="1">
      <alignment wrapText="1"/>
    </xf>
    <xf numFmtId="177" fontId="75" fillId="0" borderId="7" xfId="0" applyNumberFormat="1" applyFont="1" applyBorder="1" applyAlignment="1" applyProtection="1">
      <alignment horizontal="center" vertical="center"/>
    </xf>
    <xf numFmtId="198" fontId="75" fillId="0" borderId="7" xfId="0" applyNumberFormat="1" applyFont="1" applyBorder="1" applyAlignment="1" applyProtection="1">
      <alignment horizontal="center" vertical="center"/>
    </xf>
    <xf numFmtId="0" fontId="76" fillId="0" borderId="7" xfId="0" applyFont="1" applyBorder="1" applyAlignment="1">
      <alignment horizontal="left" vertical="top" wrapText="1"/>
      <protection locked="0"/>
    </xf>
    <xf numFmtId="2" fontId="75" fillId="0" borderId="7" xfId="0" applyNumberFormat="1" applyFont="1" applyBorder="1" applyAlignment="1" applyProtection="1">
      <alignment horizontal="center" vertical="center"/>
    </xf>
    <xf numFmtId="197" fontId="75" fillId="0" borderId="7" xfId="0" applyNumberFormat="1" applyFont="1" applyBorder="1" applyAlignment="1" applyProtection="1">
      <alignment horizontal="center" vertical="center"/>
    </xf>
    <xf numFmtId="0" fontId="5" fillId="0" borderId="7" xfId="0" applyFont="1" applyBorder="1" applyAlignment="1" applyProtection="1">
      <alignment wrapText="1"/>
    </xf>
    <xf numFmtId="0" fontId="77" fillId="0" borderId="7" xfId="0" applyFont="1" applyBorder="1" applyAlignment="1">
      <alignment horizontal="left" vertical="top" wrapText="1"/>
      <protection locked="0"/>
    </xf>
    <xf numFmtId="0" fontId="75" fillId="4" borderId="0" xfId="0" applyFont="1" applyFill="1" applyProtection="1"/>
    <xf numFmtId="0" fontId="78" fillId="0" borderId="0" xfId="0" applyFont="1" applyProtection="1"/>
    <xf numFmtId="0" fontId="78" fillId="0" borderId="7" xfId="0" applyFont="1" applyBorder="1" applyAlignment="1" applyProtection="1">
      <alignment horizontal="center" vertical="center"/>
    </xf>
    <xf numFmtId="0" fontId="79" fillId="0" borderId="7" xfId="0" applyFont="1" applyBorder="1" applyAlignment="1">
      <alignment horizontal="left" vertical="top" wrapText="1"/>
      <protection locked="0"/>
    </xf>
    <xf numFmtId="177" fontId="78" fillId="0" borderId="7" xfId="0" applyNumberFormat="1" applyFont="1" applyBorder="1" applyAlignment="1" applyProtection="1">
      <alignment horizontal="center" vertical="center"/>
    </xf>
    <xf numFmtId="0" fontId="78" fillId="0" borderId="7" xfId="0" applyFont="1" applyBorder="1" applyProtection="1"/>
    <xf numFmtId="0" fontId="78" fillId="0" borderId="7" xfId="0" applyFont="1" applyBorder="1" applyAlignment="1" applyProtection="1">
      <alignment vertical="center"/>
    </xf>
    <xf numFmtId="0" fontId="80" fillId="0" borderId="7" xfId="0" applyFont="1" applyBorder="1" applyAlignment="1">
      <alignment horizontal="left" vertical="top" wrapText="1"/>
      <protection locked="0"/>
    </xf>
    <xf numFmtId="0" fontId="81" fillId="0" borderId="7" xfId="0" applyFont="1" applyBorder="1" applyAlignment="1" applyProtection="1">
      <alignment wrapText="1"/>
    </xf>
    <xf numFmtId="0" fontId="25" fillId="0" borderId="7" xfId="0" applyFont="1" applyBorder="1" applyAlignment="1" applyProtection="1">
      <alignment vertical="center" wrapText="1"/>
    </xf>
    <xf numFmtId="177" fontId="75" fillId="0" borderId="0" xfId="0" applyNumberFormat="1" applyFont="1" applyProtection="1"/>
    <xf numFmtId="2" fontId="75" fillId="0" borderId="0" xfId="0" applyNumberFormat="1" applyFont="1" applyProtection="1"/>
    <xf numFmtId="0" fontId="79" fillId="0" borderId="7" xfId="0" applyFont="1" applyBorder="1" applyAlignment="1" applyProtection="1">
      <alignment wrapText="1"/>
    </xf>
    <xf numFmtId="0" fontId="75" fillId="0" borderId="0" xfId="0" applyFont="1" applyAlignment="1" applyProtection="1">
      <alignment horizontal="center" vertical="center"/>
    </xf>
    <xf numFmtId="0" fontId="78" fillId="0" borderId="7" xfId="0" applyFont="1" applyBorder="1" applyAlignment="1" applyProtection="1">
      <alignment wrapText="1"/>
    </xf>
    <xf numFmtId="0" fontId="74" fillId="0" borderId="0" xfId="0" applyFont="1" applyProtection="1"/>
    <xf numFmtId="0" fontId="74" fillId="0" borderId="0" xfId="0" applyFont="1" applyAlignment="1" applyProtection="1">
      <alignment horizontal="center" vertical="center"/>
    </xf>
    <xf numFmtId="0" fontId="0" fillId="0" borderId="0" xfId="0" applyProtection="1"/>
    <xf numFmtId="0" fontId="82" fillId="0" borderId="0" xfId="0" applyFont="1" applyFill="1" applyAlignment="1" applyProtection="1">
      <alignment horizontal="center" vertical="center" wrapText="1"/>
    </xf>
    <xf numFmtId="0" fontId="4" fillId="0" borderId="7" xfId="0" applyFont="1" applyFill="1" applyBorder="1" applyAlignment="1" applyProtection="1">
      <alignment horizontal="left" vertical="center" wrapText="1"/>
    </xf>
    <xf numFmtId="4" fontId="4" fillId="0" borderId="7" xfId="0" applyNumberFormat="1" applyFont="1" applyFill="1" applyBorder="1" applyAlignment="1" applyProtection="1">
      <alignment horizontal="right" vertical="center" wrapText="1"/>
    </xf>
    <xf numFmtId="2" fontId="4" fillId="0" borderId="7" xfId="0" applyNumberFormat="1" applyFont="1" applyFill="1" applyBorder="1" applyAlignment="1" applyProtection="1">
      <alignment horizontal="right" vertical="center" wrapText="1"/>
    </xf>
    <xf numFmtId="0" fontId="4" fillId="0" borderId="0" xfId="0" applyFont="1" applyFill="1" applyAlignment="1" applyProtection="1">
      <alignment horizontal="center" vertical="center" wrapText="1"/>
    </xf>
    <xf numFmtId="4" fontId="83" fillId="0" borderId="7" xfId="0" applyNumberFormat="1" applyFont="1" applyFill="1" applyBorder="1" applyAlignment="1" applyProtection="1">
      <alignment horizontal="right" vertical="center" wrapText="1"/>
    </xf>
    <xf numFmtId="0" fontId="44" fillId="0" borderId="7" xfId="0" applyFont="1" applyFill="1" applyBorder="1" applyAlignment="1" applyProtection="1">
      <alignment horizontal="center" vertical="center" wrapText="1"/>
    </xf>
    <xf numFmtId="0" fontId="44" fillId="0" borderId="7" xfId="0" quotePrefix="1" applyFont="1" applyFill="1" applyBorder="1" applyAlignment="1" applyProtection="1">
      <alignment horizontal="left" vertical="center" wrapText="1"/>
    </xf>
    <xf numFmtId="0" fontId="44" fillId="0" borderId="7" xfId="5" applyFont="1" applyBorder="1" applyAlignment="1">
      <alignment horizontal="left" vertical="center" wrapText="1"/>
    </xf>
    <xf numFmtId="2" fontId="51" fillId="0" borderId="7" xfId="0" applyNumberFormat="1" applyFont="1" applyFill="1" applyBorder="1" applyAlignment="1" applyProtection="1">
      <alignment horizontal="right" vertical="center" wrapText="1"/>
    </xf>
    <xf numFmtId="0" fontId="52" fillId="0" borderId="0" xfId="8" applyFont="1" applyAlignment="1">
      <alignment horizontal="center" vertical="center" wrapText="1"/>
    </xf>
    <xf numFmtId="0" fontId="84" fillId="0" borderId="0" xfId="0" applyFont="1" applyProtection="1"/>
    <xf numFmtId="0" fontId="52" fillId="0" borderId="0" xfId="0" applyFont="1" applyProtection="1"/>
    <xf numFmtId="0" fontId="52" fillId="0" borderId="0" xfId="0" applyFont="1" applyAlignment="1" applyProtection="1">
      <alignment horizontal="center" vertical="center"/>
    </xf>
    <xf numFmtId="4" fontId="43" fillId="0" borderId="7" xfId="0" applyNumberFormat="1" applyFont="1" applyBorder="1" applyAlignment="1" applyProtection="1">
      <alignment horizontal="center" vertical="center"/>
    </xf>
    <xf numFmtId="0" fontId="43" fillId="0" borderId="0" xfId="0" applyFont="1" applyAlignment="1" applyProtection="1">
      <alignment horizontal="center"/>
    </xf>
    <xf numFmtId="4" fontId="52" fillId="0" borderId="0" xfId="0" applyNumberFormat="1" applyFont="1" applyAlignment="1" applyProtection="1">
      <alignment horizontal="center"/>
    </xf>
    <xf numFmtId="4" fontId="52" fillId="0" borderId="0" xfId="0" applyNumberFormat="1" applyFont="1" applyProtection="1"/>
    <xf numFmtId="0" fontId="85" fillId="0" borderId="0" xfId="0" applyFont="1" applyAlignment="1" applyProtection="1">
      <alignment horizontal="center"/>
    </xf>
    <xf numFmtId="4" fontId="84" fillId="0" borderId="0" xfId="0" applyNumberFormat="1" applyFont="1" applyAlignment="1" applyProtection="1">
      <alignment horizontal="center"/>
    </xf>
    <xf numFmtId="4" fontId="84" fillId="0" borderId="0" xfId="0" applyNumberFormat="1" applyFont="1" applyProtection="1"/>
    <xf numFmtId="4" fontId="4" fillId="0" borderId="7" xfId="0" applyNumberFormat="1" applyFont="1" applyBorder="1" applyAlignment="1" applyProtection="1">
      <alignment horizontal="center" vertical="center" wrapText="1"/>
    </xf>
    <xf numFmtId="4" fontId="31" fillId="0" borderId="7" xfId="0" applyNumberFormat="1" applyFont="1" applyBorder="1" applyAlignment="1" applyProtection="1">
      <alignment horizontal="center" vertical="center" wrapText="1"/>
    </xf>
    <xf numFmtId="4" fontId="44" fillId="0" borderId="7" xfId="0" applyNumberFormat="1" applyFont="1" applyBorder="1" applyAlignment="1" applyProtection="1">
      <alignment horizontal="center" vertical="center" wrapText="1"/>
    </xf>
    <xf numFmtId="4" fontId="4" fillId="0" borderId="7" xfId="0" applyNumberFormat="1" applyFont="1" applyBorder="1" applyAlignment="1" applyProtection="1">
      <alignment horizontal="center" vertical="center"/>
    </xf>
    <xf numFmtId="181" fontId="86" fillId="0" borderId="7" xfId="0" applyNumberFormat="1" applyFont="1" applyFill="1" applyBorder="1" applyAlignment="1" applyProtection="1">
      <alignment horizontal="center" vertical="center"/>
    </xf>
    <xf numFmtId="4" fontId="82" fillId="0" borderId="0" xfId="0" applyNumberFormat="1" applyFont="1" applyFill="1" applyAlignment="1" applyProtection="1">
      <alignment horizontal="center" vertical="center" wrapText="1"/>
    </xf>
    <xf numFmtId="0" fontId="87" fillId="0" borderId="0" xfId="0" applyFont="1" applyProtection="1"/>
    <xf numFmtId="200" fontId="88" fillId="0" borderId="35" xfId="0" applyNumberFormat="1" applyFont="1" applyBorder="1" applyAlignment="1" applyProtection="1">
      <alignment horizontal="center" vertical="center" wrapText="1"/>
    </xf>
    <xf numFmtId="200" fontId="88" fillId="0" borderId="7" xfId="0" applyNumberFormat="1" applyFont="1" applyBorder="1" applyAlignment="1" applyProtection="1">
      <alignment horizontal="center" vertical="center" wrapText="1"/>
    </xf>
    <xf numFmtId="0" fontId="4" fillId="0" borderId="7" xfId="0" applyFont="1" applyBorder="1" applyAlignment="1" applyProtection="1">
      <alignment horizontal="center"/>
    </xf>
    <xf numFmtId="4" fontId="52" fillId="0" borderId="0" xfId="0" applyNumberFormat="1" applyFont="1" applyAlignment="1" applyProtection="1">
      <alignment horizontal="center" vertical="center"/>
    </xf>
    <xf numFmtId="187" fontId="47" fillId="0" borderId="7" xfId="7" applyNumberFormat="1" applyFont="1" applyBorder="1" applyAlignment="1" applyProtection="1">
      <alignment vertical="center"/>
    </xf>
    <xf numFmtId="179" fontId="51" fillId="0" borderId="7" xfId="0" applyNumberFormat="1" applyFont="1" applyFill="1" applyBorder="1" applyAlignment="1" applyProtection="1">
      <alignment horizontal="right" vertical="center" wrapText="1"/>
    </xf>
    <xf numFmtId="180" fontId="51" fillId="0" borderId="7" xfId="0" applyNumberFormat="1" applyFont="1" applyFill="1" applyBorder="1" applyAlignment="1" applyProtection="1">
      <alignment horizontal="right" vertical="center" wrapText="1"/>
    </xf>
    <xf numFmtId="177" fontId="44" fillId="0" borderId="7" xfId="0" applyNumberFormat="1" applyFont="1" applyBorder="1" applyAlignment="1" applyProtection="1">
      <alignment vertical="center"/>
    </xf>
    <xf numFmtId="177" fontId="51" fillId="0" borderId="7" xfId="0" applyNumberFormat="1" applyFont="1" applyFill="1" applyBorder="1" applyAlignment="1" applyProtection="1">
      <alignment horizontal="right" vertical="center" wrapText="1"/>
    </xf>
    <xf numFmtId="197" fontId="44" fillId="0" borderId="7" xfId="0" applyNumberFormat="1" applyFont="1" applyBorder="1" applyAlignment="1" applyProtection="1">
      <alignment vertical="center"/>
    </xf>
    <xf numFmtId="4" fontId="85" fillId="0" borderId="0" xfId="0" applyNumberFormat="1" applyFont="1" applyProtection="1"/>
    <xf numFmtId="0" fontId="4" fillId="0" borderId="0" xfId="0" applyFont="1" applyFill="1" applyAlignment="1" applyProtection="1">
      <alignment vertical="center" wrapText="1"/>
    </xf>
    <xf numFmtId="0" fontId="89" fillId="0" borderId="0" xfId="0" applyFont="1" applyProtection="1"/>
    <xf numFmtId="0" fontId="90" fillId="7" borderId="7" xfId="0" applyFont="1" applyFill="1" applyBorder="1" applyAlignment="1" applyProtection="1">
      <alignment horizontal="center" vertical="center" wrapText="1"/>
    </xf>
    <xf numFmtId="0" fontId="91" fillId="7" borderId="7" xfId="0" applyFont="1" applyFill="1" applyBorder="1" applyAlignment="1" applyProtection="1">
      <alignment horizontal="center" vertical="center" wrapText="1"/>
    </xf>
    <xf numFmtId="0" fontId="90" fillId="7" borderId="7" xfId="0" applyFont="1" applyFill="1" applyBorder="1" applyAlignment="1" applyProtection="1">
      <alignment vertical="center" wrapText="1"/>
    </xf>
    <xf numFmtId="0" fontId="91" fillId="7" borderId="7" xfId="0" applyFont="1" applyFill="1" applyBorder="1" applyAlignment="1" applyProtection="1">
      <alignment vertical="center" wrapText="1"/>
    </xf>
    <xf numFmtId="14" fontId="91" fillId="7" borderId="7" xfId="0" applyNumberFormat="1" applyFont="1" applyFill="1" applyBorder="1" applyAlignment="1" applyProtection="1">
      <alignment horizontal="center" vertical="center" wrapText="1"/>
    </xf>
    <xf numFmtId="0" fontId="91" fillId="7" borderId="7" xfId="0" applyFont="1" applyFill="1" applyBorder="1" applyAlignment="1" applyProtection="1">
      <alignment horizontal="left" vertical="center" wrapText="1"/>
    </xf>
    <xf numFmtId="0" fontId="91" fillId="7" borderId="7" xfId="0" quotePrefix="1" applyFont="1" applyFill="1" applyBorder="1" applyAlignment="1" applyProtection="1">
      <alignment horizontal="center" vertical="center" wrapText="1"/>
    </xf>
    <xf numFmtId="0" fontId="92" fillId="7" borderId="7" xfId="0" applyFont="1" applyFill="1" applyBorder="1" applyAlignment="1" applyProtection="1">
      <alignment horizontal="center" vertical="center" wrapText="1"/>
    </xf>
    <xf numFmtId="0" fontId="92" fillId="7" borderId="7" xfId="0" applyFont="1" applyFill="1" applyBorder="1" applyAlignment="1" applyProtection="1">
      <alignment vertical="center" wrapText="1"/>
    </xf>
    <xf numFmtId="187" fontId="91" fillId="7" borderId="7" xfId="0" applyNumberFormat="1" applyFont="1" applyFill="1" applyBorder="1" applyAlignment="1" applyProtection="1">
      <alignment vertical="center" wrapText="1"/>
    </xf>
    <xf numFmtId="187" fontId="89" fillId="0" borderId="0" xfId="0" applyNumberFormat="1" applyFont="1" applyProtection="1"/>
    <xf numFmtId="187" fontId="91" fillId="7" borderId="7" xfId="0" applyNumberFormat="1" applyFont="1" applyFill="1" applyBorder="1" applyAlignment="1" applyProtection="1">
      <alignment horizontal="center" vertical="center" wrapText="1"/>
    </xf>
    <xf numFmtId="0" fontId="91" fillId="7" borderId="7" xfId="0" quotePrefix="1" applyFont="1" applyFill="1" applyBorder="1" applyAlignment="1" applyProtection="1">
      <alignment vertical="center" wrapText="1"/>
    </xf>
    <xf numFmtId="0" fontId="93" fillId="7" borderId="7" xfId="0" applyFont="1" applyFill="1" applyBorder="1" applyProtection="1"/>
    <xf numFmtId="14" fontId="89" fillId="0" borderId="0" xfId="0" applyNumberFormat="1" applyFont="1" applyProtection="1"/>
    <xf numFmtId="0" fontId="31" fillId="0" borderId="0" xfId="2" applyFont="1" applyFill="1" applyAlignment="1">
      <alignment horizontal="center" wrapText="1"/>
    </xf>
    <xf numFmtId="0" fontId="4" fillId="0" borderId="0" xfId="2" applyFont="1" applyFill="1" applyAlignment="1">
      <alignment horizontal="center" wrapText="1"/>
    </xf>
    <xf numFmtId="0" fontId="44" fillId="0" borderId="0" xfId="0" applyFont="1" applyFill="1" applyAlignment="1" applyProtection="1">
      <alignment horizontal="left" vertical="center" wrapText="1"/>
    </xf>
    <xf numFmtId="0" fontId="4" fillId="0" borderId="7"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xf>
    <xf numFmtId="0" fontId="44" fillId="0" borderId="7" xfId="0" applyFont="1" applyFill="1" applyBorder="1" applyAlignment="1" applyProtection="1">
      <alignment horizontal="center" vertical="center"/>
    </xf>
    <xf numFmtId="0" fontId="4" fillId="0" borderId="7"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0" fontId="4" fillId="0" borderId="16" xfId="0" applyFont="1" applyFill="1" applyBorder="1" applyAlignment="1" applyProtection="1">
      <alignment horizontal="center" vertical="center" wrapText="1"/>
    </xf>
    <xf numFmtId="4" fontId="52" fillId="4" borderId="0" xfId="0" applyNumberFormat="1" applyFont="1" applyFill="1" applyAlignment="1" applyProtection="1">
      <alignment horizontal="center" vertical="center"/>
    </xf>
    <xf numFmtId="4" fontId="31" fillId="4" borderId="7" xfId="0" applyNumberFormat="1" applyFont="1" applyFill="1" applyBorder="1" applyAlignment="1" applyProtection="1">
      <alignment horizontal="center" vertical="center" wrapText="1"/>
    </xf>
    <xf numFmtId="4" fontId="43" fillId="0" borderId="7" xfId="0" applyNumberFormat="1" applyFont="1" applyBorder="1" applyAlignment="1" applyProtection="1">
      <alignment horizontal="center" vertical="center" wrapText="1"/>
    </xf>
    <xf numFmtId="3" fontId="43" fillId="0" borderId="7" xfId="0" applyNumberFormat="1" applyFont="1" applyBorder="1" applyAlignment="1" applyProtection="1">
      <alignment horizontal="center" vertical="center" wrapText="1"/>
    </xf>
    <xf numFmtId="4" fontId="95" fillId="0" borderId="7" xfId="0" applyNumberFormat="1" applyFont="1" applyBorder="1" applyAlignment="1" applyProtection="1">
      <alignment horizontal="center" vertical="center" wrapText="1"/>
    </xf>
    <xf numFmtId="4" fontId="52" fillId="0" borderId="7" xfId="0" applyNumberFormat="1" applyFont="1" applyBorder="1" applyAlignment="1" applyProtection="1">
      <alignment horizontal="center" vertical="center" wrapText="1"/>
    </xf>
    <xf numFmtId="3" fontId="96" fillId="0" borderId="7" xfId="0" applyNumberFormat="1" applyFont="1" applyBorder="1" applyAlignment="1" applyProtection="1">
      <alignment horizontal="center" vertical="center" wrapText="1"/>
    </xf>
    <xf numFmtId="4" fontId="97" fillId="0" borderId="7" xfId="0" applyNumberFormat="1" applyFont="1" applyBorder="1" applyAlignment="1" applyProtection="1">
      <alignment horizontal="center" vertical="center" wrapText="1"/>
    </xf>
    <xf numFmtId="4" fontId="98" fillId="0" borderId="7" xfId="0" applyNumberFormat="1" applyFont="1" applyBorder="1" applyAlignment="1" applyProtection="1">
      <alignment horizontal="center" vertical="center" wrapText="1"/>
    </xf>
    <xf numFmtId="4" fontId="96" fillId="0" borderId="7" xfId="0" applyNumberFormat="1" applyFont="1" applyBorder="1" applyAlignment="1" applyProtection="1">
      <alignment horizontal="center" vertical="center" wrapText="1"/>
    </xf>
    <xf numFmtId="49" fontId="91" fillId="7" borderId="7" xfId="0" quotePrefix="1" applyNumberFormat="1" applyFont="1" applyFill="1" applyBorder="1" applyAlignment="1" applyProtection="1">
      <alignment horizontal="center" vertical="center" wrapText="1"/>
    </xf>
    <xf numFmtId="3" fontId="41" fillId="0" borderId="0" xfId="0" applyNumberFormat="1" applyFont="1" applyAlignment="1" applyProtection="1">
      <alignment vertical="center"/>
    </xf>
    <xf numFmtId="0" fontId="101" fillId="0" borderId="0" xfId="0" applyFont="1" applyAlignment="1" applyProtection="1">
      <alignment vertical="center"/>
    </xf>
    <xf numFmtId="0" fontId="101" fillId="0" borderId="0" xfId="0" applyFont="1" applyAlignment="1" applyProtection="1">
      <alignment vertical="center" wrapText="1"/>
    </xf>
    <xf numFmtId="3" fontId="101" fillId="0" borderId="0" xfId="0" applyNumberFormat="1" applyFont="1" applyAlignment="1" applyProtection="1">
      <alignment vertical="center" wrapText="1"/>
    </xf>
    <xf numFmtId="0" fontId="89" fillId="0" borderId="0" xfId="9" applyFont="1"/>
    <xf numFmtId="0" fontId="102" fillId="0" borderId="0" xfId="9" applyFont="1"/>
    <xf numFmtId="0" fontId="102" fillId="0" borderId="0" xfId="9" applyFont="1" applyAlignment="1">
      <alignment horizontal="center"/>
    </xf>
    <xf numFmtId="14" fontId="103" fillId="0" borderId="0" xfId="9" applyNumberFormat="1" applyFont="1" applyAlignment="1">
      <alignment horizontal="right"/>
    </xf>
    <xf numFmtId="0" fontId="102" fillId="0" borderId="0" xfId="9" applyFont="1" applyAlignment="1">
      <alignment wrapText="1"/>
    </xf>
    <xf numFmtId="0" fontId="104" fillId="0" borderId="0" xfId="9" applyFont="1" applyAlignment="1">
      <alignment vertical="center"/>
    </xf>
    <xf numFmtId="0" fontId="105" fillId="0" borderId="0" xfId="10" quotePrefix="1" applyFont="1" applyAlignment="1">
      <alignment vertical="center" wrapText="1"/>
    </xf>
    <xf numFmtId="0" fontId="105" fillId="0" borderId="0" xfId="10" quotePrefix="1" applyFont="1" applyAlignment="1">
      <alignment horizontal="left" vertical="center"/>
    </xf>
    <xf numFmtId="0" fontId="105" fillId="0" borderId="0" xfId="10" quotePrefix="1" applyFont="1" applyAlignment="1">
      <alignment horizontal="left" vertical="center" wrapText="1"/>
    </xf>
    <xf numFmtId="0" fontId="105" fillId="0" borderId="0" xfId="0" applyFont="1" applyAlignment="1" applyProtection="1">
      <alignment vertical="center"/>
    </xf>
    <xf numFmtId="0" fontId="105" fillId="0" borderId="0" xfId="0" applyFont="1" applyAlignment="1" applyProtection="1">
      <alignment vertical="center" wrapText="1"/>
    </xf>
    <xf numFmtId="0" fontId="104" fillId="0" borderId="0" xfId="0" applyFont="1" applyProtection="1"/>
    <xf numFmtId="0" fontId="109" fillId="0" borderId="0" xfId="0" applyFont="1" applyAlignment="1" applyProtection="1">
      <alignment vertical="center"/>
    </xf>
    <xf numFmtId="0" fontId="110" fillId="0" borderId="0" xfId="0" applyFont="1" applyProtection="1"/>
    <xf numFmtId="0" fontId="110" fillId="0" borderId="0" xfId="0" quotePrefix="1" applyFont="1" applyAlignment="1" applyProtection="1">
      <alignment horizontal="left" vertical="center"/>
    </xf>
    <xf numFmtId="0" fontId="110" fillId="0" borderId="0" xfId="0" applyFont="1" applyAlignment="1" applyProtection="1">
      <alignment horizontal="left" vertical="center"/>
    </xf>
    <xf numFmtId="0" fontId="110" fillId="0" borderId="0" xfId="0" quotePrefix="1" applyFont="1" applyAlignment="1" applyProtection="1">
      <alignment vertical="center"/>
    </xf>
    <xf numFmtId="0" fontId="44" fillId="7" borderId="7" xfId="0" applyFont="1" applyFill="1" applyBorder="1" applyAlignment="1" applyProtection="1">
      <alignment horizontal="center" vertical="center" wrapText="1"/>
    </xf>
    <xf numFmtId="0" fontId="42" fillId="0" borderId="7" xfId="0" applyFont="1" applyBorder="1" applyAlignment="1" applyProtection="1">
      <alignment horizontal="left" vertical="center" wrapText="1"/>
    </xf>
    <xf numFmtId="3" fontId="42" fillId="0" borderId="7" xfId="0" applyNumberFormat="1" applyFont="1" applyBorder="1" applyAlignment="1" applyProtection="1">
      <alignment horizontal="right" vertical="center" wrapText="1"/>
    </xf>
    <xf numFmtId="0" fontId="31" fillId="0" borderId="12" xfId="0" applyFont="1" applyBorder="1" applyAlignment="1">
      <alignment horizontal="right" vertical="center"/>
      <protection locked="0"/>
    </xf>
    <xf numFmtId="0" fontId="4" fillId="0" borderId="0" xfId="0" applyFont="1" applyAlignment="1">
      <alignment horizontal="center" vertical="top"/>
      <protection locked="0"/>
    </xf>
    <xf numFmtId="0" fontId="43" fillId="0" borderId="0" xfId="0" applyFont="1" applyAlignment="1">
      <alignment horizontal="center" vertical="center"/>
      <protection locked="0"/>
    </xf>
    <xf numFmtId="0" fontId="52" fillId="0" borderId="0" xfId="0" applyFont="1" applyAlignment="1">
      <alignment vertical="center"/>
      <protection locked="0"/>
    </xf>
    <xf numFmtId="49" fontId="4" fillId="5" borderId="4" xfId="0" applyNumberFormat="1" applyFont="1" applyFill="1" applyBorder="1" applyAlignment="1">
      <alignment horizontal="center" vertical="center" wrapText="1"/>
      <protection locked="0"/>
    </xf>
    <xf numFmtId="0" fontId="4" fillId="0" borderId="4" xfId="0" applyFont="1" applyBorder="1" applyAlignment="1">
      <alignment horizontal="center" vertical="top"/>
      <protection locked="0"/>
    </xf>
    <xf numFmtId="0" fontId="44" fillId="5" borderId="13" xfId="0" applyFont="1" applyFill="1" applyBorder="1" applyAlignment="1">
      <alignment horizontal="center" vertical="center" wrapText="1"/>
      <protection locked="0"/>
    </xf>
    <xf numFmtId="0" fontId="48" fillId="5" borderId="14" xfId="0" applyFont="1" applyFill="1" applyBorder="1" applyAlignment="1">
      <alignment horizontal="center" vertical="center" wrapText="1"/>
      <protection locked="0"/>
    </xf>
    <xf numFmtId="0" fontId="48" fillId="5" borderId="1" xfId="0" applyFont="1" applyFill="1" applyBorder="1" applyAlignment="1">
      <alignment horizontal="center" vertical="center" wrapText="1"/>
      <protection locked="0"/>
    </xf>
    <xf numFmtId="0" fontId="4" fillId="0" borderId="0" xfId="3" applyFont="1" applyFill="1" applyAlignment="1" applyProtection="1">
      <alignment horizontal="center" vertical="center"/>
    </xf>
    <xf numFmtId="0" fontId="31" fillId="0" borderId="0" xfId="3" applyFont="1" applyFill="1" applyAlignment="1" applyProtection="1">
      <alignment horizontal="center" vertical="top"/>
    </xf>
    <xf numFmtId="0" fontId="31" fillId="0" borderId="0" xfId="3" applyFont="1" applyFill="1" applyAlignment="1" applyProtection="1">
      <alignment horizontal="center" vertical="center"/>
    </xf>
    <xf numFmtId="0" fontId="31" fillId="0" borderId="0" xfId="2" applyFont="1" applyFill="1" applyAlignment="1">
      <alignment horizontal="center" wrapText="1"/>
    </xf>
    <xf numFmtId="0" fontId="48" fillId="0" borderId="0" xfId="2" applyFont="1" applyFill="1" applyAlignment="1">
      <alignment horizontal="center" wrapText="1"/>
    </xf>
    <xf numFmtId="0" fontId="4" fillId="0" borderId="0" xfId="2" applyFont="1" applyFill="1" applyAlignment="1">
      <alignment horizontal="center" wrapText="1"/>
    </xf>
    <xf numFmtId="0" fontId="31" fillId="0" borderId="30" xfId="2" applyFont="1" applyFill="1" applyBorder="1" applyAlignment="1">
      <alignment horizontal="center" vertical="center" wrapText="1"/>
    </xf>
    <xf numFmtId="0" fontId="4" fillId="0" borderId="29" xfId="0" applyFont="1" applyFill="1" applyBorder="1" applyAlignment="1" applyProtection="1">
      <alignment horizontal="center" vertical="center" wrapText="1"/>
    </xf>
    <xf numFmtId="3" fontId="4" fillId="0" borderId="28" xfId="0" applyNumberFormat="1" applyFont="1" applyFill="1" applyBorder="1" applyAlignment="1" applyProtection="1">
      <alignment horizontal="center" vertical="center" wrapText="1"/>
    </xf>
    <xf numFmtId="3" fontId="4" fillId="0" borderId="31" xfId="0" applyNumberFormat="1" applyFont="1" applyFill="1" applyBorder="1" applyAlignment="1" applyProtection="1">
      <alignment horizontal="center" vertical="center" wrapText="1"/>
    </xf>
    <xf numFmtId="0" fontId="48" fillId="0" borderId="32" xfId="0" applyNumberFormat="1" applyFont="1" applyFill="1" applyBorder="1" applyAlignment="1" applyProtection="1">
      <alignment horizontal="center" vertical="center" wrapText="1"/>
    </xf>
    <xf numFmtId="0" fontId="48" fillId="0" borderId="33" xfId="0" applyNumberFormat="1" applyFont="1" applyFill="1" applyBorder="1" applyAlignment="1" applyProtection="1">
      <alignment horizontal="center" vertical="center" wrapText="1"/>
    </xf>
    <xf numFmtId="0" fontId="48" fillId="0" borderId="34" xfId="0" applyNumberFormat="1"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xf>
    <xf numFmtId="0" fontId="4" fillId="0" borderId="33" xfId="0" applyFont="1" applyFill="1" applyBorder="1" applyAlignment="1" applyProtection="1">
      <alignment horizontal="center" vertical="center"/>
    </xf>
    <xf numFmtId="0" fontId="4" fillId="0" borderId="34" xfId="0" applyFont="1" applyFill="1" applyBorder="1" applyAlignment="1" applyProtection="1">
      <alignment horizontal="center" vertical="center"/>
    </xf>
    <xf numFmtId="3" fontId="4" fillId="0" borderId="32" xfId="0" applyNumberFormat="1" applyFont="1" applyFill="1" applyBorder="1" applyAlignment="1" applyProtection="1">
      <alignment horizontal="center" vertical="center"/>
    </xf>
    <xf numFmtId="3" fontId="4" fillId="0" borderId="33" xfId="0" applyNumberFormat="1" applyFont="1" applyFill="1" applyBorder="1" applyAlignment="1" applyProtection="1">
      <alignment horizontal="center" vertical="center"/>
    </xf>
    <xf numFmtId="3" fontId="4" fillId="0" borderId="34" xfId="0" applyNumberFormat="1" applyFont="1" applyFill="1" applyBorder="1" applyAlignment="1" applyProtection="1">
      <alignment horizontal="center" vertical="center"/>
    </xf>
    <xf numFmtId="0" fontId="4" fillId="0" borderId="0" xfId="0" applyFont="1" applyAlignment="1" applyProtection="1">
      <alignment horizontal="center" vertical="center"/>
    </xf>
    <xf numFmtId="0" fontId="4" fillId="0" borderId="11" xfId="0" applyFont="1" applyBorder="1" applyAlignment="1" applyProtection="1">
      <alignment horizontal="left" vertical="center"/>
    </xf>
    <xf numFmtId="2" fontId="4" fillId="0" borderId="11" xfId="0" applyNumberFormat="1" applyFont="1" applyBorder="1" applyAlignment="1" applyProtection="1">
      <alignment horizontal="center" vertical="center"/>
    </xf>
    <xf numFmtId="0" fontId="4" fillId="0" borderId="0" xfId="0" applyFont="1" applyAlignment="1" applyProtection="1">
      <alignment horizontal="left" vertical="center"/>
    </xf>
    <xf numFmtId="0" fontId="42" fillId="0" borderId="0" xfId="0" applyFont="1" applyBorder="1" applyAlignment="1" applyProtection="1">
      <alignment horizontal="center" wrapText="1"/>
    </xf>
    <xf numFmtId="0" fontId="42" fillId="0" borderId="0" xfId="0" applyFont="1" applyBorder="1" applyAlignment="1" applyProtection="1">
      <alignment horizontal="center"/>
    </xf>
    <xf numFmtId="0" fontId="31" fillId="0" borderId="0" xfId="0" applyFont="1" applyBorder="1" applyAlignment="1" applyProtection="1">
      <alignment horizontal="center"/>
    </xf>
    <xf numFmtId="0" fontId="4" fillId="0" borderId="0" xfId="0" applyFont="1" applyBorder="1" applyAlignment="1" applyProtection="1">
      <alignment horizontal="left" vertical="center" wrapText="1"/>
    </xf>
    <xf numFmtId="0" fontId="4" fillId="0" borderId="0" xfId="0" applyFont="1" applyAlignment="1" applyProtection="1">
      <alignment horizontal="left" vertical="center" wrapText="1"/>
    </xf>
    <xf numFmtId="0" fontId="4" fillId="0" borderId="15" xfId="0" applyFont="1" applyBorder="1" applyAlignment="1" applyProtection="1">
      <alignment horizontal="center" vertical="center"/>
    </xf>
    <xf numFmtId="0" fontId="4" fillId="0" borderId="16" xfId="0" applyFont="1" applyBorder="1" applyAlignment="1" applyProtection="1">
      <alignment horizontal="center" vertical="center"/>
    </xf>
    <xf numFmtId="0" fontId="4" fillId="0" borderId="15" xfId="0" applyFont="1" applyBorder="1" applyAlignment="1" applyProtection="1">
      <alignment horizontal="center" vertical="center" wrapText="1"/>
    </xf>
    <xf numFmtId="0" fontId="4" fillId="0" borderId="16"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4" fillId="0" borderId="18" xfId="0" applyFont="1" applyBorder="1" applyAlignment="1" applyProtection="1">
      <alignment horizontal="center" vertical="center" wrapText="1"/>
    </xf>
    <xf numFmtId="0" fontId="4" fillId="0" borderId="19" xfId="0" applyFont="1" applyBorder="1" applyAlignment="1" applyProtection="1">
      <alignment horizontal="center" vertical="center" wrapText="1"/>
    </xf>
    <xf numFmtId="0" fontId="94" fillId="0" borderId="0" xfId="0" applyFont="1" applyAlignment="1" applyProtection="1">
      <alignment horizontal="center" vertical="center"/>
    </xf>
    <xf numFmtId="0" fontId="94" fillId="0" borderId="11" xfId="0" applyFont="1" applyBorder="1" applyAlignment="1" applyProtection="1">
      <alignment horizontal="center" vertical="center"/>
    </xf>
    <xf numFmtId="0" fontId="89" fillId="0" borderId="0" xfId="0" applyFont="1" applyAlignment="1" applyProtection="1">
      <alignment horizontal="center"/>
    </xf>
    <xf numFmtId="0" fontId="93" fillId="0" borderId="0" xfId="0" applyFont="1" applyAlignment="1" applyProtection="1">
      <alignment horizontal="center" vertical="top" wrapText="1"/>
    </xf>
    <xf numFmtId="0" fontId="100" fillId="0" borderId="0" xfId="0" applyFont="1" applyAlignment="1" applyProtection="1">
      <alignment horizontal="center" vertical="center" wrapText="1"/>
    </xf>
    <xf numFmtId="0" fontId="91" fillId="0" borderId="0" xfId="0" applyFont="1" applyAlignment="1" applyProtection="1">
      <alignment horizontal="justify" vertical="center" wrapText="1"/>
    </xf>
    <xf numFmtId="0" fontId="89" fillId="0" borderId="20" xfId="0" applyFont="1" applyBorder="1" applyAlignment="1" applyProtection="1">
      <alignment horizontal="right"/>
    </xf>
    <xf numFmtId="0" fontId="93" fillId="0" borderId="0" xfId="0" applyFont="1" applyAlignment="1" applyProtection="1">
      <alignment horizontal="center"/>
    </xf>
    <xf numFmtId="0" fontId="47" fillId="0" borderId="0" xfId="0" applyFont="1" applyAlignment="1" applyProtection="1">
      <alignment horizontal="left" vertical="center"/>
    </xf>
    <xf numFmtId="0" fontId="42" fillId="0" borderId="0" xfId="0" applyFont="1" applyAlignment="1" applyProtection="1">
      <alignment horizontal="center" vertical="center"/>
    </xf>
    <xf numFmtId="0" fontId="42" fillId="0" borderId="0" xfId="0" applyFont="1" applyAlignment="1" applyProtection="1">
      <alignment horizontal="center" vertical="center" wrapText="1"/>
    </xf>
    <xf numFmtId="0" fontId="47" fillId="0" borderId="0" xfId="0" applyFont="1" applyAlignment="1" applyProtection="1">
      <alignment horizontal="left" vertical="top" wrapText="1"/>
    </xf>
    <xf numFmtId="0" fontId="47" fillId="0" borderId="0" xfId="0" applyFont="1" applyAlignment="1" applyProtection="1">
      <alignment horizontal="left" vertical="center" wrapText="1"/>
    </xf>
    <xf numFmtId="0" fontId="47" fillId="0" borderId="0" xfId="0" applyFont="1" applyAlignment="1" applyProtection="1">
      <alignment horizontal="center" vertical="center" wrapText="1"/>
    </xf>
    <xf numFmtId="0" fontId="71" fillId="0" borderId="0" xfId="0" applyFont="1" applyAlignment="1" applyProtection="1">
      <alignment horizontal="left" vertical="center" wrapText="1"/>
    </xf>
    <xf numFmtId="0" fontId="47" fillId="0" borderId="0" xfId="0" applyFont="1" applyAlignment="1" applyProtection="1">
      <alignment horizontal="center" vertical="center"/>
    </xf>
    <xf numFmtId="0" fontId="41" fillId="0" borderId="0" xfId="0" applyFont="1" applyAlignment="1" applyProtection="1">
      <alignment horizontal="center" vertical="center" wrapText="1"/>
    </xf>
    <xf numFmtId="0" fontId="102" fillId="0" borderId="0" xfId="9" applyFont="1" applyAlignment="1">
      <alignment horizontal="justify" vertical="justify" wrapText="1"/>
    </xf>
    <xf numFmtId="0" fontId="74" fillId="0" borderId="0" xfId="9" applyFont="1" applyAlignment="1">
      <alignment horizontal="center" vertical="center" wrapText="1"/>
    </xf>
    <xf numFmtId="0" fontId="74" fillId="0" borderId="0" xfId="9" applyFont="1" applyAlignment="1">
      <alignment horizontal="center" vertical="center"/>
    </xf>
    <xf numFmtId="0" fontId="111" fillId="0" borderId="0" xfId="9" applyFont="1" applyAlignment="1">
      <alignment horizontal="center" vertical="center"/>
    </xf>
    <xf numFmtId="0" fontId="47" fillId="0" borderId="0" xfId="9" applyFont="1" applyAlignment="1">
      <alignment horizontal="center"/>
    </xf>
    <xf numFmtId="14" fontId="41" fillId="0" borderId="0" xfId="9" applyNumberFormat="1" applyFont="1" applyAlignment="1">
      <alignment horizontal="center"/>
    </xf>
    <xf numFmtId="0" fontId="105" fillId="0" borderId="0" xfId="10" quotePrefix="1" applyFont="1" applyAlignment="1">
      <alignment horizontal="left" vertical="center" wrapText="1"/>
    </xf>
    <xf numFmtId="201" fontId="106" fillId="0" borderId="0" xfId="10" applyNumberFormat="1" applyFont="1" applyAlignment="1">
      <alignment horizontal="left" vertical="center" wrapText="1"/>
    </xf>
    <xf numFmtId="0" fontId="105" fillId="0" borderId="0" xfId="9" quotePrefix="1" applyFont="1" applyAlignment="1">
      <alignment horizontal="justify" vertical="center" wrapText="1"/>
    </xf>
    <xf numFmtId="0" fontId="105" fillId="0" borderId="0" xfId="9" quotePrefix="1" applyFont="1" applyAlignment="1">
      <alignment horizontal="left" vertical="center" wrapText="1"/>
    </xf>
    <xf numFmtId="0" fontId="105" fillId="0" borderId="0" xfId="9" applyFont="1" applyAlignment="1">
      <alignment horizontal="left" vertical="center" wrapText="1"/>
    </xf>
    <xf numFmtId="0" fontId="107" fillId="0" borderId="0" xfId="9" applyFont="1" applyFill="1" applyAlignment="1">
      <alignment horizontal="right" vertical="center" wrapText="1"/>
    </xf>
    <xf numFmtId="0" fontId="107" fillId="0" borderId="0" xfId="9" applyFont="1" applyFill="1" applyAlignment="1">
      <alignment horizontal="left" vertical="center" wrapText="1"/>
    </xf>
    <xf numFmtId="1" fontId="108" fillId="0" borderId="0" xfId="0" quotePrefix="1" applyNumberFormat="1" applyFont="1" applyAlignment="1" applyProtection="1">
      <alignment horizontal="left" vertical="center" wrapText="1"/>
    </xf>
    <xf numFmtId="0" fontId="93" fillId="0" borderId="0" xfId="0" applyFont="1" applyAlignment="1" applyProtection="1">
      <alignment horizontal="center" vertical="center" wrapText="1"/>
    </xf>
    <xf numFmtId="0" fontId="105" fillId="0" borderId="0" xfId="0" applyFont="1" applyAlignment="1" applyProtection="1">
      <alignment horizontal="center" vertical="center" wrapText="1"/>
    </xf>
    <xf numFmtId="0" fontId="105" fillId="0" borderId="0" xfId="0" applyFont="1" applyAlignment="1" applyProtection="1">
      <alignment horizontal="center" vertical="center"/>
    </xf>
    <xf numFmtId="0" fontId="105" fillId="0" borderId="0" xfId="0" applyFont="1" applyAlignment="1" applyProtection="1">
      <alignment horizontal="left" vertical="center"/>
    </xf>
    <xf numFmtId="1" fontId="108" fillId="0" borderId="0" xfId="0" quotePrefix="1" applyNumberFormat="1" applyFont="1" applyAlignment="1" applyProtection="1">
      <alignment horizontal="center" vertical="center"/>
    </xf>
    <xf numFmtId="3" fontId="31" fillId="0" borderId="20" xfId="0" applyNumberFormat="1" applyFont="1" applyFill="1" applyBorder="1" applyAlignment="1" applyProtection="1">
      <alignment horizontal="right" vertical="center"/>
    </xf>
    <xf numFmtId="0" fontId="4" fillId="0" borderId="7" xfId="0" applyFont="1" applyFill="1" applyBorder="1" applyAlignment="1" applyProtection="1">
      <alignment horizontal="center" vertical="center" wrapText="1"/>
    </xf>
    <xf numFmtId="3" fontId="4" fillId="0" borderId="7" xfId="0" applyNumberFormat="1" applyFont="1" applyFill="1" applyBorder="1" applyAlignment="1" applyProtection="1">
      <alignment horizontal="center" vertical="center" wrapText="1"/>
    </xf>
    <xf numFmtId="0" fontId="48" fillId="0" borderId="7" xfId="3" applyFont="1" applyFill="1" applyBorder="1" applyAlignment="1" applyProtection="1">
      <alignment horizontal="center" vertical="center" wrapText="1"/>
      <protection locked="0"/>
    </xf>
    <xf numFmtId="0" fontId="31" fillId="0" borderId="0" xfId="2" applyFont="1" applyFill="1" applyAlignment="1">
      <alignment horizontal="center" vertical="center" wrapText="1"/>
    </xf>
    <xf numFmtId="0" fontId="43" fillId="0" borderId="20"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0" fontId="43" fillId="0" borderId="0"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7" xfId="0" applyFont="1" applyBorder="1" applyAlignment="1" applyProtection="1">
      <alignment horizontal="center" vertical="center" wrapText="1"/>
    </xf>
    <xf numFmtId="4" fontId="43" fillId="0" borderId="7" xfId="0" applyNumberFormat="1" applyFont="1" applyBorder="1" applyAlignment="1" applyProtection="1">
      <alignment horizontal="center" vertical="center" wrapText="1"/>
    </xf>
    <xf numFmtId="4" fontId="43" fillId="0" borderId="7" xfId="0" applyNumberFormat="1" applyFont="1" applyBorder="1" applyAlignment="1" applyProtection="1">
      <alignment horizontal="center"/>
    </xf>
    <xf numFmtId="0" fontId="43" fillId="0" borderId="7" xfId="0" applyFont="1" applyBorder="1" applyAlignment="1" applyProtection="1">
      <alignment horizontal="center"/>
    </xf>
    <xf numFmtId="0" fontId="74" fillId="6" borderId="15" xfId="0" applyFont="1" applyFill="1" applyBorder="1" applyAlignment="1" applyProtection="1">
      <alignment horizontal="center" vertical="center" wrapText="1"/>
    </xf>
    <xf numFmtId="0" fontId="74" fillId="6" borderId="16" xfId="0" applyFont="1" applyFill="1" applyBorder="1" applyAlignment="1" applyProtection="1">
      <alignment horizontal="center" vertical="center" wrapText="1"/>
    </xf>
    <xf numFmtId="0" fontId="74" fillId="0" borderId="0" xfId="0" applyFont="1" applyAlignment="1" applyProtection="1">
      <alignment horizontal="center" vertical="center"/>
    </xf>
    <xf numFmtId="0" fontId="74" fillId="0" borderId="0" xfId="0" applyFont="1" applyAlignment="1" applyProtection="1">
      <alignment horizontal="center"/>
    </xf>
    <xf numFmtId="0" fontId="75" fillId="0" borderId="0" xfId="0" applyFont="1" applyAlignment="1" applyProtection="1">
      <alignment horizontal="center" vertical="center"/>
    </xf>
    <xf numFmtId="0" fontId="75" fillId="0" borderId="20" xfId="0" applyFont="1" applyBorder="1" applyAlignment="1" applyProtection="1">
      <alignment horizontal="center" vertical="center"/>
    </xf>
    <xf numFmtId="0" fontId="74" fillId="6" borderId="15" xfId="0" applyFont="1" applyFill="1" applyBorder="1" applyAlignment="1" applyProtection="1">
      <alignment horizontal="center" vertical="center"/>
    </xf>
    <xf numFmtId="0" fontId="74" fillId="6" borderId="16" xfId="0" applyFont="1" applyFill="1" applyBorder="1" applyAlignment="1" applyProtection="1">
      <alignment horizontal="center" vertical="center"/>
    </xf>
    <xf numFmtId="0" fontId="74" fillId="6" borderId="15" xfId="0" applyFont="1" applyFill="1" applyBorder="1" applyAlignment="1" applyProtection="1">
      <alignment horizontal="center"/>
    </xf>
    <xf numFmtId="0" fontId="74" fillId="6" borderId="16" xfId="0" applyFont="1" applyFill="1" applyBorder="1" applyAlignment="1" applyProtection="1">
      <alignment horizontal="center"/>
    </xf>
    <xf numFmtId="0" fontId="74" fillId="6" borderId="7" xfId="0" applyFont="1" applyFill="1" applyBorder="1" applyAlignment="1" applyProtection="1">
      <alignment horizontal="center" vertical="center"/>
    </xf>
    <xf numFmtId="0" fontId="4" fillId="0" borderId="20" xfId="0" applyFont="1" applyBorder="1" applyAlignment="1" applyProtection="1">
      <alignment horizontal="center" vertical="center"/>
    </xf>
    <xf numFmtId="0" fontId="4" fillId="0" borderId="17" xfId="0" applyFont="1" applyBorder="1" applyAlignment="1" applyProtection="1">
      <alignment horizontal="center" vertical="center"/>
    </xf>
    <xf numFmtId="0" fontId="4" fillId="0" borderId="18" xfId="0" applyFont="1" applyBorder="1" applyAlignment="1" applyProtection="1">
      <alignment horizontal="center" vertical="center"/>
    </xf>
    <xf numFmtId="0" fontId="4" fillId="0" borderId="19" xfId="0" applyFont="1" applyBorder="1" applyAlignment="1" applyProtection="1">
      <alignment horizontal="center" vertical="center"/>
    </xf>
    <xf numFmtId="0" fontId="4" fillId="0" borderId="7" xfId="0" applyFont="1" applyBorder="1" applyAlignment="1" applyProtection="1">
      <alignment horizontal="center" vertical="center" wrapText="1"/>
    </xf>
    <xf numFmtId="4" fontId="4" fillId="0" borderId="18" xfId="0" applyNumberFormat="1" applyFont="1" applyBorder="1" applyAlignment="1" applyProtection="1">
      <alignment horizontal="center" vertical="center"/>
    </xf>
    <xf numFmtId="4" fontId="4" fillId="0" borderId="19" xfId="0" applyNumberFormat="1" applyFont="1" applyBorder="1" applyAlignment="1" applyProtection="1">
      <alignment horizontal="center" vertical="center"/>
    </xf>
    <xf numFmtId="4" fontId="4" fillId="0" borderId="7" xfId="0" applyNumberFormat="1" applyFont="1" applyBorder="1" applyAlignment="1" applyProtection="1">
      <alignment horizontal="center" vertical="center" wrapText="1"/>
    </xf>
    <xf numFmtId="4" fontId="4" fillId="0" borderId="17" xfId="0" applyNumberFormat="1" applyFont="1" applyBorder="1" applyAlignment="1" applyProtection="1">
      <alignment horizontal="center"/>
    </xf>
    <xf numFmtId="4" fontId="4" fillId="0" borderId="18" xfId="0" applyNumberFormat="1" applyFont="1" applyBorder="1" applyAlignment="1" applyProtection="1">
      <alignment horizontal="center"/>
    </xf>
    <xf numFmtId="193" fontId="4" fillId="0" borderId="0" xfId="3" applyNumberFormat="1" applyFont="1" applyAlignment="1" applyProtection="1">
      <alignment horizontal="center" vertical="center"/>
    </xf>
    <xf numFmtId="0" fontId="43" fillId="0" borderId="0" xfId="3" applyFont="1" applyAlignment="1" applyProtection="1">
      <alignment horizontal="center" vertical="center" wrapText="1"/>
    </xf>
    <xf numFmtId="0" fontId="4" fillId="0" borderId="20" xfId="3" applyFont="1" applyBorder="1" applyAlignment="1" applyProtection="1">
      <alignment horizontal="center" vertical="center" wrapText="1"/>
    </xf>
    <xf numFmtId="0" fontId="4" fillId="5" borderId="0" xfId="0" applyFont="1" applyFill="1" applyAlignment="1">
      <alignment horizontal="center" vertical="top"/>
      <protection locked="0"/>
    </xf>
    <xf numFmtId="0" fontId="44" fillId="5" borderId="0" xfId="0" applyFont="1" applyFill="1" applyAlignment="1">
      <alignment horizontal="center" vertical="top"/>
      <protection locked="0"/>
    </xf>
    <xf numFmtId="0" fontId="4" fillId="5" borderId="0" xfId="0" applyFont="1" applyFill="1" applyAlignment="1">
      <alignment horizontal="center" vertical="center" wrapText="1"/>
      <protection locked="0"/>
    </xf>
    <xf numFmtId="0" fontId="43" fillId="5" borderId="0" xfId="0" applyFont="1" applyFill="1" applyBorder="1" applyAlignment="1">
      <alignment horizontal="center" vertical="center"/>
      <protection locked="0"/>
    </xf>
    <xf numFmtId="0" fontId="43" fillId="5" borderId="0" xfId="0" applyFont="1" applyFill="1" applyBorder="1" applyAlignment="1">
      <alignment vertical="center"/>
      <protection locked="0"/>
    </xf>
    <xf numFmtId="164" fontId="43" fillId="5" borderId="0" xfId="0" applyNumberFormat="1" applyFont="1" applyFill="1" applyBorder="1" applyAlignment="1">
      <alignment vertical="center" wrapText="1"/>
      <protection locked="0"/>
    </xf>
    <xf numFmtId="165" fontId="43" fillId="5" borderId="0" xfId="0" applyNumberFormat="1" applyFont="1" applyFill="1" applyBorder="1" applyAlignment="1">
      <alignment vertical="center" wrapText="1"/>
      <protection locked="0"/>
    </xf>
    <xf numFmtId="0" fontId="4" fillId="5" borderId="4" xfId="0" applyFont="1" applyFill="1" applyBorder="1" applyAlignment="1">
      <alignment horizontal="center" vertical="top" wrapText="1"/>
      <protection locked="0"/>
    </xf>
    <xf numFmtId="0" fontId="4" fillId="5" borderId="4" xfId="0" applyFont="1" applyFill="1" applyBorder="1" applyAlignment="1">
      <alignment vertical="top"/>
      <protection locked="0"/>
    </xf>
    <xf numFmtId="164" fontId="4" fillId="5" borderId="4" xfId="0" applyNumberFormat="1" applyFont="1" applyFill="1" applyBorder="1" applyAlignment="1">
      <alignment vertical="top" wrapText="1"/>
      <protection locked="0"/>
    </xf>
    <xf numFmtId="165" fontId="4" fillId="5" borderId="4" xfId="0" applyNumberFormat="1" applyFont="1" applyFill="1" applyBorder="1" applyAlignment="1">
      <alignment vertical="top" wrapText="1"/>
      <protection locked="0"/>
    </xf>
    <xf numFmtId="0" fontId="4" fillId="5" borderId="21" xfId="0" applyFont="1" applyFill="1" applyBorder="1" applyAlignment="1">
      <alignment horizontal="center" vertical="top" wrapText="1"/>
      <protection locked="0"/>
    </xf>
    <xf numFmtId="0" fontId="4" fillId="5" borderId="21" xfId="0" applyFont="1" applyFill="1" applyBorder="1" applyAlignment="1">
      <alignment vertical="top"/>
      <protection locked="0"/>
    </xf>
    <xf numFmtId="164" fontId="4" fillId="5" borderId="21" xfId="0" applyNumberFormat="1" applyFont="1" applyFill="1" applyBorder="1" applyAlignment="1">
      <alignment vertical="top" wrapText="1"/>
      <protection locked="0"/>
    </xf>
    <xf numFmtId="165" fontId="4" fillId="5" borderId="21" xfId="0" applyNumberFormat="1" applyFont="1" applyFill="1" applyBorder="1" applyAlignment="1">
      <alignment vertical="top" wrapText="1"/>
      <protection locked="0"/>
    </xf>
    <xf numFmtId="0" fontId="4" fillId="5" borderId="4" xfId="0" applyFont="1" applyFill="1" applyBorder="1" applyAlignment="1">
      <alignment horizontal="center" vertical="center" wrapText="1"/>
      <protection locked="0"/>
    </xf>
    <xf numFmtId="0" fontId="4" fillId="5" borderId="14" xfId="0" applyFont="1" applyFill="1" applyBorder="1" applyAlignment="1">
      <alignment horizontal="center" vertical="center" wrapText="1"/>
      <protection locked="0"/>
    </xf>
    <xf numFmtId="0" fontId="4" fillId="5" borderId="1" xfId="0" applyFont="1" applyFill="1" applyBorder="1" applyAlignment="1">
      <alignment horizontal="center" vertical="center" wrapText="1"/>
      <protection locked="0"/>
    </xf>
    <xf numFmtId="0" fontId="44" fillId="5" borderId="0" xfId="0" applyFont="1" applyFill="1" applyAlignment="1" applyProtection="1">
      <alignment horizontal="center" vertical="top"/>
    </xf>
    <xf numFmtId="0" fontId="3" fillId="0" borderId="0" xfId="0" applyFont="1" applyAlignment="1">
      <alignment horizontal="center" vertical="top"/>
      <protection locked="0"/>
    </xf>
    <xf numFmtId="0" fontId="2" fillId="0" borderId="0" xfId="0" applyFont="1" applyAlignment="1">
      <alignment vertical="top"/>
      <protection locked="0"/>
    </xf>
    <xf numFmtId="0" fontId="4" fillId="0" borderId="0" xfId="0" applyFont="1" applyAlignment="1">
      <alignment horizontal="center" vertical="top" wrapText="1"/>
      <protection locked="0"/>
    </xf>
    <xf numFmtId="0" fontId="8" fillId="0" borderId="0" xfId="0" applyFont="1" applyAlignment="1">
      <alignment vertical="center"/>
      <protection locked="0"/>
    </xf>
    <xf numFmtId="0" fontId="8" fillId="0" borderId="0" xfId="0" applyFont="1" applyAlignment="1">
      <alignment vertical="top"/>
      <protection locked="0"/>
    </xf>
    <xf numFmtId="1" fontId="8" fillId="0" borderId="0" xfId="0" applyNumberFormat="1" applyFont="1" applyAlignment="1">
      <alignment vertical="center"/>
      <protection locked="0"/>
    </xf>
    <xf numFmtId="0" fontId="5" fillId="2" borderId="14" xfId="0" applyFont="1" applyFill="1" applyBorder="1" applyAlignment="1">
      <alignment horizontal="center" vertical="center"/>
      <protection locked="0"/>
    </xf>
    <xf numFmtId="0" fontId="5" fillId="2" borderId="1" xfId="0" applyFont="1" applyFill="1" applyBorder="1" applyAlignment="1">
      <alignment horizontal="center" vertical="center"/>
      <protection locked="0"/>
    </xf>
    <xf numFmtId="49" fontId="8" fillId="0" borderId="22" xfId="0" applyNumberFormat="1" applyFont="1" applyBorder="1" applyAlignment="1">
      <alignment vertical="top" wrapText="1"/>
      <protection locked="0"/>
    </xf>
    <xf numFmtId="0" fontId="8" fillId="0" borderId="3" xfId="0" applyFont="1" applyBorder="1" applyAlignment="1">
      <alignment vertical="top"/>
      <protection locked="0"/>
    </xf>
    <xf numFmtId="0" fontId="12" fillId="0" borderId="0" xfId="0" applyFont="1" applyAlignment="1">
      <alignment horizontal="center"/>
      <protection locked="0"/>
    </xf>
    <xf numFmtId="0" fontId="8" fillId="0" borderId="0" xfId="0" applyFont="1" applyAlignment="1">
      <alignment horizontal="center"/>
      <protection locked="0"/>
    </xf>
    <xf numFmtId="49" fontId="8" fillId="0" borderId="21" xfId="0" applyNumberFormat="1" applyFont="1" applyBorder="1" applyAlignment="1">
      <alignment vertical="top" wrapText="1"/>
      <protection locked="0"/>
    </xf>
    <xf numFmtId="0" fontId="8" fillId="0" borderId="2" xfId="0" applyFont="1" applyBorder="1" applyAlignment="1">
      <alignment vertical="top"/>
      <protection locked="0"/>
    </xf>
    <xf numFmtId="0" fontId="8" fillId="0" borderId="0" xfId="0" applyFont="1" applyAlignment="1">
      <alignment horizontal="center" vertical="center" wrapText="1"/>
      <protection locked="0"/>
    </xf>
    <xf numFmtId="0" fontId="8" fillId="0" borderId="0" xfId="0" applyFont="1" applyAlignment="1">
      <alignment horizontal="center" vertical="center"/>
      <protection locked="0"/>
    </xf>
    <xf numFmtId="0" fontId="13" fillId="0" borderId="0" xfId="0" applyFont="1" applyAlignment="1">
      <alignment horizontal="center" vertical="top"/>
      <protection locked="0"/>
    </xf>
    <xf numFmtId="0" fontId="8" fillId="0" borderId="0" xfId="0" applyFont="1" applyAlignment="1">
      <alignment horizontal="right"/>
      <protection locked="0"/>
    </xf>
    <xf numFmtId="0" fontId="5" fillId="2" borderId="23" xfId="0" applyFont="1" applyFill="1" applyBorder="1" applyAlignment="1">
      <alignment horizontal="center" vertical="center" wrapText="1"/>
      <protection locked="0"/>
    </xf>
    <xf numFmtId="0" fontId="5" fillId="2" borderId="24" xfId="0" applyFont="1" applyFill="1" applyBorder="1" applyAlignment="1">
      <alignment horizontal="center" vertical="center" wrapText="1"/>
      <protection locked="0"/>
    </xf>
    <xf numFmtId="0" fontId="5" fillId="2" borderId="6" xfId="0" applyFont="1" applyFill="1" applyBorder="1" applyAlignment="1">
      <alignment horizontal="center" vertical="center"/>
      <protection locked="0"/>
    </xf>
    <xf numFmtId="0" fontId="5" fillId="2" borderId="25" xfId="0" applyFont="1" applyFill="1" applyBorder="1" applyAlignment="1">
      <alignment horizontal="center" vertical="center" wrapText="1"/>
      <protection locked="0"/>
    </xf>
    <xf numFmtId="0" fontId="5" fillId="2" borderId="26" xfId="0" applyFont="1" applyFill="1" applyBorder="1" applyAlignment="1">
      <alignment horizontal="center" vertical="center" wrapText="1"/>
      <protection locked="0"/>
    </xf>
    <xf numFmtId="0" fontId="5" fillId="2" borderId="2" xfId="0" applyFont="1" applyFill="1" applyBorder="1" applyAlignment="1">
      <alignment horizontal="center" vertical="center"/>
      <protection locked="0"/>
    </xf>
    <xf numFmtId="0" fontId="5" fillId="2" borderId="14" xfId="0" applyFont="1" applyFill="1" applyBorder="1" applyAlignment="1">
      <alignment horizontal="center" vertical="center" wrapText="1"/>
      <protection locked="0"/>
    </xf>
    <xf numFmtId="0" fontId="5" fillId="2" borderId="1" xfId="0" applyFont="1" applyFill="1" applyBorder="1" applyAlignment="1">
      <alignment horizontal="center" vertical="center" wrapText="1"/>
      <protection locked="0"/>
    </xf>
    <xf numFmtId="0" fontId="5" fillId="0" borderId="0" xfId="0" applyFont="1" applyAlignment="1">
      <alignment horizontal="center" vertical="top" wrapText="1"/>
      <protection locked="0"/>
    </xf>
    <xf numFmtId="0" fontId="5" fillId="2" borderId="23" xfId="0" applyFont="1" applyFill="1" applyBorder="1" applyAlignment="1">
      <alignment horizontal="center" vertical="center"/>
      <protection locked="0"/>
    </xf>
    <xf numFmtId="0" fontId="5" fillId="2" borderId="25" xfId="0" applyFont="1" applyFill="1" applyBorder="1" applyAlignment="1">
      <alignment horizontal="center" vertical="center"/>
      <protection locked="0"/>
    </xf>
    <xf numFmtId="0" fontId="5" fillId="2" borderId="2" xfId="0" applyFont="1" applyFill="1" applyBorder="1" applyAlignment="1">
      <alignment horizontal="center" vertical="center" wrapText="1"/>
      <protection locked="0"/>
    </xf>
    <xf numFmtId="0" fontId="5" fillId="2" borderId="14"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2" borderId="25"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3" fillId="0" borderId="0" xfId="0" applyFont="1" applyAlignment="1" applyProtection="1">
      <alignment horizontal="center" vertical="top"/>
    </xf>
    <xf numFmtId="0" fontId="8" fillId="0" borderId="0" xfId="0" applyFont="1" applyAlignment="1" applyProtection="1">
      <alignment vertical="top"/>
    </xf>
    <xf numFmtId="0" fontId="4" fillId="0" borderId="0" xfId="0" applyFont="1" applyAlignment="1" applyProtection="1">
      <alignment horizontal="center" vertical="top" wrapText="1"/>
    </xf>
    <xf numFmtId="0" fontId="5" fillId="2" borderId="23"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6" xfId="0" applyFont="1" applyFill="1" applyBorder="1" applyAlignment="1">
      <alignment horizontal="center" vertical="center" wrapText="1"/>
      <protection locked="0"/>
    </xf>
    <xf numFmtId="0" fontId="2" fillId="0" borderId="0" xfId="0" applyFont="1" applyAlignment="1">
      <alignment horizontal="center" vertical="top"/>
      <protection locked="0"/>
    </xf>
    <xf numFmtId="0" fontId="4" fillId="0" borderId="0" xfId="0" applyFont="1" applyAlignment="1">
      <alignment horizontal="left" vertical="top" wrapText="1"/>
      <protection locked="0"/>
    </xf>
    <xf numFmtId="49" fontId="28" fillId="0" borderId="27" xfId="0" applyNumberFormat="1" applyFont="1" applyBorder="1" applyAlignment="1">
      <alignment horizontal="center" vertical="center" wrapText="1"/>
      <protection locked="0"/>
    </xf>
    <xf numFmtId="0" fontId="2" fillId="0" borderId="21" xfId="0" applyFont="1" applyBorder="1" applyAlignment="1">
      <alignment vertical="center" wrapText="1"/>
      <protection locked="0"/>
    </xf>
    <xf numFmtId="0" fontId="2" fillId="0" borderId="21" xfId="0" applyFont="1" applyBorder="1" applyAlignment="1">
      <alignment horizontal="center" vertical="center" wrapText="1"/>
      <protection locked="0"/>
    </xf>
    <xf numFmtId="0" fontId="8" fillId="0" borderId="21" xfId="0" applyFont="1" applyBorder="1" applyAlignment="1">
      <alignment horizontal="center" vertical="center" wrapText="1"/>
      <protection locked="0"/>
    </xf>
    <xf numFmtId="0" fontId="2" fillId="0" borderId="21" xfId="0" applyFont="1" applyBorder="1" applyAlignment="1">
      <alignment vertical="center"/>
      <protection locked="0"/>
    </xf>
    <xf numFmtId="0" fontId="2" fillId="0" borderId="21" xfId="0" applyFont="1" applyBorder="1" applyAlignment="1">
      <alignment horizontal="center" vertical="center"/>
      <protection locked="0"/>
    </xf>
    <xf numFmtId="3" fontId="2" fillId="0" borderId="2" xfId="0" applyNumberFormat="1" applyFont="1" applyBorder="1" applyAlignment="1">
      <alignment vertical="center" wrapText="1"/>
      <protection locked="0"/>
    </xf>
    <xf numFmtId="0" fontId="8" fillId="0" borderId="21" xfId="0" applyFont="1" applyBorder="1" applyAlignment="1">
      <alignment vertical="top" wrapText="1"/>
      <protection locked="0"/>
    </xf>
    <xf numFmtId="0" fontId="8" fillId="0" borderId="21" xfId="0" applyFont="1" applyBorder="1" applyAlignment="1">
      <alignment vertical="top"/>
      <protection locked="0"/>
    </xf>
    <xf numFmtId="49" fontId="3" fillId="0" borderId="0" xfId="0" applyNumberFormat="1" applyFont="1" applyAlignment="1">
      <alignment horizontal="center" vertical="top" wrapText="1"/>
      <protection locked="0"/>
    </xf>
    <xf numFmtId="49" fontId="8" fillId="0" borderId="0" xfId="0" applyNumberFormat="1" applyFont="1" applyAlignment="1">
      <alignment vertical="top" wrapText="1"/>
      <protection locked="0"/>
    </xf>
    <xf numFmtId="0" fontId="29" fillId="2" borderId="6" xfId="0" applyFont="1" applyFill="1" applyBorder="1" applyAlignment="1">
      <alignment horizontal="center" vertical="top" wrapText="1"/>
      <protection locked="0"/>
    </xf>
    <xf numFmtId="0" fontId="29" fillId="2" borderId="2" xfId="0" applyFont="1" applyFill="1" applyBorder="1" applyAlignment="1">
      <alignment horizontal="center" vertical="top" wrapText="1"/>
      <protection locked="0"/>
    </xf>
    <xf numFmtId="49" fontId="5" fillId="2" borderId="25" xfId="0" applyNumberFormat="1" applyFont="1" applyFill="1" applyBorder="1" applyAlignment="1">
      <alignment horizontal="center" vertical="center" wrapText="1"/>
      <protection locked="0"/>
    </xf>
    <xf numFmtId="49" fontId="5" fillId="2" borderId="2" xfId="0" applyNumberFormat="1" applyFont="1" applyFill="1" applyBorder="1" applyAlignment="1">
      <alignment horizontal="center" vertical="center" wrapText="1"/>
      <protection locked="0"/>
    </xf>
    <xf numFmtId="0" fontId="30" fillId="0" borderId="27" xfId="0" applyFont="1" applyBorder="1" applyAlignment="1">
      <alignment horizontal="center"/>
      <protection locked="0"/>
    </xf>
    <xf numFmtId="3" fontId="30" fillId="0" borderId="21" xfId="0" applyNumberFormat="1" applyFont="1" applyBorder="1" applyAlignment="1">
      <alignment wrapText="1"/>
      <protection locked="0"/>
    </xf>
    <xf numFmtId="166" fontId="30" fillId="0" borderId="26" xfId="0" applyNumberFormat="1" applyFont="1" applyBorder="1" applyAlignment="1">
      <alignment horizontal="center" wrapText="1"/>
      <protection locked="0"/>
    </xf>
    <xf numFmtId="166" fontId="8" fillId="0" borderId="26" xfId="0" applyNumberFormat="1" applyFont="1" applyBorder="1" applyAlignment="1">
      <alignment vertical="top" wrapText="1"/>
      <protection locked="0"/>
    </xf>
    <xf numFmtId="166" fontId="8" fillId="0" borderId="3" xfId="0" applyNumberFormat="1" applyFont="1" applyBorder="1" applyAlignment="1">
      <alignment vertical="top" wrapText="1"/>
      <protection locked="0"/>
    </xf>
    <xf numFmtId="49" fontId="5" fillId="2" borderId="23" xfId="0" applyNumberFormat="1" applyFont="1" applyFill="1" applyBorder="1" applyAlignment="1">
      <alignment horizontal="center" vertical="center" wrapText="1"/>
      <protection locked="0"/>
    </xf>
    <xf numFmtId="49" fontId="5" fillId="2" borderId="6" xfId="0" applyNumberFormat="1" applyFont="1" applyFill="1" applyBorder="1" applyAlignment="1">
      <alignment horizontal="center" vertical="center" wrapText="1"/>
      <protection locked="0"/>
    </xf>
    <xf numFmtId="3" fontId="42" fillId="0" borderId="0" xfId="3" applyNumberFormat="1" applyFont="1" applyBorder="1" applyAlignment="1">
      <alignment horizontal="center" vertical="center"/>
    </xf>
    <xf numFmtId="0" fontId="2" fillId="0" borderId="0" xfId="0" applyFont="1" applyAlignment="1" applyProtection="1">
      <alignment horizontal="center" vertical="top"/>
    </xf>
    <xf numFmtId="0" fontId="31" fillId="0" borderId="0" xfId="0" applyFont="1" applyAlignment="1">
      <alignment horizontal="right"/>
      <protection locked="0"/>
    </xf>
    <xf numFmtId="0" fontId="2" fillId="0" borderId="21" xfId="0" applyFont="1" applyBorder="1" applyAlignment="1">
      <alignment vertical="top" wrapText="1"/>
      <protection locked="0"/>
    </xf>
    <xf numFmtId="0" fontId="2" fillId="0" borderId="21" xfId="0" applyFont="1" applyBorder="1" applyAlignment="1">
      <alignment vertical="top"/>
      <protection locked="0"/>
    </xf>
    <xf numFmtId="0" fontId="2" fillId="0" borderId="2" xfId="0" applyFont="1" applyBorder="1" applyAlignment="1">
      <alignment vertical="top"/>
      <protection locked="0"/>
    </xf>
    <xf numFmtId="0" fontId="41" fillId="0" borderId="0" xfId="0" applyFont="1" applyBorder="1" applyAlignment="1">
      <alignment horizontal="center" vertical="center"/>
      <protection locked="0"/>
    </xf>
    <xf numFmtId="0" fontId="5" fillId="2" borderId="0" xfId="0" applyFont="1" applyFill="1" applyAlignment="1">
      <alignment horizontal="center" vertical="center" wrapText="1"/>
      <protection locked="0"/>
    </xf>
    <xf numFmtId="0" fontId="42" fillId="0" borderId="0" xfId="0" applyFont="1" applyAlignment="1">
      <alignment horizontal="center" vertical="center"/>
      <protection locked="0"/>
    </xf>
    <xf numFmtId="0" fontId="47" fillId="0" borderId="0" xfId="0" applyFont="1" applyAlignment="1">
      <alignment horizontal="center" vertical="center"/>
      <protection locked="0"/>
    </xf>
    <xf numFmtId="0" fontId="48" fillId="0" borderId="0" xfId="0" applyFont="1" applyAlignment="1">
      <alignment horizontal="center" vertical="center"/>
      <protection locked="0"/>
    </xf>
    <xf numFmtId="0" fontId="4" fillId="0" borderId="0" xfId="0" applyFont="1" applyAlignment="1">
      <alignment horizontal="center" vertical="center" wrapText="1"/>
      <protection locked="0"/>
    </xf>
    <xf numFmtId="0" fontId="44" fillId="0" borderId="0" xfId="0" applyFont="1" applyAlignment="1">
      <alignment horizontal="center" vertical="center"/>
      <protection locked="0"/>
    </xf>
    <xf numFmtId="49" fontId="48" fillId="0" borderId="27" xfId="0" applyNumberFormat="1" applyFont="1" applyBorder="1" applyAlignment="1">
      <alignment horizontal="center" vertical="center" wrapText="1"/>
      <protection locked="0"/>
    </xf>
    <xf numFmtId="0" fontId="44" fillId="0" borderId="21" xfId="0" applyFont="1" applyBorder="1" applyAlignment="1">
      <alignment horizontal="center" vertical="center" wrapText="1"/>
      <protection locked="0"/>
    </xf>
    <xf numFmtId="168" fontId="44" fillId="0" borderId="21" xfId="0" applyNumberFormat="1" applyFont="1" applyBorder="1" applyAlignment="1">
      <alignment horizontal="center" vertical="center" wrapText="1"/>
      <protection locked="0"/>
    </xf>
    <xf numFmtId="0" fontId="44" fillId="0" borderId="21" xfId="0" applyFont="1" applyBorder="1" applyAlignment="1">
      <alignment horizontal="center" vertical="center"/>
      <protection locked="0"/>
    </xf>
    <xf numFmtId="0" fontId="44" fillId="0" borderId="2" xfId="0" applyFont="1" applyBorder="1" applyAlignment="1">
      <alignment horizontal="center" vertical="center"/>
      <protection locked="0"/>
    </xf>
    <xf numFmtId="0" fontId="2" fillId="0" borderId="21" xfId="0" applyFont="1" applyBorder="1" applyAlignment="1">
      <alignment horizontal="center" vertical="top" wrapText="1"/>
      <protection locked="0"/>
    </xf>
    <xf numFmtId="168" fontId="2" fillId="0" borderId="21" xfId="0" applyNumberFormat="1" applyFont="1" applyBorder="1" applyAlignment="1">
      <alignment vertical="top" wrapText="1"/>
      <protection locked="0"/>
    </xf>
    <xf numFmtId="49" fontId="28" fillId="0" borderId="0" xfId="0" applyNumberFormat="1" applyFont="1" applyAlignment="1">
      <alignment horizontal="center" vertical="center" wrapText="1"/>
      <protection locked="0"/>
    </xf>
    <xf numFmtId="0" fontId="8" fillId="0" borderId="0" xfId="0" applyFont="1" applyAlignment="1">
      <alignment horizontal="center" vertical="top"/>
      <protection locked="0"/>
    </xf>
    <xf numFmtId="0" fontId="2" fillId="0" borderId="0" xfId="0" applyFont="1" applyAlignment="1">
      <alignment horizontal="left" vertical="top"/>
      <protection locked="0"/>
    </xf>
  </cellXfs>
  <cellStyles count="11">
    <cellStyle name="Comma" xfId="7" builtinId="3"/>
    <cellStyle name="Comma 6" xfId="1"/>
    <cellStyle name="Normal" xfId="0" builtinId="0"/>
    <cellStyle name="Normal 11 2 2" xfId="10"/>
    <cellStyle name="Normal 11 5" xfId="9"/>
    <cellStyle name="Normal 16" xfId="2"/>
    <cellStyle name="Normal 2" xfId="3"/>
    <cellStyle name="Normal 2 2" xfId="5"/>
    <cellStyle name="Normal 3" xfId="4"/>
    <cellStyle name="Normal 34" xfId="6"/>
    <cellStyle name="Normal_Du toan Ba Da" xfId="8"/>
  </cellStyles>
  <dxfs count="284">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ill>
        <patternFill>
          <bgColor rgb="FF00FF00"/>
        </patternFill>
      </fill>
    </dxf>
    <dxf>
      <fill>
        <patternFill>
          <bgColor rgb="FF00FF00"/>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ill>
        <patternFill>
          <bgColor rgb="FF92D050"/>
        </patternFill>
      </fill>
    </dxf>
    <dxf>
      <fill>
        <patternFill>
          <bgColor rgb="FF92D050"/>
        </patternFill>
      </fill>
    </dxf>
    <dxf>
      <fill>
        <patternFill>
          <bgColor rgb="FF92D050"/>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
      <font>
        <color indexed="16"/>
      </font>
      <fill>
        <patternFill>
          <bgColor indexed="47"/>
        </patternFill>
      </fill>
    </dxf>
    <dxf>
      <fill>
        <patternFill>
          <bgColor indexed="51"/>
        </patternFill>
      </fill>
    </dxf>
    <dxf>
      <fill>
        <patternFill>
          <bgColor indexed="5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00008B"/>
      <rgbColor rgb="00FFFFCC"/>
      <rgbColor rgb="00A52A2A"/>
      <rgbColor rgb="00660066"/>
      <rgbColor rgb="00FF8080"/>
      <rgbColor rgb="000066CC"/>
      <rgbColor rgb="00CCCCFF"/>
      <rgbColor rgb="000000CD"/>
      <rgbColor rgb="00D3D3D3"/>
      <rgbColor rgb="00F5F5F5"/>
      <rgbColor rgb="00646464"/>
      <rgbColor rgb="00F5FFFA"/>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1</xdr:col>
      <xdr:colOff>885265</xdr:colOff>
      <xdr:row>0</xdr:row>
      <xdr:rowOff>324971</xdr:rowOff>
    </xdr:from>
    <xdr:to>
      <xdr:col>3</xdr:col>
      <xdr:colOff>246529</xdr:colOff>
      <xdr:row>0</xdr:row>
      <xdr:rowOff>324971</xdr:rowOff>
    </xdr:to>
    <xdr:cxnSp macro="">
      <xdr:nvCxnSpPr>
        <xdr:cNvPr id="2" name="Đường nối Thẳng 2">
          <a:extLst>
            <a:ext uri="{FF2B5EF4-FFF2-40B4-BE49-F238E27FC236}">
              <a16:creationId xmlns:a16="http://schemas.microsoft.com/office/drawing/2014/main" id="{B05FD318-65CB-E198-5341-45582A156C58}"/>
            </a:ext>
          </a:extLst>
        </xdr:cNvPr>
        <xdr:cNvCxnSpPr/>
      </xdr:nvCxnSpPr>
      <xdr:spPr>
        <a:xfrm>
          <a:off x="1235785" y="324971"/>
          <a:ext cx="211208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603968</xdr:colOff>
      <xdr:row>2</xdr:row>
      <xdr:rowOff>27664</xdr:rowOff>
    </xdr:from>
    <xdr:to>
      <xdr:col>9</xdr:col>
      <xdr:colOff>219367</xdr:colOff>
      <xdr:row>2</xdr:row>
      <xdr:rowOff>27664</xdr:rowOff>
    </xdr:to>
    <xdr:cxnSp macro="">
      <xdr:nvCxnSpPr>
        <xdr:cNvPr id="2" name="Straight Connector 1"/>
        <xdr:cNvCxnSpPr/>
      </xdr:nvCxnSpPr>
      <xdr:spPr>
        <a:xfrm>
          <a:off x="4709243" y="513439"/>
          <a:ext cx="739349"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503831</xdr:colOff>
      <xdr:row>2</xdr:row>
      <xdr:rowOff>0</xdr:rowOff>
    </xdr:from>
    <xdr:to>
      <xdr:col>3</xdr:col>
      <xdr:colOff>219075</xdr:colOff>
      <xdr:row>2</xdr:row>
      <xdr:rowOff>3094</xdr:rowOff>
    </xdr:to>
    <xdr:cxnSp macro="">
      <xdr:nvCxnSpPr>
        <xdr:cNvPr id="3" name="Straight Connector 2"/>
        <xdr:cNvCxnSpPr/>
      </xdr:nvCxnSpPr>
      <xdr:spPr>
        <a:xfrm flipV="1">
          <a:off x="1037231" y="381000"/>
          <a:ext cx="782044" cy="3094"/>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Nam%202026\1%20Tan%20Hoa\1%20cong%20trinh%20muong\Bang%20khoi%20luong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Ranh B1000"/>
      <sheetName val="Cua xa"/>
      <sheetName val="Bang KL chi tiet"/>
    </sheetNames>
    <sheetDataSet>
      <sheetData sheetId="0"/>
      <sheetData sheetId="1"/>
      <sheetData sheetId="2"/>
      <sheetData sheetId="3">
        <row r="4">
          <cell r="C4">
            <v>1.58</v>
          </cell>
        </row>
        <row r="5">
          <cell r="C5" t="str">
            <v xml:space="preserve"> </v>
          </cell>
        </row>
        <row r="6">
          <cell r="C6">
            <v>1.52</v>
          </cell>
        </row>
        <row r="7">
          <cell r="C7" t="str">
            <v xml:space="preserve"> </v>
          </cell>
        </row>
        <row r="8">
          <cell r="C8">
            <v>1.36</v>
          </cell>
        </row>
        <row r="9">
          <cell r="C9" t="str">
            <v xml:space="preserve"> </v>
          </cell>
        </row>
        <row r="10">
          <cell r="C10">
            <v>1.39</v>
          </cell>
        </row>
        <row r="11">
          <cell r="C11" t="str">
            <v xml:space="preserve"> </v>
          </cell>
        </row>
        <row r="12">
          <cell r="C12">
            <v>1.39</v>
          </cell>
        </row>
        <row r="13">
          <cell r="C13" t="str">
            <v xml:space="preserve"> </v>
          </cell>
        </row>
        <row r="14">
          <cell r="C14">
            <v>1.41</v>
          </cell>
        </row>
        <row r="15">
          <cell r="C15" t="str">
            <v xml:space="preserve"> </v>
          </cell>
        </row>
        <row r="16">
          <cell r="C16">
            <v>1.42</v>
          </cell>
        </row>
        <row r="17">
          <cell r="C17" t="str">
            <v xml:space="preserve"> </v>
          </cell>
        </row>
        <row r="18">
          <cell r="C18">
            <v>1.46</v>
          </cell>
        </row>
        <row r="19">
          <cell r="C19" t="str">
            <v xml:space="preserve"> </v>
          </cell>
        </row>
        <row r="20">
          <cell r="C20">
            <v>1.49</v>
          </cell>
        </row>
        <row r="21">
          <cell r="C21" t="str">
            <v xml:space="preserve"> </v>
          </cell>
        </row>
        <row r="22">
          <cell r="C22">
            <v>1.49</v>
          </cell>
        </row>
        <row r="23">
          <cell r="C23" t="str">
            <v xml:space="preserve"> </v>
          </cell>
        </row>
        <row r="24">
          <cell r="C24">
            <v>1.49</v>
          </cell>
        </row>
        <row r="30">
          <cell r="C30">
            <v>1.47</v>
          </cell>
        </row>
        <row r="31">
          <cell r="C31" t="str">
            <v xml:space="preserve"> </v>
          </cell>
        </row>
        <row r="32">
          <cell r="C32">
            <v>1.46</v>
          </cell>
        </row>
        <row r="33">
          <cell r="C33" t="str">
            <v xml:space="preserve"> </v>
          </cell>
        </row>
        <row r="34">
          <cell r="C34">
            <v>1.4</v>
          </cell>
        </row>
        <row r="35">
          <cell r="C35" t="str">
            <v xml:space="preserve"> </v>
          </cell>
        </row>
        <row r="36">
          <cell r="C36">
            <v>1.38</v>
          </cell>
        </row>
        <row r="37">
          <cell r="C37" t="str">
            <v xml:space="preserve"> </v>
          </cell>
        </row>
        <row r="38">
          <cell r="C38">
            <v>1.39</v>
          </cell>
        </row>
        <row r="39">
          <cell r="C39" t="str">
            <v xml:space="preserve"> </v>
          </cell>
        </row>
        <row r="40">
          <cell r="C40">
            <v>1.4</v>
          </cell>
        </row>
        <row r="41">
          <cell r="C41" t="str">
            <v xml:space="preserve"> </v>
          </cell>
        </row>
        <row r="42">
          <cell r="C42">
            <v>1.4</v>
          </cell>
        </row>
        <row r="43">
          <cell r="C43" t="str">
            <v xml:space="preserve"> </v>
          </cell>
        </row>
        <row r="44">
          <cell r="C44">
            <v>1.41</v>
          </cell>
        </row>
        <row r="45">
          <cell r="C45" t="str">
            <v xml:space="preserve"> </v>
          </cell>
        </row>
        <row r="46">
          <cell r="C46">
            <v>1.43</v>
          </cell>
        </row>
        <row r="47">
          <cell r="C47" t="str">
            <v xml:space="preserve"> </v>
          </cell>
        </row>
        <row r="48">
          <cell r="C48">
            <v>1.52</v>
          </cell>
        </row>
        <row r="49">
          <cell r="C49" t="str">
            <v xml:space="preserve"> </v>
          </cell>
        </row>
        <row r="50">
          <cell r="C50">
            <v>1.57</v>
          </cell>
        </row>
        <row r="51">
          <cell r="C51" t="str">
            <v xml:space="preserve"> </v>
          </cell>
        </row>
        <row r="52">
          <cell r="C52">
            <v>1.64</v>
          </cell>
        </row>
        <row r="53">
          <cell r="C53" t="str">
            <v xml:space="preserve"> </v>
          </cell>
        </row>
        <row r="54">
          <cell r="C54">
            <v>0</v>
          </cell>
        </row>
        <row r="55">
          <cell r="C55" t="str">
            <v xml:space="preserve"> </v>
          </cell>
        </row>
        <row r="56">
          <cell r="C56">
            <v>1.65</v>
          </cell>
        </row>
        <row r="57">
          <cell r="C57" t="str">
            <v xml:space="preserve"> </v>
          </cell>
        </row>
        <row r="58">
          <cell r="C58">
            <v>1.59</v>
          </cell>
        </row>
        <row r="59">
          <cell r="C59" t="str">
            <v xml:space="preserve"> </v>
          </cell>
        </row>
        <row r="60">
          <cell r="C60">
            <v>1.6</v>
          </cell>
        </row>
        <row r="61">
          <cell r="C61" t="str">
            <v xml:space="preserve"> </v>
          </cell>
        </row>
        <row r="62">
          <cell r="C62">
            <v>1.56</v>
          </cell>
        </row>
        <row r="63">
          <cell r="C63" t="str">
            <v xml:space="preserve"> </v>
          </cell>
        </row>
        <row r="64">
          <cell r="C64">
            <v>1.58</v>
          </cell>
        </row>
        <row r="65">
          <cell r="C65" t="str">
            <v xml:space="preserve"> </v>
          </cell>
        </row>
        <row r="66">
          <cell r="C66">
            <v>1.63</v>
          </cell>
        </row>
        <row r="67">
          <cell r="C67" t="str">
            <v xml:space="preserve"> </v>
          </cell>
        </row>
        <row r="68">
          <cell r="C68">
            <v>1.68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view="pageBreakPreview" workbookViewId="0"/>
  </sheetViews>
  <sheetFormatPr defaultRowHeight="10.5"/>
  <sheetData/>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44"/>
  <sheetViews>
    <sheetView zoomScale="85" zoomScaleNormal="85" workbookViewId="0">
      <selection activeCell="H18" sqref="H18"/>
    </sheetView>
  </sheetViews>
  <sheetFormatPr defaultColWidth="10" defaultRowHeight="15.75"/>
  <cols>
    <col min="1" max="1" width="6.6640625" style="314" customWidth="1"/>
    <col min="2" max="2" width="80.6640625" style="314" customWidth="1"/>
    <col min="3" max="3" width="24.1640625" style="314" customWidth="1"/>
    <col min="4" max="4" width="19.83203125" style="314" bestFit="1" customWidth="1"/>
    <col min="5" max="5" width="18.33203125" style="314" customWidth="1"/>
    <col min="6" max="6" width="19.83203125" style="314" bestFit="1" customWidth="1"/>
    <col min="7" max="7" width="19" style="314" bestFit="1" customWidth="1"/>
    <col min="8" max="8" width="18.83203125" style="314" bestFit="1" customWidth="1"/>
    <col min="9" max="9" width="26.5" style="314" customWidth="1"/>
    <col min="10" max="10" width="34.83203125" style="314" customWidth="1"/>
    <col min="11" max="12" width="16.83203125" style="314" bestFit="1" customWidth="1"/>
    <col min="13" max="16384" width="10" style="314"/>
  </cols>
  <sheetData>
    <row r="1" spans="1:11" ht="18.75">
      <c r="A1" s="847" t="s">
        <v>1396</v>
      </c>
      <c r="B1" s="848"/>
      <c r="C1" s="848"/>
      <c r="D1" s="848"/>
      <c r="E1" s="848"/>
      <c r="F1" s="848"/>
    </row>
    <row r="2" spans="1:11">
      <c r="A2" s="458" t="s">
        <v>1376</v>
      </c>
      <c r="B2" s="516"/>
      <c r="C2" s="517"/>
      <c r="D2" s="518"/>
      <c r="E2" s="519"/>
      <c r="F2" s="519"/>
      <c r="G2" s="519"/>
      <c r="H2" s="520"/>
      <c r="I2" s="521"/>
    </row>
    <row r="3" spans="1:11">
      <c r="A3" s="458" t="s">
        <v>1377</v>
      </c>
      <c r="B3" s="521"/>
      <c r="C3" s="521"/>
      <c r="D3" s="521"/>
      <c r="E3" s="521"/>
      <c r="F3" s="521"/>
      <c r="G3" s="521"/>
      <c r="H3" s="521"/>
      <c r="I3" s="521"/>
    </row>
    <row r="4" spans="1:11">
      <c r="A4" s="458" t="s">
        <v>1406</v>
      </c>
      <c r="B4" s="522"/>
      <c r="C4" s="523"/>
      <c r="D4" s="524"/>
      <c r="E4" s="525"/>
      <c r="F4" s="525"/>
      <c r="G4" s="525"/>
      <c r="H4" s="521"/>
    </row>
    <row r="5" spans="1:11">
      <c r="A5" s="458" t="s">
        <v>1374</v>
      </c>
      <c r="B5" s="522"/>
      <c r="C5" s="523"/>
      <c r="D5" s="524"/>
      <c r="E5" s="525"/>
      <c r="F5" s="525"/>
      <c r="G5" s="525"/>
      <c r="H5" s="521"/>
    </row>
    <row r="6" spans="1:11">
      <c r="A6" s="458" t="s">
        <v>1375</v>
      </c>
      <c r="B6" s="526"/>
      <c r="C6" s="527"/>
      <c r="D6" s="528"/>
      <c r="E6" s="529"/>
      <c r="F6" s="530"/>
      <c r="G6" s="530"/>
      <c r="H6" s="531"/>
    </row>
    <row r="7" spans="1:11">
      <c r="A7" s="849" t="s">
        <v>4</v>
      </c>
      <c r="B7" s="849" t="s">
        <v>834</v>
      </c>
      <c r="C7" s="849" t="s">
        <v>784</v>
      </c>
      <c r="D7" s="850" t="s">
        <v>1397</v>
      </c>
      <c r="E7" s="850"/>
      <c r="F7" s="850"/>
    </row>
    <row r="8" spans="1:11">
      <c r="A8" s="849"/>
      <c r="B8" s="849"/>
      <c r="C8" s="849"/>
      <c r="D8" s="532" t="s">
        <v>1398</v>
      </c>
      <c r="E8" s="532" t="s">
        <v>1404</v>
      </c>
      <c r="F8" s="532" t="s">
        <v>1399</v>
      </c>
    </row>
    <row r="9" spans="1:11">
      <c r="A9" s="533" t="s">
        <v>364</v>
      </c>
      <c r="B9" s="534" t="s">
        <v>878</v>
      </c>
      <c r="D9" s="535">
        <f>D10</f>
        <v>1862279090.9090908</v>
      </c>
      <c r="E9" s="535">
        <f>E10</f>
        <v>186227909.09090909</v>
      </c>
      <c r="F9" s="535">
        <f>E9+D9</f>
        <v>2048506999.9999998</v>
      </c>
      <c r="G9" s="536">
        <v>2061950000</v>
      </c>
      <c r="H9" s="365">
        <v>2048507000</v>
      </c>
      <c r="I9" s="538"/>
    </row>
    <row r="10" spans="1:11" ht="31.5">
      <c r="A10" s="539" t="s">
        <v>786</v>
      </c>
      <c r="B10" s="540" t="s">
        <v>1403</v>
      </c>
      <c r="C10" s="541" t="s">
        <v>1400</v>
      </c>
      <c r="D10" s="542">
        <f>F10/1.1</f>
        <v>1862279090.9090908</v>
      </c>
      <c r="E10" s="542">
        <f>D10*0.1</f>
        <v>186227909.09090909</v>
      </c>
      <c r="F10" s="542">
        <f>H9</f>
        <v>2048507000</v>
      </c>
      <c r="H10" s="538">
        <f>G9-H9</f>
        <v>13443000</v>
      </c>
      <c r="K10" s="543"/>
    </row>
    <row r="11" spans="1:11" ht="16.5">
      <c r="A11" s="544" t="s">
        <v>490</v>
      </c>
      <c r="B11" s="545" t="s">
        <v>901</v>
      </c>
      <c r="C11" s="541" t="s">
        <v>1401</v>
      </c>
      <c r="D11" s="546">
        <f>F11/1.1</f>
        <v>56684545.454545453</v>
      </c>
      <c r="E11" s="546">
        <f>D11*0.1</f>
        <v>5668454.5454545459</v>
      </c>
      <c r="F11" s="546">
        <v>62353000</v>
      </c>
      <c r="G11" s="207">
        <v>62353000</v>
      </c>
      <c r="H11" s="537"/>
    </row>
    <row r="12" spans="1:11" ht="16.5">
      <c r="A12" s="544" t="s">
        <v>503</v>
      </c>
      <c r="B12" s="545" t="s">
        <v>906</v>
      </c>
      <c r="C12" s="541" t="s">
        <v>1401</v>
      </c>
      <c r="D12" s="546">
        <f>SUM(D13:D21)</f>
        <v>203195702.72727269</v>
      </c>
      <c r="E12" s="546">
        <f>SUM(E13:E21)</f>
        <v>20319570.272727273</v>
      </c>
      <c r="F12" s="546">
        <v>223515000</v>
      </c>
      <c r="G12" s="536">
        <v>223515000</v>
      </c>
      <c r="H12" s="537"/>
    </row>
    <row r="13" spans="1:11" ht="16.5">
      <c r="A13" s="551" t="s">
        <v>786</v>
      </c>
      <c r="B13" s="540" t="s">
        <v>1352</v>
      </c>
      <c r="C13" s="541"/>
      <c r="D13" s="550">
        <f>F13/1.1</f>
        <v>39691779.090909086</v>
      </c>
      <c r="E13" s="550">
        <f>D13*0.1</f>
        <v>3969177.9090909087</v>
      </c>
      <c r="F13" s="550">
        <v>43660957</v>
      </c>
      <c r="G13" s="538">
        <v>43660957</v>
      </c>
      <c r="H13" s="537"/>
    </row>
    <row r="14" spans="1:11" ht="16.5">
      <c r="A14" s="551" t="s">
        <v>797</v>
      </c>
      <c r="B14" s="540" t="s">
        <v>933</v>
      </c>
      <c r="C14" s="541"/>
      <c r="D14" s="550">
        <f t="shared" ref="D14:D21" si="0">F14/1.1</f>
        <v>86469745.454545453</v>
      </c>
      <c r="E14" s="550">
        <f t="shared" ref="E14:E21" si="1">D14*0.1</f>
        <v>8646974.5454545449</v>
      </c>
      <c r="F14" s="550">
        <v>95116720</v>
      </c>
      <c r="G14" s="538">
        <v>95116720</v>
      </c>
      <c r="H14" s="537"/>
    </row>
    <row r="15" spans="1:11" ht="16.5">
      <c r="A15" s="551" t="s">
        <v>801</v>
      </c>
      <c r="B15" s="540" t="s">
        <v>945</v>
      </c>
      <c r="C15" s="541"/>
      <c r="D15" s="550">
        <f t="shared" si="0"/>
        <v>3186649.9999999995</v>
      </c>
      <c r="E15" s="550">
        <f t="shared" si="1"/>
        <v>318665</v>
      </c>
      <c r="F15" s="550">
        <v>3505315</v>
      </c>
      <c r="G15" s="538">
        <v>3505315</v>
      </c>
      <c r="H15" s="537"/>
    </row>
    <row r="16" spans="1:11" ht="16.5">
      <c r="A16" s="551" t="s">
        <v>905</v>
      </c>
      <c r="B16" s="540" t="s">
        <v>947</v>
      </c>
      <c r="C16" s="541"/>
      <c r="D16" s="550">
        <f t="shared" si="0"/>
        <v>3111669.9999999995</v>
      </c>
      <c r="E16" s="550">
        <f t="shared" si="1"/>
        <v>311166.99999999994</v>
      </c>
      <c r="F16" s="550">
        <v>3422837</v>
      </c>
      <c r="G16" s="538">
        <v>3422837</v>
      </c>
      <c r="H16" s="537"/>
    </row>
    <row r="17" spans="1:8" ht="16.5">
      <c r="A17" s="551" t="s">
        <v>1021</v>
      </c>
      <c r="B17" s="540" t="s">
        <v>973</v>
      </c>
      <c r="C17" s="541"/>
      <c r="D17" s="550">
        <f t="shared" si="0"/>
        <v>6485773.6363636358</v>
      </c>
      <c r="E17" s="550">
        <f t="shared" si="1"/>
        <v>648577.36363636365</v>
      </c>
      <c r="F17" s="550">
        <v>7134351</v>
      </c>
      <c r="G17" s="538">
        <v>7134351</v>
      </c>
      <c r="H17" s="537"/>
    </row>
    <row r="18" spans="1:8" ht="31.5">
      <c r="A18" s="551" t="s">
        <v>1056</v>
      </c>
      <c r="B18" s="540" t="s">
        <v>987</v>
      </c>
      <c r="C18" s="541"/>
      <c r="D18" s="550">
        <f t="shared" si="0"/>
        <v>1052462.7272727273</v>
      </c>
      <c r="E18" s="550">
        <f t="shared" si="1"/>
        <v>105246.27272727274</v>
      </c>
      <c r="F18" s="550">
        <v>1157709</v>
      </c>
      <c r="G18" s="538">
        <v>1157709</v>
      </c>
      <c r="H18" s="537"/>
    </row>
    <row r="19" spans="1:8" ht="31.5">
      <c r="A19" s="551" t="s">
        <v>1154</v>
      </c>
      <c r="B19" s="540" t="s">
        <v>993</v>
      </c>
      <c r="C19" s="541"/>
      <c r="D19" s="550">
        <f t="shared" si="0"/>
        <v>2104926.3636363633</v>
      </c>
      <c r="E19" s="550">
        <f t="shared" si="1"/>
        <v>210492.63636363635</v>
      </c>
      <c r="F19" s="550">
        <v>2315419</v>
      </c>
      <c r="G19" s="538">
        <v>2315419</v>
      </c>
      <c r="H19" s="537"/>
    </row>
    <row r="20" spans="1:8" s="548" customFormat="1" ht="31.5">
      <c r="A20" s="551" t="s">
        <v>1155</v>
      </c>
      <c r="B20" s="540" t="s">
        <v>996</v>
      </c>
      <c r="C20" s="547"/>
      <c r="D20" s="550">
        <f t="shared" si="0"/>
        <v>1052462.7272727273</v>
      </c>
      <c r="E20" s="550">
        <f t="shared" si="1"/>
        <v>105246.27272727274</v>
      </c>
      <c r="F20" s="542">
        <v>1157709</v>
      </c>
      <c r="G20" s="538">
        <v>1157709</v>
      </c>
      <c r="H20" s="217"/>
    </row>
    <row r="21" spans="1:8" s="548" customFormat="1">
      <c r="A21" s="551" t="s">
        <v>1156</v>
      </c>
      <c r="B21" s="540" t="s">
        <v>1003</v>
      </c>
      <c r="C21" s="547"/>
      <c r="D21" s="550">
        <f t="shared" si="0"/>
        <v>60040232.727272719</v>
      </c>
      <c r="E21" s="550">
        <f t="shared" si="1"/>
        <v>6004023.2727272725</v>
      </c>
      <c r="F21" s="542">
        <v>66044256</v>
      </c>
      <c r="G21" s="538">
        <v>66044256</v>
      </c>
      <c r="H21" s="217"/>
    </row>
    <row r="22" spans="1:8" s="548" customFormat="1" ht="16.5">
      <c r="A22" s="544" t="s">
        <v>825</v>
      </c>
      <c r="B22" s="545" t="s">
        <v>838</v>
      </c>
      <c r="C22" s="541" t="s">
        <v>1401</v>
      </c>
      <c r="D22" s="546">
        <f>ROUND(+D23+D25+D24,-3)</f>
        <v>21052000</v>
      </c>
      <c r="E22" s="546"/>
      <c r="F22" s="546">
        <f>ROUND(+F23+F25+F24,-3)</f>
        <v>21052000</v>
      </c>
      <c r="G22" s="558">
        <v>21052000</v>
      </c>
      <c r="H22" s="537"/>
    </row>
    <row r="23" spans="1:8" s="548" customFormat="1">
      <c r="A23" s="539" t="s">
        <v>786</v>
      </c>
      <c r="B23" s="212" t="s">
        <v>1326</v>
      </c>
      <c r="C23" s="541"/>
      <c r="D23" s="217">
        <v>944748</v>
      </c>
      <c r="E23" s="546"/>
      <c r="F23" s="550">
        <f>D23</f>
        <v>944748</v>
      </c>
      <c r="G23" s="549">
        <v>944748</v>
      </c>
      <c r="H23" s="217"/>
    </row>
    <row r="24" spans="1:8" s="548" customFormat="1">
      <c r="A24" s="539" t="s">
        <v>797</v>
      </c>
      <c r="B24" s="212" t="s">
        <v>1043</v>
      </c>
      <c r="C24" s="541"/>
      <c r="D24" s="542">
        <v>13502558.999999998</v>
      </c>
      <c r="E24" s="546"/>
      <c r="F24" s="550">
        <f>D24</f>
        <v>13502558.999999998</v>
      </c>
      <c r="G24" s="549">
        <v>13502558.999999998</v>
      </c>
      <c r="H24" s="217"/>
    </row>
    <row r="25" spans="1:8" s="548" customFormat="1" ht="31.5">
      <c r="A25" s="539" t="s">
        <v>801</v>
      </c>
      <c r="B25" s="212" t="s">
        <v>1054</v>
      </c>
      <c r="C25" s="541" t="s">
        <v>369</v>
      </c>
      <c r="D25" s="542">
        <v>6604425.6300000008</v>
      </c>
      <c r="E25" s="542"/>
      <c r="F25" s="542">
        <f>D25</f>
        <v>6604425.6300000008</v>
      </c>
      <c r="G25" s="549">
        <v>6604425.6300000008</v>
      </c>
      <c r="H25" s="217"/>
    </row>
    <row r="26" spans="1:8" s="548" customFormat="1">
      <c r="A26" s="552"/>
      <c r="B26" s="553" t="s">
        <v>1402</v>
      </c>
      <c r="C26" s="554" t="s">
        <v>369</v>
      </c>
      <c r="D26" s="555"/>
      <c r="E26" s="555"/>
      <c r="F26" s="555">
        <f>F9+F11+F12+F22</f>
        <v>2355427000</v>
      </c>
      <c r="G26" s="558">
        <f>+G9+G11+G12+G22</f>
        <v>2368870000</v>
      </c>
      <c r="H26" s="556">
        <f>G26-F26</f>
        <v>13443000</v>
      </c>
    </row>
    <row r="27" spans="1:8" s="548" customFormat="1" ht="20.45" customHeight="1">
      <c r="A27" s="851" t="s">
        <v>1405</v>
      </c>
      <c r="B27" s="852"/>
      <c r="C27" s="852"/>
      <c r="D27" s="852"/>
      <c r="E27" s="852"/>
      <c r="F27" s="853"/>
    </row>
    <row r="28" spans="1:8" ht="26.25" customHeight="1">
      <c r="D28" s="845" t="s">
        <v>1407</v>
      </c>
      <c r="E28" s="845"/>
      <c r="F28" s="845"/>
    </row>
    <row r="29" spans="1:8" ht="15" customHeight="1">
      <c r="B29" s="515" t="s">
        <v>1348</v>
      </c>
      <c r="C29" s="315"/>
      <c r="D29" s="846" t="s">
        <v>1358</v>
      </c>
      <c r="E29" s="846"/>
      <c r="F29" s="846"/>
      <c r="G29" s="538"/>
    </row>
    <row r="30" spans="1:8">
      <c r="G30" s="538"/>
    </row>
    <row r="31" spans="1:8">
      <c r="G31" s="557"/>
    </row>
    <row r="32" spans="1:8">
      <c r="C32" s="538"/>
      <c r="D32" s="538"/>
      <c r="E32" s="538"/>
      <c r="F32" s="538"/>
      <c r="G32" s="538"/>
    </row>
    <row r="33" spans="2:7">
      <c r="C33" s="538"/>
      <c r="D33" s="538"/>
      <c r="F33" s="557"/>
      <c r="G33" s="538"/>
    </row>
    <row r="34" spans="2:7">
      <c r="B34" s="538"/>
      <c r="C34" s="538"/>
      <c r="G34" s="538"/>
    </row>
    <row r="35" spans="2:7">
      <c r="D35" s="538"/>
      <c r="G35" s="538"/>
    </row>
    <row r="36" spans="2:7">
      <c r="C36" s="538"/>
      <c r="D36" s="538"/>
      <c r="G36" s="538"/>
    </row>
    <row r="37" spans="2:7">
      <c r="D37" s="538"/>
      <c r="G37" s="538"/>
    </row>
    <row r="38" spans="2:7">
      <c r="D38" s="538"/>
      <c r="G38" s="538"/>
    </row>
    <row r="39" spans="2:7">
      <c r="D39" s="538"/>
      <c r="G39" s="538"/>
    </row>
    <row r="40" spans="2:7">
      <c r="D40" s="538"/>
      <c r="G40" s="538"/>
    </row>
    <row r="41" spans="2:7">
      <c r="G41" s="538"/>
    </row>
    <row r="42" spans="2:7">
      <c r="G42" s="538"/>
    </row>
    <row r="43" spans="2:7">
      <c r="G43" s="538"/>
    </row>
    <row r="44" spans="2:7">
      <c r="G44" s="538"/>
    </row>
  </sheetData>
  <mergeCells count="8">
    <mergeCell ref="D28:F28"/>
    <mergeCell ref="D29:F29"/>
    <mergeCell ref="A1:F1"/>
    <mergeCell ref="A7:A8"/>
    <mergeCell ref="B7:B8"/>
    <mergeCell ref="C7:C8"/>
    <mergeCell ref="D7:F7"/>
    <mergeCell ref="A27:F27"/>
  </mergeCells>
  <phoneticPr fontId="5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O93"/>
  <sheetViews>
    <sheetView topLeftCell="A4" workbookViewId="0">
      <selection activeCell="H18" sqref="H18"/>
    </sheetView>
  </sheetViews>
  <sheetFormatPr defaultColWidth="10.6640625" defaultRowHeight="15.75"/>
  <cols>
    <col min="1" max="1" width="2.33203125" style="411" customWidth="1"/>
    <col min="2" max="2" width="7.6640625" style="429" customWidth="1"/>
    <col min="3" max="3" width="69.33203125" style="430" customWidth="1"/>
    <col min="4" max="4" width="10" style="431" customWidth="1"/>
    <col min="5" max="5" width="14.6640625" style="429" customWidth="1"/>
    <col min="6" max="6" width="15" style="429" bestFit="1" customWidth="1"/>
    <col min="7" max="7" width="10.1640625" style="429" bestFit="1" customWidth="1"/>
    <col min="8" max="8" width="15.6640625" style="432" customWidth="1"/>
    <col min="9" max="9" width="16.6640625" style="433" bestFit="1" customWidth="1"/>
    <col min="10" max="10" width="16.1640625" style="433" bestFit="1" customWidth="1"/>
    <col min="11" max="11" width="11.1640625" style="433" customWidth="1"/>
    <col min="12" max="12" width="7.33203125" style="374" customWidth="1"/>
    <col min="13" max="13" width="10.6640625" style="375"/>
    <col min="14" max="16" width="25.83203125" style="375" customWidth="1"/>
    <col min="17" max="17" width="24.5" style="375" customWidth="1"/>
    <col min="18" max="16384" width="10.6640625" style="375"/>
  </cols>
  <sheetData>
    <row r="1" spans="1:15" ht="15.75" customHeight="1">
      <c r="A1" s="367"/>
      <c r="B1" s="368"/>
      <c r="C1" s="369"/>
      <c r="D1" s="370"/>
      <c r="E1" s="368"/>
      <c r="F1" s="368"/>
      <c r="G1" s="368"/>
      <c r="H1" s="371"/>
      <c r="I1" s="372"/>
      <c r="J1" s="373"/>
      <c r="K1" s="372"/>
    </row>
    <row r="2" spans="1:15" s="383" customFormat="1" ht="26.25" customHeight="1">
      <c r="A2" s="376"/>
      <c r="B2" s="377" t="s">
        <v>1391</v>
      </c>
      <c r="C2" s="378"/>
      <c r="D2" s="378"/>
      <c r="E2" s="379"/>
      <c r="F2" s="379"/>
      <c r="G2" s="379"/>
      <c r="H2" s="380"/>
      <c r="I2" s="380"/>
      <c r="J2" s="380"/>
      <c r="K2" s="381"/>
      <c r="L2" s="382"/>
      <c r="O2" s="384"/>
    </row>
    <row r="3" spans="1:15" s="383" customFormat="1" ht="10.15" customHeight="1">
      <c r="A3" s="376"/>
      <c r="B3" s="385"/>
      <c r="C3" s="386"/>
      <c r="D3" s="386"/>
      <c r="E3" s="382"/>
      <c r="F3" s="382"/>
      <c r="G3" s="382"/>
      <c r="H3" s="387"/>
      <c r="I3" s="387"/>
      <c r="J3" s="387"/>
      <c r="K3" s="387"/>
      <c r="L3" s="382"/>
      <c r="O3" s="384"/>
    </row>
    <row r="4" spans="1:15" ht="16.5">
      <c r="A4" s="367"/>
      <c r="B4" s="388" t="s">
        <v>1491</v>
      </c>
      <c r="C4" s="389"/>
      <c r="D4" s="389"/>
      <c r="E4" s="385"/>
      <c r="F4" s="385"/>
      <c r="G4" s="385"/>
      <c r="H4" s="381"/>
      <c r="I4" s="381"/>
      <c r="J4" s="388"/>
      <c r="K4" s="381"/>
      <c r="L4" s="385"/>
    </row>
    <row r="5" spans="1:15" ht="16.5">
      <c r="A5" s="367"/>
      <c r="B5" s="388" t="s">
        <v>1492</v>
      </c>
      <c r="C5" s="389"/>
      <c r="D5" s="389"/>
      <c r="E5" s="385"/>
      <c r="F5" s="385"/>
      <c r="G5" s="385"/>
      <c r="H5" s="381"/>
      <c r="I5" s="381"/>
      <c r="J5" s="381"/>
      <c r="K5" s="381"/>
      <c r="L5" s="385"/>
    </row>
    <row r="6" spans="1:15" ht="16.5">
      <c r="A6" s="367"/>
      <c r="B6" s="388" t="s">
        <v>1486</v>
      </c>
      <c r="C6" s="389"/>
      <c r="D6" s="388"/>
      <c r="E6" s="388"/>
      <c r="F6" s="388"/>
      <c r="G6" s="388"/>
      <c r="H6" s="388"/>
      <c r="I6" s="388"/>
      <c r="J6" s="388"/>
      <c r="K6" s="388"/>
      <c r="L6" s="385"/>
    </row>
    <row r="7" spans="1:15" ht="16.5">
      <c r="A7" s="367"/>
      <c r="B7" s="388" t="s">
        <v>1493</v>
      </c>
      <c r="C7" s="389"/>
      <c r="D7" s="389"/>
      <c r="E7" s="385"/>
      <c r="F7" s="385"/>
      <c r="G7" s="385"/>
      <c r="H7" s="381"/>
      <c r="I7" s="381"/>
      <c r="J7" s="381"/>
      <c r="K7" s="381"/>
      <c r="L7" s="385"/>
    </row>
    <row r="8" spans="1:15" ht="16.5">
      <c r="A8" s="367"/>
      <c r="B8" s="388" t="s">
        <v>1488</v>
      </c>
      <c r="C8" s="389"/>
      <c r="D8" s="389"/>
      <c r="E8" s="385"/>
      <c r="F8" s="385"/>
      <c r="G8" s="385"/>
      <c r="H8" s="381"/>
      <c r="I8" s="381"/>
      <c r="J8" s="381"/>
      <c r="K8" s="381"/>
      <c r="L8" s="385"/>
    </row>
    <row r="9" spans="1:15" ht="15.75" customHeight="1">
      <c r="A9" s="367"/>
      <c r="B9" s="390"/>
      <c r="C9" s="389"/>
      <c r="D9" s="389"/>
      <c r="E9" s="385"/>
      <c r="F9" s="385"/>
      <c r="G9" s="385"/>
      <c r="H9" s="381"/>
      <c r="I9" s="381"/>
      <c r="J9" s="381"/>
      <c r="K9" s="391" t="s">
        <v>1367</v>
      </c>
      <c r="L9" s="385"/>
      <c r="N9" s="392"/>
    </row>
    <row r="10" spans="1:15" ht="16.899999999999999" customHeight="1">
      <c r="A10" s="393"/>
      <c r="B10" s="861" t="s">
        <v>1368</v>
      </c>
      <c r="C10" s="861" t="s">
        <v>1369</v>
      </c>
      <c r="D10" s="861" t="s">
        <v>1370</v>
      </c>
      <c r="E10" s="867" t="s">
        <v>17</v>
      </c>
      <c r="F10" s="868"/>
      <c r="G10" s="869"/>
      <c r="H10" s="862" t="s">
        <v>1390</v>
      </c>
      <c r="I10" s="870" t="s">
        <v>1371</v>
      </c>
      <c r="J10" s="871"/>
      <c r="K10" s="872"/>
      <c r="L10" s="861" t="s">
        <v>1148</v>
      </c>
      <c r="N10" s="392"/>
    </row>
    <row r="11" spans="1:15" ht="47.25">
      <c r="A11" s="394"/>
      <c r="B11" s="861"/>
      <c r="C11" s="861"/>
      <c r="D11" s="861"/>
      <c r="E11" s="459" t="s">
        <v>1389</v>
      </c>
      <c r="F11" s="459" t="s">
        <v>1387</v>
      </c>
      <c r="G11" s="459" t="s">
        <v>1388</v>
      </c>
      <c r="H11" s="863"/>
      <c r="I11" s="459" t="s">
        <v>1392</v>
      </c>
      <c r="J11" s="459" t="s">
        <v>1387</v>
      </c>
      <c r="K11" s="459" t="s">
        <v>1388</v>
      </c>
      <c r="L11" s="861"/>
    </row>
    <row r="12" spans="1:15" s="398" customFormat="1">
      <c r="A12" s="395"/>
      <c r="B12" s="396">
        <v>1</v>
      </c>
      <c r="C12" s="397">
        <f>B12+1</f>
        <v>2</v>
      </c>
      <c r="D12" s="397">
        <f>C12+1</f>
        <v>3</v>
      </c>
      <c r="E12" s="397">
        <f>D12+1</f>
        <v>4</v>
      </c>
      <c r="F12" s="397">
        <f t="shared" ref="F12:L12" si="0">E12+1</f>
        <v>5</v>
      </c>
      <c r="G12" s="397">
        <f t="shared" si="0"/>
        <v>6</v>
      </c>
      <c r="H12" s="397">
        <f t="shared" si="0"/>
        <v>7</v>
      </c>
      <c r="I12" s="397">
        <f t="shared" si="0"/>
        <v>8</v>
      </c>
      <c r="J12" s="397">
        <f t="shared" si="0"/>
        <v>9</v>
      </c>
      <c r="K12" s="397">
        <f t="shared" si="0"/>
        <v>10</v>
      </c>
      <c r="L12" s="397">
        <f t="shared" si="0"/>
        <v>11</v>
      </c>
      <c r="N12" s="375"/>
    </row>
    <row r="13" spans="1:15" ht="16.5">
      <c r="A13" s="367"/>
      <c r="B13" s="559" t="s">
        <v>39</v>
      </c>
      <c r="C13" s="560" t="s">
        <v>1411</v>
      </c>
      <c r="D13" s="559"/>
      <c r="E13" s="559"/>
      <c r="F13" s="400"/>
      <c r="G13" s="399"/>
      <c r="H13" s="401"/>
      <c r="I13" s="401"/>
      <c r="J13" s="401"/>
      <c r="K13" s="401"/>
      <c r="L13" s="402"/>
      <c r="N13" s="403"/>
    </row>
    <row r="14" spans="1:15" ht="16.5">
      <c r="A14" s="367"/>
      <c r="B14" s="561">
        <v>1</v>
      </c>
      <c r="C14" s="562" t="s">
        <v>1412</v>
      </c>
      <c r="D14" s="563" t="s">
        <v>494</v>
      </c>
      <c r="E14" s="564">
        <v>2</v>
      </c>
      <c r="F14" s="404"/>
      <c r="G14" s="404"/>
      <c r="H14" s="568">
        <v>311452.66899999999</v>
      </c>
      <c r="I14" s="401">
        <f>H14*E14</f>
        <v>622905.33799999999</v>
      </c>
      <c r="J14" s="401"/>
      <c r="K14" s="401"/>
      <c r="L14" s="402"/>
      <c r="N14" s="403"/>
    </row>
    <row r="15" spans="1:15" ht="16.5">
      <c r="A15" s="367"/>
      <c r="B15" s="561">
        <v>2</v>
      </c>
      <c r="C15" s="562" t="s">
        <v>1410</v>
      </c>
      <c r="D15" s="563" t="s">
        <v>109</v>
      </c>
      <c r="E15" s="564">
        <v>60.29</v>
      </c>
      <c r="F15" s="404"/>
      <c r="G15" s="404"/>
      <c r="H15" s="568">
        <v>12458.106759999999</v>
      </c>
      <c r="I15" s="401">
        <f t="shared" ref="I15:I78" si="1">H15*E15</f>
        <v>751099.2565603999</v>
      </c>
      <c r="J15" s="401"/>
      <c r="K15" s="401"/>
      <c r="L15" s="402"/>
      <c r="N15" s="403"/>
    </row>
    <row r="16" spans="1:15" ht="16.5">
      <c r="A16" s="367"/>
      <c r="B16" s="561">
        <v>3</v>
      </c>
      <c r="C16" s="562" t="s">
        <v>1413</v>
      </c>
      <c r="D16" s="563" t="s">
        <v>116</v>
      </c>
      <c r="E16" s="564">
        <v>101.9</v>
      </c>
      <c r="F16" s="404"/>
      <c r="G16" s="404"/>
      <c r="H16" s="568">
        <v>31145.266900000002</v>
      </c>
      <c r="I16" s="401">
        <f t="shared" si="1"/>
        <v>3173702.6971100005</v>
      </c>
      <c r="J16" s="401"/>
      <c r="K16" s="401"/>
      <c r="L16" s="402"/>
      <c r="N16" s="403"/>
    </row>
    <row r="17" spans="1:14" ht="16.5">
      <c r="A17" s="367"/>
      <c r="B17" s="561">
        <v>4</v>
      </c>
      <c r="C17" s="562" t="s">
        <v>1414</v>
      </c>
      <c r="D17" s="563" t="s">
        <v>109</v>
      </c>
      <c r="E17" s="564">
        <v>15.12</v>
      </c>
      <c r="F17" s="404"/>
      <c r="G17" s="404"/>
      <c r="H17" s="568">
        <v>25633.416945015</v>
      </c>
      <c r="I17" s="401">
        <f t="shared" si="1"/>
        <v>387577.26420862676</v>
      </c>
      <c r="J17" s="401"/>
      <c r="K17" s="401"/>
      <c r="L17" s="402"/>
      <c r="N17" s="403"/>
    </row>
    <row r="18" spans="1:14" ht="16.5">
      <c r="A18" s="367"/>
      <c r="B18" s="561">
        <v>5</v>
      </c>
      <c r="C18" s="562" t="s">
        <v>1415</v>
      </c>
      <c r="D18" s="563" t="s">
        <v>43</v>
      </c>
      <c r="E18" s="564">
        <v>2.4529999999999998</v>
      </c>
      <c r="F18" s="404"/>
      <c r="G18" s="404"/>
      <c r="H18" s="568">
        <v>361715.99466854497</v>
      </c>
      <c r="I18" s="401">
        <f t="shared" si="1"/>
        <v>887289.3349219407</v>
      </c>
      <c r="J18" s="401"/>
      <c r="K18" s="401"/>
      <c r="L18" s="402"/>
      <c r="N18" s="403"/>
    </row>
    <row r="19" spans="1:14" ht="16.5">
      <c r="A19" s="367"/>
      <c r="B19" s="561">
        <v>6</v>
      </c>
      <c r="C19" s="562" t="s">
        <v>1416</v>
      </c>
      <c r="D19" s="563" t="s">
        <v>43</v>
      </c>
      <c r="E19" s="564">
        <v>1.373</v>
      </c>
      <c r="F19" s="404"/>
      <c r="G19" s="404"/>
      <c r="H19" s="568">
        <v>1831340.4067255</v>
      </c>
      <c r="I19" s="401">
        <f t="shared" si="1"/>
        <v>2514430.3784341114</v>
      </c>
      <c r="J19" s="401"/>
      <c r="K19" s="401"/>
      <c r="L19" s="402"/>
      <c r="N19" s="403"/>
    </row>
    <row r="20" spans="1:14" ht="16.5">
      <c r="A20" s="367"/>
      <c r="B20" s="561">
        <v>7</v>
      </c>
      <c r="C20" s="562" t="s">
        <v>1417</v>
      </c>
      <c r="D20" s="563" t="s">
        <v>109</v>
      </c>
      <c r="E20" s="564">
        <v>6.8639999999999999</v>
      </c>
      <c r="F20" s="404"/>
      <c r="G20" s="404"/>
      <c r="H20" s="568">
        <v>34177.889260020005</v>
      </c>
      <c r="I20" s="401">
        <f t="shared" si="1"/>
        <v>234597.0318807773</v>
      </c>
      <c r="J20" s="401"/>
      <c r="K20" s="401"/>
      <c r="L20" s="402"/>
      <c r="N20" s="403"/>
    </row>
    <row r="21" spans="1:14" ht="16.5">
      <c r="A21" s="367"/>
      <c r="B21" s="561">
        <v>8</v>
      </c>
      <c r="C21" s="562" t="s">
        <v>1418</v>
      </c>
      <c r="D21" s="563" t="s">
        <v>109</v>
      </c>
      <c r="E21" s="564">
        <v>31.632999999999999</v>
      </c>
      <c r="F21" s="404"/>
      <c r="G21" s="404"/>
      <c r="H21" s="568">
        <v>110138.90753204652</v>
      </c>
      <c r="I21" s="401">
        <f t="shared" si="1"/>
        <v>3484024.0619612276</v>
      </c>
      <c r="J21" s="401"/>
      <c r="K21" s="401"/>
      <c r="L21" s="402"/>
      <c r="N21" s="403"/>
    </row>
    <row r="22" spans="1:14" ht="16.5">
      <c r="A22" s="367"/>
      <c r="B22" s="561">
        <v>9</v>
      </c>
      <c r="C22" s="562" t="s">
        <v>1419</v>
      </c>
      <c r="D22" s="563" t="s">
        <v>109</v>
      </c>
      <c r="E22" s="564">
        <v>31.632999999999999</v>
      </c>
      <c r="F22" s="404"/>
      <c r="G22" s="404"/>
      <c r="H22" s="568">
        <v>41396.330472648799</v>
      </c>
      <c r="I22" s="401">
        <f t="shared" si="1"/>
        <v>1309490.1218412993</v>
      </c>
      <c r="J22" s="401"/>
      <c r="K22" s="401"/>
      <c r="L22" s="402"/>
      <c r="N22" s="403"/>
    </row>
    <row r="23" spans="1:14" ht="31.5">
      <c r="A23" s="367"/>
      <c r="B23" s="561">
        <v>10</v>
      </c>
      <c r="C23" s="562" t="s">
        <v>1420</v>
      </c>
      <c r="D23" s="563" t="s">
        <v>109</v>
      </c>
      <c r="E23" s="564">
        <v>31.632999999999999</v>
      </c>
      <c r="F23" s="404"/>
      <c r="G23" s="404"/>
      <c r="H23" s="568">
        <v>65082.842575325521</v>
      </c>
      <c r="I23" s="401">
        <f t="shared" si="1"/>
        <v>2058765.5591852721</v>
      </c>
      <c r="J23" s="401"/>
      <c r="K23" s="401"/>
      <c r="L23" s="402"/>
      <c r="N23" s="403"/>
    </row>
    <row r="24" spans="1:14" ht="16.5">
      <c r="A24" s="367"/>
      <c r="B24" s="561">
        <v>11</v>
      </c>
      <c r="C24" s="562" t="s">
        <v>1421</v>
      </c>
      <c r="D24" s="563" t="s">
        <v>109</v>
      </c>
      <c r="E24" s="564">
        <v>11.25</v>
      </c>
      <c r="F24" s="404"/>
      <c r="G24" s="404"/>
      <c r="H24" s="568">
        <v>25633.416945015</v>
      </c>
      <c r="I24" s="401">
        <f t="shared" si="1"/>
        <v>288375.94063141878</v>
      </c>
      <c r="J24" s="401"/>
      <c r="K24" s="401"/>
      <c r="L24" s="402"/>
      <c r="N24" s="403"/>
    </row>
    <row r="25" spans="1:14" ht="16.5">
      <c r="A25" s="367"/>
      <c r="B25" s="561">
        <v>12</v>
      </c>
      <c r="C25" s="562" t="s">
        <v>1422</v>
      </c>
      <c r="D25" s="563" t="s">
        <v>109</v>
      </c>
      <c r="E25" s="564">
        <v>1.125</v>
      </c>
      <c r="F25" s="404"/>
      <c r="G25" s="404"/>
      <c r="H25" s="568">
        <v>40488.846969999999</v>
      </c>
      <c r="I25" s="401">
        <f t="shared" si="1"/>
        <v>45549.95284125</v>
      </c>
      <c r="J25" s="401"/>
      <c r="K25" s="401"/>
      <c r="L25" s="402"/>
      <c r="N25" s="403"/>
    </row>
    <row r="26" spans="1:14" ht="16.5">
      <c r="A26" s="367"/>
      <c r="B26" s="561">
        <v>13</v>
      </c>
      <c r="C26" s="562" t="s">
        <v>1423</v>
      </c>
      <c r="D26" s="563" t="s">
        <v>109</v>
      </c>
      <c r="E26" s="564">
        <v>15.12</v>
      </c>
      <c r="F26" s="404"/>
      <c r="G26" s="404"/>
      <c r="H26" s="568">
        <v>57560.803272609999</v>
      </c>
      <c r="I26" s="401">
        <f t="shared" si="1"/>
        <v>870319.34548186313</v>
      </c>
      <c r="J26" s="401"/>
      <c r="K26" s="401"/>
      <c r="L26" s="402"/>
      <c r="N26" s="403"/>
    </row>
    <row r="27" spans="1:14" ht="16.5">
      <c r="A27" s="367"/>
      <c r="B27" s="561">
        <v>14</v>
      </c>
      <c r="C27" s="562" t="s">
        <v>1424</v>
      </c>
      <c r="D27" s="563" t="s">
        <v>109</v>
      </c>
      <c r="E27" s="564">
        <v>15.12</v>
      </c>
      <c r="F27" s="404"/>
      <c r="G27" s="404"/>
      <c r="H27" s="568">
        <v>81183.750768411497</v>
      </c>
      <c r="I27" s="401">
        <f t="shared" si="1"/>
        <v>1227498.3116183819</v>
      </c>
      <c r="J27" s="401"/>
      <c r="K27" s="401"/>
      <c r="L27" s="402"/>
      <c r="N27" s="403"/>
    </row>
    <row r="28" spans="1:14" ht="31.5">
      <c r="A28" s="367"/>
      <c r="B28" s="561">
        <v>15</v>
      </c>
      <c r="C28" s="562" t="s">
        <v>1425</v>
      </c>
      <c r="D28" s="563" t="s">
        <v>109</v>
      </c>
      <c r="E28" s="564">
        <v>15.12</v>
      </c>
      <c r="F28" s="404"/>
      <c r="G28" s="404"/>
      <c r="H28" s="568">
        <v>2380939.8250000002</v>
      </c>
      <c r="I28" s="401">
        <f t="shared" si="1"/>
        <v>35999810.153999999</v>
      </c>
      <c r="J28" s="401"/>
      <c r="K28" s="401"/>
      <c r="L28" s="402"/>
      <c r="N28" s="403"/>
    </row>
    <row r="29" spans="1:14" ht="31.5">
      <c r="A29" s="367"/>
      <c r="B29" s="561">
        <v>16</v>
      </c>
      <c r="C29" s="562" t="s">
        <v>1426</v>
      </c>
      <c r="D29" s="563" t="s">
        <v>109</v>
      </c>
      <c r="E29" s="564">
        <v>50.988</v>
      </c>
      <c r="F29" s="404"/>
      <c r="G29" s="404"/>
      <c r="H29" s="568">
        <v>2638338.7250000001</v>
      </c>
      <c r="I29" s="401">
        <f t="shared" si="1"/>
        <v>134523614.91030002</v>
      </c>
      <c r="J29" s="401"/>
      <c r="K29" s="401"/>
      <c r="L29" s="402"/>
      <c r="N29" s="403"/>
    </row>
    <row r="30" spans="1:14" ht="31.5">
      <c r="A30" s="367"/>
      <c r="B30" s="561">
        <v>17</v>
      </c>
      <c r="C30" s="562" t="s">
        <v>1427</v>
      </c>
      <c r="D30" s="563" t="s">
        <v>109</v>
      </c>
      <c r="E30" s="564">
        <v>11.25</v>
      </c>
      <c r="F30" s="404"/>
      <c r="G30" s="404"/>
      <c r="H30" s="568">
        <v>247091.60396971193</v>
      </c>
      <c r="I30" s="401">
        <f t="shared" si="1"/>
        <v>2779780.5446592593</v>
      </c>
      <c r="J30" s="401"/>
      <c r="K30" s="401"/>
      <c r="L30" s="402"/>
      <c r="N30" s="403"/>
    </row>
    <row r="31" spans="1:14" ht="31.5">
      <c r="A31" s="367"/>
      <c r="B31" s="561">
        <v>18</v>
      </c>
      <c r="C31" s="562" t="s">
        <v>1428</v>
      </c>
      <c r="D31" s="563" t="s">
        <v>109</v>
      </c>
      <c r="E31" s="564">
        <v>1.391</v>
      </c>
      <c r="F31" s="404"/>
      <c r="G31" s="404"/>
      <c r="H31" s="568">
        <v>258673.75170689248</v>
      </c>
      <c r="I31" s="401">
        <f t="shared" si="1"/>
        <v>359815.18862428743</v>
      </c>
      <c r="J31" s="401"/>
      <c r="K31" s="401"/>
      <c r="L31" s="402"/>
      <c r="N31" s="403"/>
    </row>
    <row r="32" spans="1:14" ht="31.5">
      <c r="A32" s="367"/>
      <c r="B32" s="561">
        <v>19</v>
      </c>
      <c r="C32" s="562" t="s">
        <v>1429</v>
      </c>
      <c r="D32" s="563" t="s">
        <v>116</v>
      </c>
      <c r="E32" s="564">
        <v>20</v>
      </c>
      <c r="F32" s="404"/>
      <c r="G32" s="404"/>
      <c r="H32" s="568">
        <v>12022.154104053499</v>
      </c>
      <c r="I32" s="401">
        <f t="shared" si="1"/>
        <v>240443.08208107</v>
      </c>
      <c r="J32" s="401"/>
      <c r="K32" s="401"/>
      <c r="L32" s="402"/>
      <c r="N32" s="403"/>
    </row>
    <row r="33" spans="1:14" ht="16.5">
      <c r="A33" s="367"/>
      <c r="B33" s="561">
        <v>20</v>
      </c>
      <c r="C33" s="562" t="s">
        <v>1430</v>
      </c>
      <c r="D33" s="563" t="s">
        <v>116</v>
      </c>
      <c r="E33" s="564">
        <v>20</v>
      </c>
      <c r="F33" s="404"/>
      <c r="G33" s="404"/>
      <c r="H33" s="568">
        <v>30674.715970909994</v>
      </c>
      <c r="I33" s="401">
        <f t="shared" si="1"/>
        <v>613494.31941819983</v>
      </c>
      <c r="J33" s="401"/>
      <c r="K33" s="401"/>
      <c r="L33" s="402"/>
      <c r="N33" s="403"/>
    </row>
    <row r="34" spans="1:14" ht="16.5">
      <c r="A34" s="367"/>
      <c r="B34" s="561">
        <v>21</v>
      </c>
      <c r="C34" s="562" t="s">
        <v>1431</v>
      </c>
      <c r="D34" s="563" t="s">
        <v>427</v>
      </c>
      <c r="E34" s="564">
        <v>1</v>
      </c>
      <c r="F34" s="404"/>
      <c r="G34" s="404"/>
      <c r="H34" s="568">
        <v>193049.17499999999</v>
      </c>
      <c r="I34" s="401">
        <f t="shared" si="1"/>
        <v>193049.17499999999</v>
      </c>
      <c r="J34" s="401"/>
      <c r="K34" s="401"/>
      <c r="L34" s="402"/>
      <c r="N34" s="403"/>
    </row>
    <row r="35" spans="1:14" ht="16.5">
      <c r="A35" s="367"/>
      <c r="B35" s="561">
        <v>22</v>
      </c>
      <c r="C35" s="562" t="s">
        <v>1432</v>
      </c>
      <c r="D35" s="563" t="s">
        <v>427</v>
      </c>
      <c r="E35" s="564">
        <v>1</v>
      </c>
      <c r="F35" s="404"/>
      <c r="G35" s="404"/>
      <c r="H35" s="568">
        <v>149999.20897499999</v>
      </c>
      <c r="I35" s="401">
        <f t="shared" si="1"/>
        <v>149999.20897499999</v>
      </c>
      <c r="J35" s="401"/>
      <c r="K35" s="401"/>
      <c r="L35" s="402"/>
      <c r="N35" s="403"/>
    </row>
    <row r="36" spans="1:14" ht="16.5">
      <c r="A36" s="367"/>
      <c r="B36" s="561">
        <v>23</v>
      </c>
      <c r="C36" s="562" t="s">
        <v>1433</v>
      </c>
      <c r="D36" s="563" t="s">
        <v>427</v>
      </c>
      <c r="E36" s="564">
        <v>1</v>
      </c>
      <c r="F36" s="404"/>
      <c r="G36" s="404"/>
      <c r="H36" s="568">
        <v>15057835.65</v>
      </c>
      <c r="I36" s="401">
        <f t="shared" si="1"/>
        <v>15057835.65</v>
      </c>
      <c r="J36" s="401"/>
      <c r="K36" s="401"/>
      <c r="L36" s="402"/>
      <c r="N36" s="403"/>
    </row>
    <row r="37" spans="1:14" ht="16.5">
      <c r="A37" s="367"/>
      <c r="B37" s="561">
        <v>24</v>
      </c>
      <c r="C37" s="562" t="s">
        <v>1434</v>
      </c>
      <c r="D37" s="563" t="s">
        <v>116</v>
      </c>
      <c r="E37" s="564">
        <v>8</v>
      </c>
      <c r="F37" s="404"/>
      <c r="G37" s="404"/>
      <c r="H37" s="568">
        <v>386098.35</v>
      </c>
      <c r="I37" s="401">
        <f t="shared" si="1"/>
        <v>3088786.8</v>
      </c>
      <c r="J37" s="401"/>
      <c r="K37" s="401"/>
      <c r="L37" s="402"/>
      <c r="N37" s="403"/>
    </row>
    <row r="38" spans="1:14" ht="16.5">
      <c r="A38" s="367"/>
      <c r="B38" s="561">
        <v>25</v>
      </c>
      <c r="C38" s="562" t="s">
        <v>1435</v>
      </c>
      <c r="D38" s="563" t="s">
        <v>1409</v>
      </c>
      <c r="E38" s="564">
        <v>7</v>
      </c>
      <c r="F38" s="404"/>
      <c r="G38" s="404"/>
      <c r="H38" s="568">
        <v>311452.66899999999</v>
      </c>
      <c r="I38" s="401">
        <f t="shared" si="1"/>
        <v>2180168.6830000002</v>
      </c>
      <c r="J38" s="401"/>
      <c r="K38" s="401"/>
      <c r="L38" s="402"/>
      <c r="N38" s="403"/>
    </row>
    <row r="39" spans="1:14" ht="47.25">
      <c r="A39" s="367"/>
      <c r="B39" s="561">
        <v>26</v>
      </c>
      <c r="C39" s="562" t="s">
        <v>1436</v>
      </c>
      <c r="D39" s="563" t="s">
        <v>1437</v>
      </c>
      <c r="E39" s="564">
        <v>7</v>
      </c>
      <c r="F39" s="404"/>
      <c r="G39" s="404"/>
      <c r="H39" s="568">
        <v>401653.28727562504</v>
      </c>
      <c r="I39" s="401">
        <f t="shared" si="1"/>
        <v>2811573.0109293754</v>
      </c>
      <c r="J39" s="401"/>
      <c r="K39" s="401"/>
      <c r="L39" s="402"/>
      <c r="N39" s="403"/>
    </row>
    <row r="40" spans="1:14" ht="31.5">
      <c r="A40" s="367"/>
      <c r="B40" s="561">
        <v>27</v>
      </c>
      <c r="C40" s="562" t="s">
        <v>1438</v>
      </c>
      <c r="D40" s="563" t="s">
        <v>43</v>
      </c>
      <c r="E40" s="564">
        <v>4.633</v>
      </c>
      <c r="F40" s="404"/>
      <c r="G40" s="404"/>
      <c r="H40" s="568">
        <v>48418.676451695006</v>
      </c>
      <c r="I40" s="401">
        <f t="shared" si="1"/>
        <v>224323.72800070298</v>
      </c>
      <c r="J40" s="401"/>
      <c r="K40" s="401"/>
      <c r="L40" s="402"/>
      <c r="N40" s="403"/>
    </row>
    <row r="41" spans="1:14" ht="16.5">
      <c r="A41" s="367"/>
      <c r="B41" s="561">
        <v>28</v>
      </c>
      <c r="C41" s="562" t="s">
        <v>1439</v>
      </c>
      <c r="D41" s="563" t="s">
        <v>43</v>
      </c>
      <c r="E41" s="564">
        <v>4.633</v>
      </c>
      <c r="F41" s="404"/>
      <c r="G41" s="404"/>
      <c r="H41" s="568">
        <v>29718.092959060003</v>
      </c>
      <c r="I41" s="401">
        <f t="shared" si="1"/>
        <v>137683.92467932499</v>
      </c>
      <c r="J41" s="401"/>
      <c r="K41" s="401"/>
      <c r="L41" s="402"/>
      <c r="N41" s="403"/>
    </row>
    <row r="42" spans="1:14" ht="16.5">
      <c r="A42" s="367"/>
      <c r="B42" s="561">
        <v>29</v>
      </c>
      <c r="C42" s="562" t="s">
        <v>1440</v>
      </c>
      <c r="D42" s="563" t="s">
        <v>43</v>
      </c>
      <c r="E42" s="564">
        <v>4.633</v>
      </c>
      <c r="F42" s="404"/>
      <c r="G42" s="404"/>
      <c r="H42" s="568">
        <v>14859.046479530001</v>
      </c>
      <c r="I42" s="401">
        <f t="shared" si="1"/>
        <v>68841.962339662496</v>
      </c>
      <c r="J42" s="401"/>
      <c r="K42" s="401"/>
      <c r="L42" s="402"/>
      <c r="N42" s="403"/>
    </row>
    <row r="43" spans="1:14" ht="16.5">
      <c r="A43" s="367"/>
      <c r="B43" s="565" t="s">
        <v>39</v>
      </c>
      <c r="C43" s="566" t="s">
        <v>1441</v>
      </c>
      <c r="D43" s="562"/>
      <c r="E43" s="567"/>
      <c r="F43" s="404"/>
      <c r="G43" s="404"/>
      <c r="H43" s="567"/>
      <c r="I43" s="401">
        <f t="shared" si="1"/>
        <v>0</v>
      </c>
      <c r="J43" s="401"/>
      <c r="K43" s="401"/>
      <c r="L43" s="402"/>
      <c r="N43" s="403"/>
    </row>
    <row r="44" spans="1:14" ht="16.5">
      <c r="A44" s="367"/>
      <c r="B44" s="561">
        <v>30</v>
      </c>
      <c r="C44" s="562" t="s">
        <v>1410</v>
      </c>
      <c r="D44" s="563" t="s">
        <v>109</v>
      </c>
      <c r="E44" s="564">
        <v>72.141000000000005</v>
      </c>
      <c r="F44" s="404"/>
      <c r="G44" s="404"/>
      <c r="H44" s="568">
        <v>12458.106759999999</v>
      </c>
      <c r="I44" s="401">
        <f t="shared" si="1"/>
        <v>898740.27977316</v>
      </c>
      <c r="J44" s="401"/>
      <c r="K44" s="401"/>
      <c r="L44" s="402"/>
      <c r="N44" s="403"/>
    </row>
    <row r="45" spans="1:14" ht="16.5">
      <c r="A45" s="367"/>
      <c r="B45" s="561">
        <v>31</v>
      </c>
      <c r="C45" s="562" t="s">
        <v>1413</v>
      </c>
      <c r="D45" s="563" t="s">
        <v>116</v>
      </c>
      <c r="E45" s="564">
        <v>135.69</v>
      </c>
      <c r="F45" s="404"/>
      <c r="G45" s="404"/>
      <c r="H45" s="568">
        <v>31145.266900000002</v>
      </c>
      <c r="I45" s="401">
        <f t="shared" si="1"/>
        <v>4226101.2656610003</v>
      </c>
      <c r="J45" s="401"/>
      <c r="K45" s="401"/>
      <c r="L45" s="402"/>
      <c r="N45" s="403"/>
    </row>
    <row r="46" spans="1:14" ht="16.5">
      <c r="A46" s="367"/>
      <c r="B46" s="561">
        <v>32</v>
      </c>
      <c r="C46" s="562" t="s">
        <v>1414</v>
      </c>
      <c r="D46" s="563" t="s">
        <v>109</v>
      </c>
      <c r="E46" s="564">
        <v>30.24</v>
      </c>
      <c r="F46" s="404"/>
      <c r="G46" s="404"/>
      <c r="H46" s="568">
        <v>25633.416945015</v>
      </c>
      <c r="I46" s="401">
        <f t="shared" si="1"/>
        <v>775154.52841725352</v>
      </c>
      <c r="J46" s="401"/>
      <c r="K46" s="401"/>
      <c r="L46" s="402"/>
      <c r="N46" s="403"/>
    </row>
    <row r="47" spans="1:14" ht="16.5">
      <c r="A47" s="367"/>
      <c r="B47" s="561">
        <v>33</v>
      </c>
      <c r="C47" s="562" t="s">
        <v>1442</v>
      </c>
      <c r="D47" s="563" t="s">
        <v>109</v>
      </c>
      <c r="E47" s="564">
        <v>14.651999999999999</v>
      </c>
      <c r="F47" s="404"/>
      <c r="G47" s="404"/>
      <c r="H47" s="568">
        <v>34177.889260020005</v>
      </c>
      <c r="I47" s="401">
        <f t="shared" si="1"/>
        <v>500774.43343781307</v>
      </c>
      <c r="J47" s="401"/>
      <c r="K47" s="401"/>
      <c r="L47" s="402"/>
      <c r="N47" s="403"/>
    </row>
    <row r="48" spans="1:14" ht="16.5">
      <c r="A48" s="367"/>
      <c r="B48" s="561">
        <v>34</v>
      </c>
      <c r="C48" s="562" t="s">
        <v>1423</v>
      </c>
      <c r="D48" s="563" t="s">
        <v>109</v>
      </c>
      <c r="E48" s="564">
        <v>30.24</v>
      </c>
      <c r="F48" s="404"/>
      <c r="G48" s="404"/>
      <c r="H48" s="568">
        <v>57560.803272609999</v>
      </c>
      <c r="I48" s="401">
        <f t="shared" si="1"/>
        <v>1740638.6909637263</v>
      </c>
      <c r="J48" s="401"/>
      <c r="K48" s="401"/>
      <c r="L48" s="402"/>
      <c r="N48" s="403"/>
    </row>
    <row r="49" spans="1:14" ht="16.5">
      <c r="A49" s="367"/>
      <c r="B49" s="561">
        <v>35</v>
      </c>
      <c r="C49" s="562" t="s">
        <v>1424</v>
      </c>
      <c r="D49" s="563" t="s">
        <v>109</v>
      </c>
      <c r="E49" s="564">
        <v>30.24</v>
      </c>
      <c r="F49" s="404"/>
      <c r="G49" s="404"/>
      <c r="H49" s="568">
        <v>81183.750768411497</v>
      </c>
      <c r="I49" s="401">
        <f t="shared" si="1"/>
        <v>2454996.6232367638</v>
      </c>
      <c r="J49" s="401"/>
      <c r="K49" s="401"/>
      <c r="L49" s="402"/>
      <c r="N49" s="403"/>
    </row>
    <row r="50" spans="1:14" ht="31.5">
      <c r="A50" s="367"/>
      <c r="B50" s="561">
        <v>36</v>
      </c>
      <c r="C50" s="562" t="s">
        <v>1425</v>
      </c>
      <c r="D50" s="563" t="s">
        <v>109</v>
      </c>
      <c r="E50" s="564">
        <v>31.32</v>
      </c>
      <c r="F50" s="404"/>
      <c r="G50" s="404"/>
      <c r="H50" s="568">
        <v>2380939.8250000002</v>
      </c>
      <c r="I50" s="401">
        <f t="shared" si="1"/>
        <v>74571035.319000006</v>
      </c>
      <c r="J50" s="401"/>
      <c r="K50" s="401"/>
      <c r="L50" s="402"/>
      <c r="N50" s="403"/>
    </row>
    <row r="51" spans="1:14" ht="31.5">
      <c r="A51" s="367"/>
      <c r="B51" s="561">
        <v>37</v>
      </c>
      <c r="C51" s="562" t="s">
        <v>1426</v>
      </c>
      <c r="D51" s="563" t="s">
        <v>109</v>
      </c>
      <c r="E51" s="564">
        <v>40.820999999999998</v>
      </c>
      <c r="F51" s="404"/>
      <c r="G51" s="404"/>
      <c r="H51" s="568">
        <v>2638338.7250000001</v>
      </c>
      <c r="I51" s="401">
        <f t="shared" si="1"/>
        <v>107699625.093225</v>
      </c>
      <c r="J51" s="401"/>
      <c r="K51" s="401"/>
      <c r="L51" s="402"/>
      <c r="N51" s="403"/>
    </row>
    <row r="52" spans="1:14" ht="31.5">
      <c r="A52" s="367"/>
      <c r="B52" s="561">
        <v>38</v>
      </c>
      <c r="C52" s="562" t="s">
        <v>1443</v>
      </c>
      <c r="D52" s="563" t="s">
        <v>109</v>
      </c>
      <c r="E52" s="564">
        <v>29.792000000000002</v>
      </c>
      <c r="F52" s="404"/>
      <c r="G52" s="404"/>
      <c r="H52" s="568">
        <v>247091.60396971193</v>
      </c>
      <c r="I52" s="401">
        <f t="shared" si="1"/>
        <v>7361353.065465658</v>
      </c>
      <c r="J52" s="401"/>
      <c r="K52" s="401"/>
      <c r="L52" s="402"/>
      <c r="N52" s="403"/>
    </row>
    <row r="53" spans="1:14" ht="31.5">
      <c r="A53" s="367"/>
      <c r="B53" s="561">
        <v>39</v>
      </c>
      <c r="C53" s="562" t="s">
        <v>1444</v>
      </c>
      <c r="D53" s="563" t="s">
        <v>109</v>
      </c>
      <c r="E53" s="564">
        <v>1.732</v>
      </c>
      <c r="F53" s="404"/>
      <c r="G53" s="404"/>
      <c r="H53" s="568">
        <v>258673.75170689248</v>
      </c>
      <c r="I53" s="401">
        <f t="shared" si="1"/>
        <v>448022.93795633776</v>
      </c>
      <c r="J53" s="401"/>
      <c r="K53" s="401"/>
      <c r="L53" s="402"/>
      <c r="N53" s="403"/>
    </row>
    <row r="54" spans="1:14" ht="16.5">
      <c r="A54" s="367"/>
      <c r="B54" s="561">
        <v>40</v>
      </c>
      <c r="C54" s="562" t="s">
        <v>1445</v>
      </c>
      <c r="D54" s="563" t="s">
        <v>1409</v>
      </c>
      <c r="E54" s="564">
        <v>1</v>
      </c>
      <c r="F54" s="404"/>
      <c r="G54" s="404"/>
      <c r="H54" s="568">
        <v>1481461.942939</v>
      </c>
      <c r="I54" s="401">
        <f t="shared" si="1"/>
        <v>1481461.942939</v>
      </c>
      <c r="J54" s="401"/>
      <c r="K54" s="401"/>
      <c r="L54" s="402"/>
      <c r="N54" s="403"/>
    </row>
    <row r="55" spans="1:14" ht="16.5">
      <c r="A55" s="367"/>
      <c r="B55" s="561">
        <v>41</v>
      </c>
      <c r="C55" s="562" t="s">
        <v>1446</v>
      </c>
      <c r="D55" s="563" t="s">
        <v>427</v>
      </c>
      <c r="E55" s="564">
        <v>1</v>
      </c>
      <c r="F55" s="404"/>
      <c r="G55" s="404"/>
      <c r="H55" s="568">
        <v>56305.005519290004</v>
      </c>
      <c r="I55" s="401">
        <f t="shared" si="1"/>
        <v>56305.005519290004</v>
      </c>
      <c r="J55" s="401"/>
      <c r="K55" s="401"/>
      <c r="L55" s="402"/>
      <c r="N55" s="403"/>
    </row>
    <row r="56" spans="1:14" ht="31.5">
      <c r="A56" s="367"/>
      <c r="B56" s="561">
        <v>42</v>
      </c>
      <c r="C56" s="562" t="s">
        <v>1429</v>
      </c>
      <c r="D56" s="563" t="s">
        <v>116</v>
      </c>
      <c r="E56" s="564">
        <v>160</v>
      </c>
      <c r="F56" s="404"/>
      <c r="G56" s="404"/>
      <c r="H56" s="568">
        <v>12022.154104053499</v>
      </c>
      <c r="I56" s="401">
        <f t="shared" si="1"/>
        <v>1923544.65664856</v>
      </c>
      <c r="J56" s="401"/>
      <c r="K56" s="401"/>
      <c r="L56" s="402"/>
      <c r="N56" s="403"/>
    </row>
    <row r="57" spans="1:14" ht="16.5">
      <c r="A57" s="367"/>
      <c r="B57" s="561">
        <v>43</v>
      </c>
      <c r="C57" s="562" t="s">
        <v>1430</v>
      </c>
      <c r="D57" s="563" t="s">
        <v>116</v>
      </c>
      <c r="E57" s="564">
        <v>160</v>
      </c>
      <c r="F57" s="404"/>
      <c r="G57" s="404"/>
      <c r="H57" s="568">
        <v>30674.715970909994</v>
      </c>
      <c r="I57" s="401">
        <f t="shared" si="1"/>
        <v>4907954.5553455986</v>
      </c>
      <c r="J57" s="401"/>
      <c r="K57" s="401"/>
      <c r="L57" s="402"/>
      <c r="N57" s="403"/>
    </row>
    <row r="58" spans="1:14" ht="16.5">
      <c r="A58" s="367"/>
      <c r="B58" s="561">
        <v>44</v>
      </c>
      <c r="C58" s="562" t="s">
        <v>1431</v>
      </c>
      <c r="D58" s="563" t="s">
        <v>427</v>
      </c>
      <c r="E58" s="564">
        <v>8</v>
      </c>
      <c r="F58" s="404"/>
      <c r="G58" s="404"/>
      <c r="H58" s="568">
        <v>193049.17499999999</v>
      </c>
      <c r="I58" s="401">
        <f t="shared" si="1"/>
        <v>1544393.4</v>
      </c>
      <c r="J58" s="401"/>
      <c r="K58" s="401"/>
      <c r="L58" s="402"/>
      <c r="N58" s="403"/>
    </row>
    <row r="59" spans="1:14" ht="16.5">
      <c r="A59" s="367"/>
      <c r="B59" s="561">
        <v>45</v>
      </c>
      <c r="C59" s="562" t="s">
        <v>1432</v>
      </c>
      <c r="D59" s="563" t="s">
        <v>427</v>
      </c>
      <c r="E59" s="564">
        <v>8</v>
      </c>
      <c r="F59" s="404"/>
      <c r="G59" s="404"/>
      <c r="H59" s="568">
        <v>149999.20897499999</v>
      </c>
      <c r="I59" s="401">
        <f t="shared" si="1"/>
        <v>1199993.6717999999</v>
      </c>
      <c r="J59" s="401"/>
      <c r="K59" s="401"/>
      <c r="L59" s="402"/>
      <c r="N59" s="403"/>
    </row>
    <row r="60" spans="1:14" ht="16.5">
      <c r="A60" s="367"/>
      <c r="B60" s="561">
        <v>46</v>
      </c>
      <c r="C60" s="562" t="s">
        <v>1447</v>
      </c>
      <c r="D60" s="563" t="s">
        <v>427</v>
      </c>
      <c r="E60" s="564">
        <v>8</v>
      </c>
      <c r="F60" s="404"/>
      <c r="G60" s="404"/>
      <c r="H60" s="568">
        <v>15057835.65</v>
      </c>
      <c r="I60" s="401">
        <f t="shared" si="1"/>
        <v>120462685.2</v>
      </c>
      <c r="J60" s="401"/>
      <c r="K60" s="401"/>
      <c r="L60" s="402"/>
      <c r="N60" s="403"/>
    </row>
    <row r="61" spans="1:14" ht="16.5">
      <c r="A61" s="367"/>
      <c r="B61" s="561">
        <v>47</v>
      </c>
      <c r="C61" s="562" t="s">
        <v>1434</v>
      </c>
      <c r="D61" s="563" t="s">
        <v>116</v>
      </c>
      <c r="E61" s="564">
        <v>64</v>
      </c>
      <c r="F61" s="404"/>
      <c r="G61" s="404"/>
      <c r="H61" s="568">
        <v>386098.35</v>
      </c>
      <c r="I61" s="401">
        <f t="shared" si="1"/>
        <v>24710294.399999999</v>
      </c>
      <c r="J61" s="401"/>
      <c r="K61" s="401"/>
      <c r="L61" s="402"/>
      <c r="N61" s="403"/>
    </row>
    <row r="62" spans="1:14" ht="16.5">
      <c r="A62" s="367"/>
      <c r="B62" s="561">
        <v>48</v>
      </c>
      <c r="C62" s="562" t="s">
        <v>1448</v>
      </c>
      <c r="D62" s="563" t="s">
        <v>192</v>
      </c>
      <c r="E62" s="564">
        <v>0.38700000000000001</v>
      </c>
      <c r="F62" s="404"/>
      <c r="G62" s="404"/>
      <c r="H62" s="568">
        <v>27567773.59168613</v>
      </c>
      <c r="I62" s="401">
        <f t="shared" si="1"/>
        <v>10668728.379982533</v>
      </c>
      <c r="J62" s="401"/>
      <c r="K62" s="401"/>
      <c r="L62" s="402"/>
      <c r="N62" s="403"/>
    </row>
    <row r="63" spans="1:14" ht="16.5">
      <c r="A63" s="367"/>
      <c r="B63" s="561">
        <v>49</v>
      </c>
      <c r="C63" s="562" t="s">
        <v>1449</v>
      </c>
      <c r="D63" s="563" t="s">
        <v>192</v>
      </c>
      <c r="E63" s="564">
        <v>0.41199999999999998</v>
      </c>
      <c r="F63" s="404"/>
      <c r="G63" s="404"/>
      <c r="H63" s="568">
        <v>38651826.373872638</v>
      </c>
      <c r="I63" s="401">
        <f t="shared" si="1"/>
        <v>15924552.466035526</v>
      </c>
      <c r="J63" s="401"/>
      <c r="K63" s="401"/>
      <c r="L63" s="402"/>
      <c r="N63" s="403"/>
    </row>
    <row r="64" spans="1:14" ht="16.5">
      <c r="A64" s="367"/>
      <c r="B64" s="561">
        <v>50</v>
      </c>
      <c r="C64" s="562" t="s">
        <v>1450</v>
      </c>
      <c r="D64" s="563" t="s">
        <v>192</v>
      </c>
      <c r="E64" s="564">
        <v>0.19800000000000001</v>
      </c>
      <c r="F64" s="404"/>
      <c r="G64" s="404"/>
      <c r="H64" s="568">
        <v>24623174.655670349</v>
      </c>
      <c r="I64" s="401">
        <f t="shared" si="1"/>
        <v>4875388.5818227297</v>
      </c>
      <c r="J64" s="401"/>
      <c r="K64" s="401"/>
      <c r="L64" s="402"/>
      <c r="N64" s="403"/>
    </row>
    <row r="65" spans="1:14" ht="16.5">
      <c r="A65" s="367"/>
      <c r="B65" s="561">
        <v>51</v>
      </c>
      <c r="C65" s="562" t="s">
        <v>1423</v>
      </c>
      <c r="D65" s="563" t="s">
        <v>109</v>
      </c>
      <c r="E65" s="564">
        <v>52.180999999999997</v>
      </c>
      <c r="F65" s="404"/>
      <c r="G65" s="404"/>
      <c r="H65" s="568">
        <v>57560.803272609999</v>
      </c>
      <c r="I65" s="401">
        <f t="shared" si="1"/>
        <v>3003580.2755680624</v>
      </c>
      <c r="J65" s="401"/>
      <c r="K65" s="401"/>
      <c r="L65" s="402"/>
      <c r="N65" s="403"/>
    </row>
    <row r="66" spans="1:14" ht="16.5">
      <c r="A66" s="367"/>
      <c r="B66" s="561">
        <v>52</v>
      </c>
      <c r="C66" s="562" t="s">
        <v>1451</v>
      </c>
      <c r="D66" s="563" t="s">
        <v>427</v>
      </c>
      <c r="E66" s="564">
        <v>24</v>
      </c>
      <c r="F66" s="404"/>
      <c r="G66" s="404"/>
      <c r="H66" s="568">
        <v>25739.890000000003</v>
      </c>
      <c r="I66" s="401">
        <f t="shared" si="1"/>
        <v>617757.3600000001</v>
      </c>
      <c r="J66" s="401"/>
      <c r="K66" s="401"/>
      <c r="L66" s="402"/>
      <c r="N66" s="403"/>
    </row>
    <row r="67" spans="1:14" ht="16.5">
      <c r="A67" s="367"/>
      <c r="B67" s="561">
        <v>53</v>
      </c>
      <c r="C67" s="562" t="s">
        <v>1452</v>
      </c>
      <c r="D67" s="563" t="s">
        <v>192</v>
      </c>
      <c r="E67" s="564">
        <v>0.38700000000000001</v>
      </c>
      <c r="F67" s="404"/>
      <c r="G67" s="404"/>
      <c r="H67" s="568">
        <v>6397701.0572984507</v>
      </c>
      <c r="I67" s="401">
        <f t="shared" si="1"/>
        <v>2475910.3091745004</v>
      </c>
      <c r="J67" s="401"/>
      <c r="K67" s="401"/>
      <c r="L67" s="402"/>
      <c r="N67" s="403"/>
    </row>
    <row r="68" spans="1:14" ht="16.5">
      <c r="A68" s="367"/>
      <c r="B68" s="561">
        <v>54</v>
      </c>
      <c r="C68" s="562" t="s">
        <v>1453</v>
      </c>
      <c r="D68" s="563" t="s">
        <v>192</v>
      </c>
      <c r="E68" s="564">
        <v>0.41199999999999998</v>
      </c>
      <c r="F68" s="404"/>
      <c r="G68" s="404"/>
      <c r="H68" s="568">
        <v>4507381.1079352554</v>
      </c>
      <c r="I68" s="401">
        <f t="shared" si="1"/>
        <v>1857041.0164693252</v>
      </c>
      <c r="J68" s="401"/>
      <c r="K68" s="401"/>
      <c r="L68" s="402"/>
      <c r="N68" s="403"/>
    </row>
    <row r="69" spans="1:14" ht="16.5">
      <c r="A69" s="367"/>
      <c r="B69" s="561">
        <v>55</v>
      </c>
      <c r="C69" s="562" t="s">
        <v>1454</v>
      </c>
      <c r="D69" s="563" t="s">
        <v>192</v>
      </c>
      <c r="E69" s="564">
        <v>0.19800000000000001</v>
      </c>
      <c r="F69" s="404"/>
      <c r="G69" s="404"/>
      <c r="H69" s="568">
        <v>4028039.2470834996</v>
      </c>
      <c r="I69" s="401">
        <f t="shared" si="1"/>
        <v>797551.770922533</v>
      </c>
      <c r="J69" s="401"/>
      <c r="K69" s="401"/>
      <c r="L69" s="402"/>
      <c r="N69" s="403"/>
    </row>
    <row r="70" spans="1:14" ht="16.5">
      <c r="A70" s="367"/>
      <c r="B70" s="561">
        <v>56</v>
      </c>
      <c r="C70" s="562" t="s">
        <v>1455</v>
      </c>
      <c r="D70" s="563" t="s">
        <v>86</v>
      </c>
      <c r="E70" s="564">
        <v>0.76300000000000001</v>
      </c>
      <c r="F70" s="404"/>
      <c r="G70" s="404"/>
      <c r="H70" s="568">
        <v>21360891.213749997</v>
      </c>
      <c r="I70" s="401">
        <f t="shared" si="1"/>
        <v>16298359.996091248</v>
      </c>
      <c r="J70" s="401"/>
      <c r="K70" s="401"/>
      <c r="L70" s="402"/>
      <c r="N70" s="403"/>
    </row>
    <row r="71" spans="1:14" ht="31.5">
      <c r="A71" s="367"/>
      <c r="B71" s="561">
        <v>57</v>
      </c>
      <c r="C71" s="562" t="s">
        <v>1456</v>
      </c>
      <c r="D71" s="563" t="s">
        <v>296</v>
      </c>
      <c r="E71" s="564">
        <v>0.1</v>
      </c>
      <c r="F71" s="404"/>
      <c r="G71" s="404"/>
      <c r="H71" s="568">
        <v>6514670.3737908406</v>
      </c>
      <c r="I71" s="401">
        <f t="shared" si="1"/>
        <v>651467.03737908415</v>
      </c>
      <c r="J71" s="401"/>
      <c r="K71" s="401"/>
      <c r="L71" s="402"/>
      <c r="N71" s="403"/>
    </row>
    <row r="72" spans="1:14" ht="31.5">
      <c r="A72" s="367"/>
      <c r="B72" s="561">
        <v>58</v>
      </c>
      <c r="C72" s="562" t="s">
        <v>1457</v>
      </c>
      <c r="D72" s="563" t="s">
        <v>427</v>
      </c>
      <c r="E72" s="564">
        <v>8</v>
      </c>
      <c r="F72" s="404"/>
      <c r="G72" s="404"/>
      <c r="H72" s="568">
        <v>34005.366360300504</v>
      </c>
      <c r="I72" s="401">
        <f t="shared" si="1"/>
        <v>272042.93088240403</v>
      </c>
      <c r="J72" s="401"/>
      <c r="K72" s="401"/>
      <c r="L72" s="402"/>
      <c r="N72" s="403"/>
    </row>
    <row r="73" spans="1:14" ht="16.5">
      <c r="A73" s="367"/>
      <c r="B73" s="561">
        <v>59</v>
      </c>
      <c r="C73" s="562" t="s">
        <v>1468</v>
      </c>
      <c r="D73" s="563" t="s">
        <v>116</v>
      </c>
      <c r="E73" s="564">
        <v>7.4</v>
      </c>
      <c r="F73" s="404"/>
      <c r="G73" s="404"/>
      <c r="H73" s="568">
        <v>514797.8</v>
      </c>
      <c r="I73" s="401">
        <f t="shared" si="1"/>
        <v>3809503.72</v>
      </c>
      <c r="J73" s="401"/>
      <c r="K73" s="401"/>
      <c r="L73" s="402"/>
      <c r="N73" s="403"/>
    </row>
    <row r="74" spans="1:14" ht="16.5">
      <c r="A74" s="367"/>
      <c r="B74" s="561">
        <v>60</v>
      </c>
      <c r="C74" s="562" t="s">
        <v>1458</v>
      </c>
      <c r="D74" s="563" t="s">
        <v>427</v>
      </c>
      <c r="E74" s="564">
        <v>8</v>
      </c>
      <c r="F74" s="404"/>
      <c r="G74" s="404"/>
      <c r="H74" s="568">
        <v>38609.834999999999</v>
      </c>
      <c r="I74" s="401">
        <f t="shared" si="1"/>
        <v>308878.68</v>
      </c>
      <c r="J74" s="401"/>
      <c r="K74" s="401"/>
      <c r="L74" s="402"/>
      <c r="N74" s="403"/>
    </row>
    <row r="75" spans="1:14" ht="31.5">
      <c r="A75" s="367"/>
      <c r="B75" s="561">
        <v>61</v>
      </c>
      <c r="C75" s="562" t="s">
        <v>1438</v>
      </c>
      <c r="D75" s="563" t="s">
        <v>43</v>
      </c>
      <c r="E75" s="564">
        <v>2.6040000000000001</v>
      </c>
      <c r="F75" s="404"/>
      <c r="G75" s="404"/>
      <c r="H75" s="568">
        <v>48418.676451695006</v>
      </c>
      <c r="I75" s="401">
        <f t="shared" si="1"/>
        <v>126082.23348021381</v>
      </c>
      <c r="J75" s="401"/>
      <c r="K75" s="401"/>
      <c r="L75" s="402"/>
      <c r="N75" s="403"/>
    </row>
    <row r="76" spans="1:14" ht="16.5">
      <c r="A76" s="367"/>
      <c r="B76" s="561">
        <v>62</v>
      </c>
      <c r="C76" s="562" t="s">
        <v>1439</v>
      </c>
      <c r="D76" s="563" t="s">
        <v>43</v>
      </c>
      <c r="E76" s="564">
        <v>2.6040000000000001</v>
      </c>
      <c r="F76" s="404"/>
      <c r="G76" s="404"/>
      <c r="H76" s="568">
        <v>29718.092959060003</v>
      </c>
      <c r="I76" s="401">
        <f t="shared" si="1"/>
        <v>77385.914065392251</v>
      </c>
      <c r="J76" s="401"/>
      <c r="K76" s="401"/>
      <c r="L76" s="402"/>
      <c r="N76" s="403"/>
    </row>
    <row r="77" spans="1:14" ht="16.5">
      <c r="A77" s="367"/>
      <c r="B77" s="561">
        <v>63</v>
      </c>
      <c r="C77" s="562" t="s">
        <v>1440</v>
      </c>
      <c r="D77" s="563" t="s">
        <v>43</v>
      </c>
      <c r="E77" s="564">
        <v>2.6040000000000001</v>
      </c>
      <c r="F77" s="404"/>
      <c r="G77" s="404"/>
      <c r="H77" s="568">
        <v>14859.046479530001</v>
      </c>
      <c r="I77" s="401">
        <f t="shared" si="1"/>
        <v>38692.957032696126</v>
      </c>
      <c r="J77" s="401"/>
      <c r="K77" s="401"/>
      <c r="L77" s="402"/>
      <c r="N77" s="403"/>
    </row>
    <row r="78" spans="1:14" ht="16.5">
      <c r="A78" s="367"/>
      <c r="B78" s="565" t="s">
        <v>503</v>
      </c>
      <c r="C78" s="566" t="s">
        <v>1459</v>
      </c>
      <c r="D78" s="562"/>
      <c r="E78" s="567"/>
      <c r="F78" s="404"/>
      <c r="G78" s="404"/>
      <c r="H78" s="567"/>
      <c r="I78" s="401">
        <f t="shared" si="1"/>
        <v>0</v>
      </c>
      <c r="J78" s="401"/>
      <c r="K78" s="401"/>
      <c r="L78" s="402"/>
      <c r="N78" s="403"/>
    </row>
    <row r="79" spans="1:14" ht="16.5">
      <c r="A79" s="367"/>
      <c r="B79" s="561">
        <v>64</v>
      </c>
      <c r="C79" s="562" t="s">
        <v>1460</v>
      </c>
      <c r="D79" s="563" t="s">
        <v>116</v>
      </c>
      <c r="E79" s="564">
        <v>50</v>
      </c>
      <c r="F79" s="404"/>
      <c r="G79" s="404"/>
      <c r="H79" s="568">
        <v>488256.97599980957</v>
      </c>
      <c r="I79" s="401">
        <f t="shared" ref="I79:I85" si="2">H79*E79</f>
        <v>24412848.799990479</v>
      </c>
      <c r="J79" s="401"/>
      <c r="K79" s="401"/>
      <c r="L79" s="402"/>
      <c r="N79" s="403"/>
    </row>
    <row r="80" spans="1:14" ht="16.5">
      <c r="A80" s="367"/>
      <c r="B80" s="561">
        <v>65</v>
      </c>
      <c r="C80" s="562" t="s">
        <v>1461</v>
      </c>
      <c r="D80" s="563"/>
      <c r="E80" s="564">
        <v>10</v>
      </c>
      <c r="F80" s="404"/>
      <c r="G80" s="404"/>
      <c r="H80" s="568">
        <v>19304.9175</v>
      </c>
      <c r="I80" s="401">
        <f t="shared" si="2"/>
        <v>193049.17499999999</v>
      </c>
      <c r="J80" s="401"/>
      <c r="K80" s="401"/>
      <c r="L80" s="402"/>
      <c r="N80" s="403"/>
    </row>
    <row r="81" spans="1:15" ht="16.5">
      <c r="A81" s="367"/>
      <c r="B81" s="561">
        <v>66</v>
      </c>
      <c r="C81" s="562" t="s">
        <v>1462</v>
      </c>
      <c r="D81" s="563" t="s">
        <v>427</v>
      </c>
      <c r="E81" s="564">
        <v>1</v>
      </c>
      <c r="F81" s="404"/>
      <c r="G81" s="404"/>
      <c r="H81" s="568">
        <v>2288479.9522293499</v>
      </c>
      <c r="I81" s="401">
        <f t="shared" si="2"/>
        <v>2288479.9522293499</v>
      </c>
      <c r="J81" s="401"/>
      <c r="K81" s="401"/>
      <c r="L81" s="402"/>
      <c r="N81" s="403"/>
    </row>
    <row r="82" spans="1:15" ht="16.5">
      <c r="A82" s="367"/>
      <c r="B82" s="561">
        <v>67</v>
      </c>
      <c r="C82" s="562" t="s">
        <v>1463</v>
      </c>
      <c r="D82" s="563"/>
      <c r="E82" s="564">
        <v>1</v>
      </c>
      <c r="F82" s="404"/>
      <c r="G82" s="404"/>
      <c r="H82" s="568">
        <v>32174.862499999999</v>
      </c>
      <c r="I82" s="401">
        <f t="shared" si="2"/>
        <v>32174.862499999999</v>
      </c>
      <c r="J82" s="401"/>
      <c r="K82" s="401"/>
      <c r="L82" s="402"/>
      <c r="N82" s="403"/>
    </row>
    <row r="83" spans="1:15" ht="16.5">
      <c r="A83" s="367"/>
      <c r="B83" s="561">
        <v>68</v>
      </c>
      <c r="C83" s="562" t="s">
        <v>1464</v>
      </c>
      <c r="D83" s="563" t="s">
        <v>1465</v>
      </c>
      <c r="E83" s="564">
        <v>1</v>
      </c>
      <c r="F83" s="404"/>
      <c r="G83" s="404"/>
      <c r="H83" s="568">
        <v>949568.27427857998</v>
      </c>
      <c r="I83" s="401">
        <f t="shared" si="2"/>
        <v>949568.27427857998</v>
      </c>
      <c r="J83" s="401"/>
      <c r="K83" s="401"/>
      <c r="L83" s="402"/>
      <c r="N83" s="403"/>
    </row>
    <row r="84" spans="1:15" ht="16.5">
      <c r="A84" s="367"/>
      <c r="B84" s="561">
        <v>69</v>
      </c>
      <c r="C84" s="562" t="s">
        <v>1466</v>
      </c>
      <c r="D84" s="563"/>
      <c r="E84" s="564">
        <v>1</v>
      </c>
      <c r="F84" s="404"/>
      <c r="G84" s="404"/>
      <c r="H84" s="568">
        <v>32174.862499999999</v>
      </c>
      <c r="I84" s="401">
        <f t="shared" si="2"/>
        <v>32174.862499999999</v>
      </c>
      <c r="J84" s="401"/>
      <c r="K84" s="401"/>
      <c r="L84" s="402"/>
      <c r="N84" s="403"/>
    </row>
    <row r="85" spans="1:15" ht="16.5">
      <c r="A85" s="367"/>
      <c r="B85" s="561">
        <v>70</v>
      </c>
      <c r="C85" s="562" t="s">
        <v>1467</v>
      </c>
      <c r="D85" s="563" t="s">
        <v>427</v>
      </c>
      <c r="E85" s="564">
        <v>1</v>
      </c>
      <c r="F85" s="404"/>
      <c r="G85" s="404"/>
      <c r="H85" s="568">
        <v>1116519.2085299999</v>
      </c>
      <c r="I85" s="401">
        <f t="shared" si="2"/>
        <v>1116519.2085299999</v>
      </c>
      <c r="J85" s="401"/>
      <c r="K85" s="401"/>
      <c r="L85" s="402"/>
      <c r="N85" s="403"/>
    </row>
    <row r="86" spans="1:15" ht="16.5">
      <c r="A86" s="367"/>
      <c r="B86" s="405"/>
      <c r="C86" s="405" t="s">
        <v>1357</v>
      </c>
      <c r="D86" s="405"/>
      <c r="E86" s="406"/>
      <c r="F86" s="406"/>
      <c r="G86" s="406"/>
      <c r="H86" s="407"/>
      <c r="I86" s="408">
        <f>ROUND(SUM(I13:I85),-3)</f>
        <v>664076000</v>
      </c>
      <c r="J86" s="408">
        <f>ROUND(SUM(J13:J85),-3)</f>
        <v>0</v>
      </c>
      <c r="K86" s="408">
        <f>ROUND(SUM(K13:K85),-3)</f>
        <v>0</v>
      </c>
      <c r="L86" s="409"/>
      <c r="N86" s="410"/>
      <c r="O86" s="410"/>
    </row>
    <row r="87" spans="1:15" ht="16.5">
      <c r="A87" s="367"/>
      <c r="B87" s="864" t="s">
        <v>1395</v>
      </c>
      <c r="C87" s="865"/>
      <c r="D87" s="865"/>
      <c r="E87" s="865"/>
      <c r="F87" s="865"/>
      <c r="G87" s="865"/>
      <c r="H87" s="865"/>
      <c r="I87" s="865"/>
      <c r="J87" s="865"/>
      <c r="K87" s="865"/>
      <c r="L87" s="866"/>
      <c r="N87" s="410"/>
      <c r="O87" s="410"/>
    </row>
    <row r="88" spans="1:15" ht="16.5">
      <c r="A88" s="367"/>
      <c r="B88" s="412"/>
      <c r="C88" s="413"/>
      <c r="D88" s="414"/>
      <c r="E88" s="415"/>
      <c r="F88" s="416"/>
      <c r="G88" s="416"/>
      <c r="H88" s="416"/>
      <c r="I88" s="860" t="s">
        <v>1484</v>
      </c>
      <c r="J88" s="860"/>
      <c r="K88" s="860"/>
      <c r="L88" s="860"/>
    </row>
    <row r="89" spans="1:15" ht="1.9" customHeight="1">
      <c r="A89" s="367"/>
      <c r="B89" s="412"/>
      <c r="C89" s="413"/>
      <c r="D89" s="414"/>
      <c r="E89" s="415"/>
      <c r="F89" s="416"/>
      <c r="G89" s="416"/>
      <c r="H89" s="416"/>
      <c r="I89" s="417"/>
      <c r="J89" s="417"/>
      <c r="K89" s="417"/>
      <c r="L89" s="417"/>
    </row>
    <row r="90" spans="1:15" ht="20.25" customHeight="1">
      <c r="A90" s="367"/>
      <c r="B90" s="854" t="s">
        <v>1348</v>
      </c>
      <c r="C90" s="854"/>
      <c r="D90" s="854"/>
      <c r="E90" s="854"/>
      <c r="F90" s="418"/>
      <c r="G90" s="418"/>
      <c r="H90" s="418"/>
      <c r="I90" s="854" t="s">
        <v>1408</v>
      </c>
      <c r="J90" s="854"/>
      <c r="K90" s="854"/>
      <c r="L90" s="854"/>
    </row>
    <row r="91" spans="1:15" ht="16.5" customHeight="1">
      <c r="A91" s="367"/>
      <c r="B91" s="855" t="s">
        <v>1372</v>
      </c>
      <c r="C91" s="855"/>
      <c r="D91" s="855"/>
      <c r="E91" s="855"/>
      <c r="F91" s="419"/>
      <c r="G91" s="419"/>
      <c r="H91" s="419"/>
      <c r="I91" s="856" t="s">
        <v>1372</v>
      </c>
      <c r="J91" s="854"/>
      <c r="K91" s="854"/>
      <c r="L91" s="854"/>
    </row>
    <row r="92" spans="1:15" ht="16.5">
      <c r="A92" s="367"/>
      <c r="B92" s="420"/>
      <c r="C92" s="420"/>
      <c r="D92" s="857"/>
      <c r="E92" s="858"/>
      <c r="F92" s="858"/>
      <c r="G92" s="858"/>
      <c r="H92" s="858"/>
      <c r="I92" s="859"/>
      <c r="J92" s="859"/>
      <c r="K92" s="859"/>
      <c r="L92" s="421"/>
    </row>
    <row r="93" spans="1:15" ht="16.5">
      <c r="A93" s="367"/>
      <c r="B93" s="422"/>
      <c r="C93" s="423"/>
      <c r="D93" s="424"/>
      <c r="E93" s="425"/>
      <c r="F93" s="426"/>
      <c r="G93" s="426"/>
      <c r="H93" s="426"/>
      <c r="I93" s="427"/>
      <c r="J93" s="427"/>
      <c r="K93" s="428"/>
      <c r="L93" s="428"/>
    </row>
  </sheetData>
  <mergeCells count="15">
    <mergeCell ref="I88:L88"/>
    <mergeCell ref="B10:B11"/>
    <mergeCell ref="C10:C11"/>
    <mergeCell ref="D10:D11"/>
    <mergeCell ref="L10:L11"/>
    <mergeCell ref="H10:H11"/>
    <mergeCell ref="B87:L87"/>
    <mergeCell ref="E10:G10"/>
    <mergeCell ref="I10:K10"/>
    <mergeCell ref="B90:E90"/>
    <mergeCell ref="I90:L90"/>
    <mergeCell ref="B91:E91"/>
    <mergeCell ref="I91:L91"/>
    <mergeCell ref="D92:H92"/>
    <mergeCell ref="I92:K92"/>
  </mergeCells>
  <conditionalFormatting sqref="E19:E48">
    <cfRule type="cellIs" dxfId="283" priority="22" stopIfTrue="1" operator="lessThan">
      <formula>0</formula>
    </cfRule>
    <cfRule type="cellIs" dxfId="282" priority="23" stopIfTrue="1" operator="lessThan">
      <formula>0</formula>
    </cfRule>
    <cfRule type="cellIs" dxfId="281" priority="24" stopIfTrue="1" operator="lessThan">
      <formula>0</formula>
    </cfRule>
  </conditionalFormatting>
  <conditionalFormatting sqref="E13:E18">
    <cfRule type="cellIs" dxfId="280" priority="16" stopIfTrue="1" operator="lessThan">
      <formula>0</formula>
    </cfRule>
    <cfRule type="cellIs" dxfId="279" priority="17" stopIfTrue="1" operator="lessThan">
      <formula>0</formula>
    </cfRule>
    <cfRule type="cellIs" dxfId="278" priority="18" stopIfTrue="1" operator="lessThan">
      <formula>0</formula>
    </cfRule>
  </conditionalFormatting>
  <conditionalFormatting sqref="D19:D48">
    <cfRule type="cellIs" dxfId="277" priority="25" stopIfTrue="1" operator="lessThan">
      <formula>0</formula>
    </cfRule>
    <cfRule type="cellIs" dxfId="276" priority="26" stopIfTrue="1" operator="lessThan">
      <formula>0</formula>
    </cfRule>
    <cfRule type="cellIs" dxfId="275" priority="27" stopIfTrue="1" operator="lessThan">
      <formula>0</formula>
    </cfRule>
  </conditionalFormatting>
  <conditionalFormatting sqref="D13:D18">
    <cfRule type="cellIs" dxfId="274" priority="19" stopIfTrue="1" operator="lessThan">
      <formula>0</formula>
    </cfRule>
    <cfRule type="cellIs" dxfId="273" priority="20" stopIfTrue="1" operator="lessThan">
      <formula>0</formula>
    </cfRule>
    <cfRule type="cellIs" dxfId="272" priority="21" stopIfTrue="1" operator="lessThan">
      <formula>0</formula>
    </cfRule>
  </conditionalFormatting>
  <conditionalFormatting sqref="D49:D85">
    <cfRule type="cellIs" dxfId="271" priority="13" stopIfTrue="1" operator="lessThan">
      <formula>0</formula>
    </cfRule>
    <cfRule type="cellIs" dxfId="270" priority="14" stopIfTrue="1" operator="lessThan">
      <formula>0</formula>
    </cfRule>
    <cfRule type="cellIs" dxfId="269" priority="15" stopIfTrue="1" operator="lessThan">
      <formula>0</formula>
    </cfRule>
  </conditionalFormatting>
  <conditionalFormatting sqref="E49:E85">
    <cfRule type="cellIs" dxfId="268" priority="10" stopIfTrue="1" operator="lessThan">
      <formula>0</formula>
    </cfRule>
    <cfRule type="cellIs" dxfId="267" priority="11" stopIfTrue="1" operator="lessThan">
      <formula>0</formula>
    </cfRule>
    <cfRule type="cellIs" dxfId="266" priority="12" stopIfTrue="1" operator="lessThan">
      <formula>0</formula>
    </cfRule>
  </conditionalFormatting>
  <conditionalFormatting sqref="H14:H18">
    <cfRule type="cellIs" dxfId="265" priority="7" stopIfTrue="1" operator="lessThan">
      <formula>0</formula>
    </cfRule>
    <cfRule type="cellIs" dxfId="264" priority="8" stopIfTrue="1" operator="lessThan">
      <formula>0</formula>
    </cfRule>
    <cfRule type="cellIs" dxfId="263" priority="9" stopIfTrue="1" operator="lessThan">
      <formula>0</formula>
    </cfRule>
  </conditionalFormatting>
  <conditionalFormatting sqref="H19:H48">
    <cfRule type="cellIs" dxfId="262" priority="4" stopIfTrue="1" operator="lessThan">
      <formula>0</formula>
    </cfRule>
    <cfRule type="cellIs" dxfId="261" priority="5" stopIfTrue="1" operator="lessThan">
      <formula>0</formula>
    </cfRule>
    <cfRule type="cellIs" dxfId="260" priority="6" stopIfTrue="1" operator="lessThan">
      <formula>0</formula>
    </cfRule>
  </conditionalFormatting>
  <conditionalFormatting sqref="H49:H85">
    <cfRule type="cellIs" dxfId="259" priority="1" stopIfTrue="1" operator="lessThan">
      <formula>0</formula>
    </cfRule>
    <cfRule type="cellIs" dxfId="258" priority="2" stopIfTrue="1" operator="lessThan">
      <formula>0</formula>
    </cfRule>
    <cfRule type="cellIs" dxfId="257" priority="3" stopIfTrue="1" operator="lessThan">
      <formula>0</formula>
    </cfRule>
  </conditionalFormatting>
  <dataValidations count="1">
    <dataValidation allowBlank="1" showInputMessage="1" showErrorMessage="1" prompt="Cột 1, 2, 3, 4, 5 link đầy đủ từ sheet QT sang" sqref="C13:C85"/>
  </dataValidations>
  <pageMargins left="0.98425196850393704" right="0.51181102362204722" top="0.55118110236220474" bottom="0.55118110236220474" header="0.31496062992125984" footer="0.31496062992125984"/>
  <pageSetup paperSize="9" scale="8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S103"/>
  <sheetViews>
    <sheetView zoomScale="85" zoomScaleNormal="85" workbookViewId="0">
      <selection activeCell="H18" sqref="H18"/>
    </sheetView>
  </sheetViews>
  <sheetFormatPr defaultColWidth="9.33203125" defaultRowHeight="15.75"/>
  <cols>
    <col min="1" max="1" width="5.33203125" style="434" customWidth="1"/>
    <col min="2" max="2" width="58.83203125" style="450" customWidth="1"/>
    <col min="3" max="3" width="10.5" style="451" customWidth="1"/>
    <col min="4" max="4" width="13.1640625" style="451" customWidth="1"/>
    <col min="5" max="5" width="12.6640625" style="452" customWidth="1"/>
    <col min="6" max="6" width="12.33203125" style="452" bestFit="1" customWidth="1"/>
    <col min="7" max="7" width="6.33203125" style="434" customWidth="1"/>
    <col min="8" max="8" width="16.5" style="434" customWidth="1"/>
    <col min="9" max="13" width="9.33203125" style="434" customWidth="1"/>
    <col min="14" max="228" width="9.33203125" style="434"/>
    <col min="229" max="229" width="5" style="434" customWidth="1"/>
    <col min="230" max="230" width="46.6640625" style="434" customWidth="1"/>
    <col min="231" max="231" width="9.83203125" style="434" customWidth="1"/>
    <col min="232" max="232" width="12.5" style="434" customWidth="1"/>
    <col min="233" max="233" width="11.5" style="434" customWidth="1"/>
    <col min="234" max="234" width="13.1640625" style="434" customWidth="1"/>
    <col min="235" max="235" width="12.83203125" style="434" customWidth="1"/>
    <col min="236" max="236" width="7" style="434" customWidth="1"/>
    <col min="237" max="243" width="0" style="434" hidden="1" customWidth="1"/>
    <col min="244" max="16384" width="9.33203125" style="434"/>
  </cols>
  <sheetData>
    <row r="1" spans="1:252" ht="16.5">
      <c r="A1" s="877" t="s">
        <v>1482</v>
      </c>
      <c r="B1" s="878"/>
      <c r="C1" s="878"/>
      <c r="D1" s="878"/>
      <c r="E1" s="878"/>
      <c r="F1" s="878"/>
      <c r="G1" s="878"/>
    </row>
    <row r="2" spans="1:252">
      <c r="A2" s="879" t="s">
        <v>1477</v>
      </c>
      <c r="B2" s="879"/>
      <c r="C2" s="879"/>
      <c r="D2" s="879"/>
      <c r="E2" s="879"/>
      <c r="F2" s="879"/>
      <c r="G2" s="879"/>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5"/>
      <c r="ID2" s="435"/>
      <c r="IE2" s="435"/>
      <c r="IF2" s="435"/>
      <c r="IG2" s="435"/>
      <c r="IH2" s="435"/>
      <c r="II2" s="435"/>
      <c r="IJ2" s="435"/>
      <c r="IK2" s="435"/>
      <c r="IL2" s="435"/>
      <c r="IM2" s="435"/>
      <c r="IN2" s="435"/>
      <c r="IO2" s="435"/>
      <c r="IP2" s="435"/>
      <c r="IQ2" s="435"/>
      <c r="IR2" s="435"/>
    </row>
    <row r="3" spans="1:252" ht="19.899999999999999" customHeight="1">
      <c r="A3" s="880" t="s">
        <v>1489</v>
      </c>
      <c r="B3" s="880"/>
      <c r="C3" s="880"/>
      <c r="D3" s="880"/>
      <c r="E3" s="880"/>
      <c r="F3" s="880"/>
      <c r="G3" s="880"/>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5"/>
      <c r="ID3" s="435"/>
      <c r="IE3" s="435"/>
      <c r="IF3" s="435"/>
      <c r="IG3" s="435"/>
      <c r="IH3" s="435"/>
      <c r="II3" s="435"/>
      <c r="IJ3" s="435"/>
      <c r="IK3" s="435"/>
      <c r="IL3" s="435"/>
      <c r="IM3" s="435"/>
      <c r="IN3" s="435"/>
      <c r="IO3" s="435"/>
      <c r="IP3" s="435"/>
      <c r="IQ3" s="435"/>
      <c r="IR3" s="435"/>
    </row>
    <row r="4" spans="1:252" ht="19.899999999999999" customHeight="1">
      <c r="A4" s="436" t="s">
        <v>1485</v>
      </c>
      <c r="B4" s="436"/>
      <c r="C4" s="436"/>
      <c r="D4" s="436"/>
      <c r="E4" s="436"/>
      <c r="F4" s="436"/>
      <c r="G4" s="436"/>
      <c r="H4" s="436"/>
      <c r="I4" s="436"/>
      <c r="J4" s="436"/>
      <c r="K4" s="436"/>
      <c r="L4" s="436"/>
      <c r="M4" s="436"/>
    </row>
    <row r="5" spans="1:252" ht="19.899999999999999" customHeight="1">
      <c r="A5" s="458" t="s">
        <v>1486</v>
      </c>
      <c r="B5" s="437"/>
      <c r="C5" s="437"/>
      <c r="D5" s="437"/>
      <c r="E5" s="437"/>
      <c r="F5" s="437"/>
      <c r="G5" s="437"/>
    </row>
    <row r="6" spans="1:252" ht="19.899999999999999" customHeight="1">
      <c r="A6" s="458" t="s">
        <v>1487</v>
      </c>
      <c r="B6" s="439"/>
      <c r="C6" s="440"/>
      <c r="D6" s="440"/>
      <c r="E6" s="441"/>
      <c r="F6" s="441"/>
      <c r="G6" s="442"/>
      <c r="H6" s="443"/>
      <c r="I6" s="443"/>
      <c r="J6" s="443"/>
      <c r="K6" s="443"/>
      <c r="L6" s="443"/>
      <c r="M6" s="443"/>
      <c r="N6" s="443"/>
      <c r="O6" s="443"/>
      <c r="P6" s="443"/>
      <c r="Q6" s="443"/>
      <c r="R6" s="443"/>
      <c r="S6" s="443"/>
      <c r="T6" s="443"/>
      <c r="U6" s="443"/>
      <c r="V6" s="443"/>
      <c r="W6" s="443"/>
      <c r="X6" s="443"/>
      <c r="Y6" s="443"/>
      <c r="Z6" s="443"/>
      <c r="AA6" s="443"/>
      <c r="AB6" s="443"/>
      <c r="AC6" s="443"/>
      <c r="AD6" s="443"/>
      <c r="AE6" s="443"/>
      <c r="AF6" s="443"/>
      <c r="AG6" s="443"/>
      <c r="AH6" s="443"/>
      <c r="AI6" s="443"/>
      <c r="AJ6" s="443"/>
      <c r="AK6" s="443"/>
      <c r="AL6" s="443"/>
      <c r="AM6" s="443"/>
      <c r="AN6" s="443"/>
      <c r="AO6" s="443"/>
      <c r="AP6" s="443"/>
      <c r="AQ6" s="443"/>
      <c r="AR6" s="443"/>
      <c r="AS6" s="443"/>
      <c r="AT6" s="443"/>
      <c r="AU6" s="443"/>
      <c r="AV6" s="443"/>
      <c r="AW6" s="443"/>
      <c r="AX6" s="443"/>
      <c r="AY6" s="443"/>
      <c r="AZ6" s="443"/>
      <c r="BA6" s="443"/>
      <c r="BB6" s="443"/>
      <c r="BC6" s="443"/>
      <c r="BD6" s="443"/>
      <c r="BE6" s="443"/>
      <c r="BF6" s="443"/>
      <c r="BG6" s="443"/>
      <c r="BH6" s="443"/>
      <c r="BI6" s="443"/>
      <c r="BJ6" s="443"/>
      <c r="BK6" s="443"/>
      <c r="BL6" s="443"/>
      <c r="BM6" s="443"/>
      <c r="BN6" s="443"/>
      <c r="BO6" s="443"/>
      <c r="BP6" s="443"/>
      <c r="BQ6" s="443"/>
      <c r="BR6" s="443"/>
      <c r="BS6" s="443"/>
      <c r="BT6" s="443"/>
      <c r="BU6" s="443"/>
      <c r="BV6" s="443"/>
      <c r="BW6" s="443"/>
      <c r="BX6" s="443"/>
      <c r="BY6" s="443"/>
      <c r="BZ6" s="443"/>
      <c r="CA6" s="443"/>
      <c r="CB6" s="443"/>
      <c r="CC6" s="443"/>
      <c r="CD6" s="443"/>
      <c r="CE6" s="443"/>
      <c r="CF6" s="443"/>
      <c r="CG6" s="443"/>
      <c r="CH6" s="443"/>
      <c r="CI6" s="443"/>
      <c r="CJ6" s="443"/>
      <c r="CK6" s="443"/>
      <c r="CL6" s="443"/>
      <c r="CM6" s="443"/>
      <c r="CN6" s="443"/>
      <c r="CO6" s="443"/>
      <c r="CP6" s="443"/>
      <c r="CQ6" s="443"/>
      <c r="CR6" s="443"/>
      <c r="CS6" s="443"/>
      <c r="CT6" s="443"/>
      <c r="CU6" s="443"/>
      <c r="CV6" s="443"/>
      <c r="CW6" s="443"/>
      <c r="CX6" s="443"/>
      <c r="CY6" s="443"/>
      <c r="CZ6" s="443"/>
      <c r="DA6" s="443"/>
      <c r="DB6" s="443"/>
      <c r="DC6" s="443"/>
      <c r="DD6" s="443"/>
      <c r="DE6" s="443"/>
      <c r="DF6" s="443"/>
      <c r="DG6" s="443"/>
      <c r="DH6" s="443"/>
      <c r="DI6" s="443"/>
      <c r="DJ6" s="443"/>
      <c r="DK6" s="443"/>
      <c r="DL6" s="443"/>
      <c r="DM6" s="443"/>
      <c r="DN6" s="443"/>
      <c r="DO6" s="443"/>
      <c r="DP6" s="443"/>
      <c r="DQ6" s="443"/>
      <c r="DR6" s="443"/>
      <c r="DS6" s="443"/>
      <c r="DT6" s="443"/>
      <c r="DU6" s="443"/>
      <c r="DV6" s="443"/>
      <c r="DW6" s="443"/>
      <c r="DX6" s="443"/>
      <c r="DY6" s="443"/>
      <c r="DZ6" s="443"/>
      <c r="EA6" s="443"/>
      <c r="EB6" s="443"/>
      <c r="EC6" s="443"/>
      <c r="ED6" s="443"/>
      <c r="EE6" s="443"/>
      <c r="EF6" s="443"/>
      <c r="EG6" s="443"/>
      <c r="EH6" s="443"/>
      <c r="EI6" s="443"/>
      <c r="EJ6" s="443"/>
      <c r="EK6" s="443"/>
      <c r="EL6" s="443"/>
      <c r="EM6" s="443"/>
      <c r="EN6" s="443"/>
      <c r="EO6" s="443"/>
      <c r="EP6" s="443"/>
      <c r="EQ6" s="443"/>
      <c r="ER6" s="443"/>
      <c r="ES6" s="443"/>
      <c r="ET6" s="443"/>
      <c r="EU6" s="443"/>
      <c r="EV6" s="443"/>
      <c r="EW6" s="443"/>
      <c r="EX6" s="443"/>
      <c r="EY6" s="443"/>
      <c r="EZ6" s="443"/>
      <c r="FA6" s="443"/>
      <c r="FB6" s="443"/>
      <c r="FC6" s="443"/>
      <c r="FD6" s="443"/>
      <c r="FE6" s="443"/>
      <c r="FF6" s="443"/>
      <c r="FG6" s="443"/>
      <c r="FH6" s="443"/>
      <c r="FI6" s="443"/>
      <c r="FJ6" s="443"/>
      <c r="FK6" s="443"/>
      <c r="FL6" s="443"/>
      <c r="FM6" s="443"/>
      <c r="FN6" s="443"/>
      <c r="FO6" s="443"/>
      <c r="FP6" s="443"/>
      <c r="FQ6" s="443"/>
      <c r="FR6" s="443"/>
      <c r="FS6" s="443"/>
      <c r="FT6" s="443"/>
      <c r="FU6" s="443"/>
      <c r="FV6" s="443"/>
      <c r="FW6" s="443"/>
      <c r="FX6" s="443"/>
      <c r="FY6" s="443"/>
      <c r="FZ6" s="443"/>
      <c r="GA6" s="443"/>
      <c r="GB6" s="443"/>
      <c r="GC6" s="443"/>
      <c r="GD6" s="443"/>
      <c r="GE6" s="443"/>
      <c r="GF6" s="443"/>
      <c r="GG6" s="443"/>
      <c r="GH6" s="443"/>
      <c r="GI6" s="443"/>
      <c r="GJ6" s="443"/>
      <c r="GK6" s="443"/>
      <c r="GL6" s="443"/>
      <c r="GM6" s="443"/>
      <c r="GN6" s="443"/>
      <c r="GO6" s="443"/>
      <c r="GP6" s="443"/>
      <c r="GQ6" s="443"/>
      <c r="GR6" s="443"/>
      <c r="GS6" s="443"/>
      <c r="GT6" s="443"/>
      <c r="GU6" s="443"/>
      <c r="GV6" s="443"/>
      <c r="GW6" s="443"/>
      <c r="GX6" s="443"/>
      <c r="GY6" s="443"/>
      <c r="GZ6" s="443"/>
      <c r="HA6" s="443"/>
      <c r="HB6" s="443"/>
      <c r="HC6" s="443"/>
      <c r="HD6" s="443"/>
      <c r="HE6" s="443"/>
      <c r="HF6" s="443"/>
      <c r="HG6" s="443"/>
      <c r="HH6" s="443"/>
      <c r="HI6" s="443"/>
      <c r="HJ6" s="443"/>
      <c r="HK6" s="443"/>
      <c r="HL6" s="443"/>
      <c r="HM6" s="443"/>
      <c r="HN6" s="443"/>
      <c r="HO6" s="443"/>
      <c r="HP6" s="443"/>
      <c r="HQ6" s="443"/>
      <c r="HR6" s="443"/>
      <c r="HS6" s="443"/>
      <c r="HT6" s="443"/>
      <c r="HU6" s="443"/>
      <c r="HV6" s="443"/>
      <c r="HW6" s="443"/>
      <c r="HX6" s="443"/>
      <c r="HY6" s="443"/>
      <c r="HZ6" s="443"/>
      <c r="IA6" s="443"/>
      <c r="IB6" s="443"/>
      <c r="IC6" s="443"/>
      <c r="ID6" s="443"/>
      <c r="IE6" s="443"/>
      <c r="IF6" s="443"/>
      <c r="IG6" s="443"/>
      <c r="IH6" s="443"/>
      <c r="II6" s="443"/>
      <c r="IJ6" s="443"/>
      <c r="IK6" s="443"/>
      <c r="IL6" s="443"/>
      <c r="IM6" s="443"/>
      <c r="IN6" s="443"/>
      <c r="IO6" s="443"/>
      <c r="IP6" s="443"/>
      <c r="IQ6" s="443"/>
      <c r="IR6" s="443"/>
    </row>
    <row r="7" spans="1:252" ht="19.899999999999999" customHeight="1">
      <c r="A7" s="881" t="s">
        <v>1490</v>
      </c>
      <c r="B7" s="881"/>
      <c r="C7" s="881"/>
      <c r="D7" s="881"/>
      <c r="E7" s="881"/>
      <c r="F7" s="881"/>
      <c r="G7" s="881"/>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3"/>
      <c r="AG7" s="443"/>
      <c r="AH7" s="443"/>
      <c r="AI7" s="443"/>
      <c r="AJ7" s="443"/>
      <c r="AK7" s="443"/>
      <c r="AL7" s="443"/>
      <c r="AM7" s="443"/>
      <c r="AN7" s="443"/>
      <c r="AO7" s="443"/>
      <c r="AP7" s="443"/>
      <c r="AQ7" s="443"/>
      <c r="AR7" s="443"/>
      <c r="AS7" s="443"/>
      <c r="AT7" s="443"/>
      <c r="AU7" s="443"/>
      <c r="AV7" s="443"/>
      <c r="AW7" s="443"/>
      <c r="AX7" s="443"/>
      <c r="AY7" s="443"/>
      <c r="AZ7" s="443"/>
      <c r="BA7" s="443"/>
      <c r="BB7" s="443"/>
      <c r="BC7" s="443"/>
      <c r="BD7" s="443"/>
      <c r="BE7" s="443"/>
      <c r="BF7" s="443"/>
      <c r="BG7" s="443"/>
      <c r="BH7" s="443"/>
      <c r="BI7" s="443"/>
      <c r="BJ7" s="443"/>
      <c r="BK7" s="443"/>
      <c r="BL7" s="443"/>
      <c r="BM7" s="443"/>
      <c r="BN7" s="443"/>
      <c r="BO7" s="443"/>
      <c r="BP7" s="443"/>
      <c r="BQ7" s="443"/>
      <c r="BR7" s="443"/>
      <c r="BS7" s="443"/>
      <c r="BT7" s="443"/>
      <c r="BU7" s="443"/>
      <c r="BV7" s="443"/>
      <c r="BW7" s="443"/>
      <c r="BX7" s="443"/>
      <c r="BY7" s="443"/>
      <c r="BZ7" s="443"/>
      <c r="CA7" s="443"/>
      <c r="CB7" s="443"/>
      <c r="CC7" s="443"/>
      <c r="CD7" s="443"/>
      <c r="CE7" s="443"/>
      <c r="CF7" s="443"/>
      <c r="CG7" s="443"/>
      <c r="CH7" s="443"/>
      <c r="CI7" s="443"/>
      <c r="CJ7" s="443"/>
      <c r="CK7" s="443"/>
      <c r="CL7" s="443"/>
      <c r="CM7" s="443"/>
      <c r="CN7" s="443"/>
      <c r="CO7" s="443"/>
      <c r="CP7" s="443"/>
      <c r="CQ7" s="443"/>
      <c r="CR7" s="443"/>
      <c r="CS7" s="443"/>
      <c r="CT7" s="443"/>
      <c r="CU7" s="443"/>
      <c r="CV7" s="443"/>
      <c r="CW7" s="443"/>
      <c r="CX7" s="443"/>
      <c r="CY7" s="443"/>
      <c r="CZ7" s="443"/>
      <c r="DA7" s="443"/>
      <c r="DB7" s="443"/>
      <c r="DC7" s="443"/>
      <c r="DD7" s="443"/>
      <c r="DE7" s="443"/>
      <c r="DF7" s="443"/>
      <c r="DG7" s="443"/>
      <c r="DH7" s="443"/>
      <c r="DI7" s="443"/>
      <c r="DJ7" s="443"/>
      <c r="DK7" s="443"/>
      <c r="DL7" s="443"/>
      <c r="DM7" s="443"/>
      <c r="DN7" s="443"/>
      <c r="DO7" s="443"/>
      <c r="DP7" s="443"/>
      <c r="DQ7" s="443"/>
      <c r="DR7" s="443"/>
      <c r="DS7" s="443"/>
      <c r="DT7" s="443"/>
      <c r="DU7" s="443"/>
      <c r="DV7" s="443"/>
      <c r="DW7" s="443"/>
      <c r="DX7" s="443"/>
      <c r="DY7" s="443"/>
      <c r="DZ7" s="443"/>
      <c r="EA7" s="443"/>
      <c r="EB7" s="443"/>
      <c r="EC7" s="443"/>
      <c r="ED7" s="443"/>
      <c r="EE7" s="443"/>
      <c r="EF7" s="443"/>
      <c r="EG7" s="443"/>
      <c r="EH7" s="443"/>
      <c r="EI7" s="443"/>
      <c r="EJ7" s="443"/>
      <c r="EK7" s="443"/>
      <c r="EL7" s="443"/>
      <c r="EM7" s="443"/>
      <c r="EN7" s="443"/>
      <c r="EO7" s="443"/>
      <c r="EP7" s="443"/>
      <c r="EQ7" s="443"/>
      <c r="ER7" s="443"/>
      <c r="ES7" s="443"/>
      <c r="ET7" s="443"/>
      <c r="EU7" s="443"/>
      <c r="EV7" s="443"/>
      <c r="EW7" s="443"/>
      <c r="EX7" s="443"/>
      <c r="EY7" s="443"/>
      <c r="EZ7" s="443"/>
      <c r="FA7" s="443"/>
      <c r="FB7" s="443"/>
      <c r="FC7" s="443"/>
      <c r="FD7" s="443"/>
      <c r="FE7" s="443"/>
      <c r="FF7" s="443"/>
      <c r="FG7" s="443"/>
      <c r="FH7" s="443"/>
      <c r="FI7" s="443"/>
      <c r="FJ7" s="443"/>
      <c r="FK7" s="443"/>
      <c r="FL7" s="443"/>
      <c r="FM7" s="443"/>
      <c r="FN7" s="443"/>
      <c r="FO7" s="443"/>
      <c r="FP7" s="443"/>
      <c r="FQ7" s="443"/>
      <c r="FR7" s="443"/>
      <c r="FS7" s="443"/>
      <c r="FT7" s="443"/>
      <c r="FU7" s="443"/>
      <c r="FV7" s="443"/>
      <c r="FW7" s="443"/>
      <c r="FX7" s="443"/>
      <c r="FY7" s="443"/>
      <c r="FZ7" s="443"/>
      <c r="GA7" s="443"/>
      <c r="GB7" s="443"/>
      <c r="GC7" s="443"/>
      <c r="GD7" s="443"/>
      <c r="GE7" s="443"/>
      <c r="GF7" s="443"/>
      <c r="GG7" s="443"/>
      <c r="GH7" s="443"/>
      <c r="GI7" s="443"/>
      <c r="GJ7" s="443"/>
      <c r="GK7" s="443"/>
      <c r="GL7" s="443"/>
      <c r="GM7" s="443"/>
      <c r="GN7" s="443"/>
      <c r="GO7" s="443"/>
      <c r="GP7" s="443"/>
      <c r="GQ7" s="443"/>
      <c r="GR7" s="443"/>
      <c r="GS7" s="443"/>
      <c r="GT7" s="443"/>
      <c r="GU7" s="443"/>
      <c r="GV7" s="443"/>
      <c r="GW7" s="443"/>
      <c r="GX7" s="443"/>
      <c r="GY7" s="443"/>
      <c r="GZ7" s="443"/>
      <c r="HA7" s="443"/>
      <c r="HB7" s="443"/>
      <c r="HC7" s="443"/>
      <c r="HD7" s="443"/>
      <c r="HE7" s="443"/>
      <c r="HF7" s="443"/>
      <c r="HG7" s="443"/>
      <c r="HH7" s="443"/>
      <c r="HI7" s="443"/>
      <c r="HJ7" s="443"/>
      <c r="HK7" s="443"/>
      <c r="HL7" s="443"/>
      <c r="HM7" s="443"/>
      <c r="HN7" s="443"/>
      <c r="HO7" s="443"/>
      <c r="HP7" s="443"/>
      <c r="HQ7" s="443"/>
      <c r="HR7" s="443"/>
      <c r="HS7" s="443"/>
      <c r="HT7" s="443"/>
      <c r="HU7" s="443"/>
      <c r="HV7" s="443"/>
      <c r="HW7" s="443"/>
      <c r="HX7" s="443"/>
      <c r="HY7" s="443"/>
      <c r="HZ7" s="443"/>
      <c r="IA7" s="443"/>
      <c r="IB7" s="443"/>
      <c r="IC7" s="443"/>
      <c r="ID7" s="443"/>
      <c r="IE7" s="443"/>
      <c r="IF7" s="443"/>
      <c r="IG7" s="443"/>
      <c r="IH7" s="443"/>
      <c r="II7" s="443"/>
      <c r="IJ7" s="443"/>
      <c r="IK7" s="443"/>
      <c r="IL7" s="443"/>
      <c r="IM7" s="443"/>
      <c r="IN7" s="443"/>
      <c r="IO7" s="443"/>
      <c r="IP7" s="443"/>
      <c r="IQ7" s="443"/>
      <c r="IR7" s="443"/>
    </row>
    <row r="8" spans="1:252">
      <c r="A8" s="444"/>
      <c r="B8" s="444"/>
      <c r="C8" s="444"/>
      <c r="D8" s="444"/>
      <c r="E8" s="444"/>
      <c r="F8" s="444"/>
      <c r="G8" s="444"/>
      <c r="H8" s="443"/>
      <c r="I8" s="443"/>
      <c r="J8" s="443"/>
      <c r="K8" s="443"/>
      <c r="L8" s="443"/>
      <c r="M8" s="443"/>
      <c r="N8" s="443"/>
      <c r="O8" s="443"/>
      <c r="P8" s="443"/>
      <c r="Q8" s="443"/>
      <c r="R8" s="443"/>
      <c r="S8" s="443"/>
      <c r="T8" s="443"/>
      <c r="U8" s="443"/>
      <c r="V8" s="443"/>
      <c r="W8" s="443"/>
      <c r="X8" s="443"/>
      <c r="Y8" s="443"/>
      <c r="Z8" s="443"/>
      <c r="AA8" s="443"/>
      <c r="AB8" s="443"/>
      <c r="AC8" s="443"/>
      <c r="AD8" s="443"/>
      <c r="AE8" s="443"/>
      <c r="AF8" s="443"/>
      <c r="AG8" s="443"/>
      <c r="AH8" s="443"/>
      <c r="AI8" s="443"/>
      <c r="AJ8" s="443"/>
      <c r="AK8" s="443"/>
      <c r="AL8" s="443"/>
      <c r="AM8" s="443"/>
      <c r="AN8" s="443"/>
      <c r="AO8" s="443"/>
      <c r="AP8" s="443"/>
      <c r="AQ8" s="443"/>
      <c r="AR8" s="443"/>
      <c r="AS8" s="443"/>
      <c r="AT8" s="443"/>
      <c r="AU8" s="443"/>
      <c r="AV8" s="443"/>
      <c r="AW8" s="443"/>
      <c r="AX8" s="443"/>
      <c r="AY8" s="443"/>
      <c r="AZ8" s="443"/>
      <c r="BA8" s="443"/>
      <c r="BB8" s="443"/>
      <c r="BC8" s="443"/>
      <c r="BD8" s="443"/>
      <c r="BE8" s="443"/>
      <c r="BF8" s="443"/>
      <c r="BG8" s="443"/>
      <c r="BH8" s="443"/>
      <c r="BI8" s="443"/>
      <c r="BJ8" s="443"/>
      <c r="BK8" s="443"/>
      <c r="BL8" s="443"/>
      <c r="BM8" s="443"/>
      <c r="BN8" s="443"/>
      <c r="BO8" s="443"/>
      <c r="BP8" s="443"/>
      <c r="BQ8" s="443"/>
      <c r="BR8" s="443"/>
      <c r="BS8" s="443"/>
      <c r="BT8" s="443"/>
      <c r="BU8" s="443"/>
      <c r="BV8" s="443"/>
      <c r="BW8" s="443"/>
      <c r="BX8" s="443"/>
      <c r="BY8" s="443"/>
      <c r="BZ8" s="443"/>
      <c r="CA8" s="443"/>
      <c r="CB8" s="443"/>
      <c r="CC8" s="443"/>
      <c r="CD8" s="443"/>
      <c r="CE8" s="443"/>
      <c r="CF8" s="443"/>
      <c r="CG8" s="443"/>
      <c r="CH8" s="443"/>
      <c r="CI8" s="443"/>
      <c r="CJ8" s="443"/>
      <c r="CK8" s="443"/>
      <c r="CL8" s="443"/>
      <c r="CM8" s="443"/>
      <c r="CN8" s="443"/>
      <c r="CO8" s="443"/>
      <c r="CP8" s="443"/>
      <c r="CQ8" s="443"/>
      <c r="CR8" s="443"/>
      <c r="CS8" s="443"/>
      <c r="CT8" s="443"/>
      <c r="CU8" s="443"/>
      <c r="CV8" s="443"/>
      <c r="CW8" s="443"/>
      <c r="CX8" s="443"/>
      <c r="CY8" s="443"/>
      <c r="CZ8" s="443"/>
      <c r="DA8" s="443"/>
      <c r="DB8" s="443"/>
      <c r="DC8" s="443"/>
      <c r="DD8" s="443"/>
      <c r="DE8" s="443"/>
      <c r="DF8" s="443"/>
      <c r="DG8" s="443"/>
      <c r="DH8" s="443"/>
      <c r="DI8" s="443"/>
      <c r="DJ8" s="443"/>
      <c r="DK8" s="443"/>
      <c r="DL8" s="443"/>
      <c r="DM8" s="443"/>
      <c r="DN8" s="443"/>
      <c r="DO8" s="443"/>
      <c r="DP8" s="443"/>
      <c r="DQ8" s="443"/>
      <c r="DR8" s="443"/>
      <c r="DS8" s="443"/>
      <c r="DT8" s="443"/>
      <c r="DU8" s="443"/>
      <c r="DV8" s="443"/>
      <c r="DW8" s="443"/>
      <c r="DX8" s="443"/>
      <c r="DY8" s="443"/>
      <c r="DZ8" s="443"/>
      <c r="EA8" s="443"/>
      <c r="EB8" s="443"/>
      <c r="EC8" s="443"/>
      <c r="ED8" s="443"/>
      <c r="EE8" s="443"/>
      <c r="EF8" s="443"/>
      <c r="EG8" s="443"/>
      <c r="EH8" s="443"/>
      <c r="EI8" s="443"/>
      <c r="EJ8" s="443"/>
      <c r="EK8" s="443"/>
      <c r="EL8" s="443"/>
      <c r="EM8" s="443"/>
      <c r="EN8" s="443"/>
      <c r="EO8" s="443"/>
      <c r="EP8" s="443"/>
      <c r="EQ8" s="443"/>
      <c r="ER8" s="443"/>
      <c r="ES8" s="443"/>
      <c r="ET8" s="443"/>
      <c r="EU8" s="443"/>
      <c r="EV8" s="443"/>
      <c r="EW8" s="443"/>
      <c r="EX8" s="443"/>
      <c r="EY8" s="443"/>
      <c r="EZ8" s="443"/>
      <c r="FA8" s="443"/>
      <c r="FB8" s="443"/>
      <c r="FC8" s="443"/>
      <c r="FD8" s="443"/>
      <c r="FE8" s="443"/>
      <c r="FF8" s="443"/>
      <c r="FG8" s="443"/>
      <c r="FH8" s="443"/>
      <c r="FI8" s="443"/>
      <c r="FJ8" s="443"/>
      <c r="FK8" s="443"/>
      <c r="FL8" s="443"/>
      <c r="FM8" s="443"/>
      <c r="FN8" s="443"/>
      <c r="FO8" s="443"/>
      <c r="FP8" s="443"/>
      <c r="FQ8" s="443"/>
      <c r="FR8" s="443"/>
      <c r="FS8" s="443"/>
      <c r="FT8" s="443"/>
      <c r="FU8" s="443"/>
      <c r="FV8" s="443"/>
      <c r="FW8" s="443"/>
      <c r="FX8" s="443"/>
      <c r="FY8" s="443"/>
      <c r="FZ8" s="443"/>
      <c r="GA8" s="443"/>
      <c r="GB8" s="443"/>
      <c r="GC8" s="443"/>
      <c r="GD8" s="443"/>
      <c r="GE8" s="443"/>
      <c r="GF8" s="443"/>
      <c r="GG8" s="443"/>
      <c r="GH8" s="443"/>
      <c r="GI8" s="443"/>
      <c r="GJ8" s="443"/>
      <c r="GK8" s="443"/>
      <c r="GL8" s="443"/>
      <c r="GM8" s="443"/>
      <c r="GN8" s="443"/>
      <c r="GO8" s="443"/>
      <c r="GP8" s="443"/>
      <c r="GQ8" s="443"/>
      <c r="GR8" s="443"/>
      <c r="GS8" s="443"/>
      <c r="GT8" s="443"/>
      <c r="GU8" s="443"/>
      <c r="GV8" s="443"/>
      <c r="GW8" s="443"/>
      <c r="GX8" s="443"/>
      <c r="GY8" s="443"/>
      <c r="GZ8" s="443"/>
      <c r="HA8" s="443"/>
      <c r="HB8" s="443"/>
      <c r="HC8" s="443"/>
      <c r="HD8" s="443"/>
      <c r="HE8" s="443"/>
      <c r="HF8" s="443"/>
      <c r="HG8" s="443"/>
      <c r="HH8" s="443"/>
      <c r="HI8" s="443"/>
      <c r="HJ8" s="443"/>
      <c r="HK8" s="443"/>
      <c r="HL8" s="443"/>
      <c r="HM8" s="443"/>
      <c r="HN8" s="443"/>
      <c r="HO8" s="443"/>
      <c r="HP8" s="443"/>
      <c r="HQ8" s="443"/>
      <c r="HR8" s="443"/>
      <c r="HS8" s="443"/>
      <c r="HT8" s="443"/>
      <c r="HU8" s="443"/>
      <c r="HV8" s="443"/>
      <c r="HW8" s="443"/>
      <c r="HX8" s="443"/>
      <c r="HY8" s="443"/>
      <c r="HZ8" s="443"/>
      <c r="IA8" s="443"/>
      <c r="IB8" s="443"/>
      <c r="IC8" s="443"/>
      <c r="ID8" s="443"/>
      <c r="IE8" s="443"/>
      <c r="IF8" s="443"/>
      <c r="IG8" s="443"/>
      <c r="IH8" s="443"/>
      <c r="II8" s="443"/>
      <c r="IJ8" s="443"/>
      <c r="IK8" s="443"/>
      <c r="IL8" s="443"/>
      <c r="IM8" s="443"/>
      <c r="IN8" s="443"/>
      <c r="IO8" s="443"/>
      <c r="IP8" s="443"/>
      <c r="IQ8" s="443"/>
      <c r="IR8" s="443"/>
    </row>
    <row r="9" spans="1:252" ht="21" customHeight="1">
      <c r="A9" s="882" t="s">
        <v>1368</v>
      </c>
      <c r="B9" s="882" t="s">
        <v>1369</v>
      </c>
      <c r="C9" s="884" t="s">
        <v>1370</v>
      </c>
      <c r="D9" s="886" t="s">
        <v>17</v>
      </c>
      <c r="E9" s="887"/>
      <c r="F9" s="888"/>
      <c r="G9" s="884" t="s">
        <v>1148</v>
      </c>
    </row>
    <row r="10" spans="1:252" ht="40.9" customHeight="1">
      <c r="A10" s="883"/>
      <c r="B10" s="883"/>
      <c r="C10" s="885"/>
      <c r="D10" s="461" t="s">
        <v>1389</v>
      </c>
      <c r="E10" s="460" t="s">
        <v>1476</v>
      </c>
      <c r="F10" s="460" t="s">
        <v>1475</v>
      </c>
      <c r="G10" s="885"/>
    </row>
    <row r="11" spans="1:252" ht="19.899999999999999" customHeight="1">
      <c r="A11" s="445">
        <v>1</v>
      </c>
      <c r="B11" s="445">
        <v>2</v>
      </c>
      <c r="C11" s="445">
        <v>3</v>
      </c>
      <c r="D11" s="445">
        <v>4</v>
      </c>
      <c r="E11" s="445">
        <v>5</v>
      </c>
      <c r="F11" s="445" t="s">
        <v>1478</v>
      </c>
      <c r="G11" s="445">
        <v>7</v>
      </c>
      <c r="H11" s="447"/>
      <c r="I11" s="447"/>
      <c r="J11" s="448"/>
      <c r="K11" s="447"/>
      <c r="L11" s="447"/>
      <c r="M11" s="447"/>
      <c r="N11" s="447"/>
      <c r="O11" s="447"/>
      <c r="P11" s="447"/>
      <c r="Q11" s="447"/>
      <c r="R11" s="447"/>
      <c r="S11" s="447"/>
      <c r="T11" s="447"/>
      <c r="U11" s="447"/>
      <c r="V11" s="447"/>
      <c r="W11" s="447"/>
      <c r="X11" s="447"/>
      <c r="Y11" s="447"/>
      <c r="Z11" s="447"/>
      <c r="AA11" s="447"/>
      <c r="AB11" s="447"/>
      <c r="AC11" s="447"/>
      <c r="AD11" s="447"/>
      <c r="AE11" s="447"/>
      <c r="AF11" s="447"/>
      <c r="AG11" s="447"/>
      <c r="AH11" s="447"/>
      <c r="AI11" s="447"/>
      <c r="AJ11" s="447"/>
      <c r="AK11" s="447"/>
      <c r="AL11" s="447"/>
      <c r="AM11" s="447"/>
      <c r="AN11" s="447"/>
      <c r="AO11" s="447"/>
      <c r="AP11" s="447"/>
      <c r="AQ11" s="447"/>
      <c r="AR11" s="447"/>
      <c r="AS11" s="447"/>
      <c r="AT11" s="447"/>
      <c r="AU11" s="447"/>
      <c r="AV11" s="447"/>
      <c r="AW11" s="447"/>
      <c r="AX11" s="447"/>
      <c r="AY11" s="447"/>
      <c r="AZ11" s="447"/>
      <c r="BA11" s="447"/>
      <c r="BB11" s="447"/>
      <c r="BC11" s="447"/>
      <c r="BD11" s="447"/>
      <c r="BE11" s="447"/>
      <c r="BF11" s="447"/>
      <c r="BG11" s="447"/>
      <c r="BH11" s="447"/>
      <c r="BI11" s="447"/>
      <c r="BJ11" s="447"/>
      <c r="BK11" s="447"/>
      <c r="BL11" s="447"/>
      <c r="BM11" s="447"/>
      <c r="BN11" s="447"/>
      <c r="BO11" s="447"/>
      <c r="BP11" s="447"/>
      <c r="BQ11" s="447"/>
      <c r="BR11" s="447"/>
      <c r="BS11" s="447"/>
      <c r="BT11" s="447"/>
      <c r="BU11" s="447"/>
      <c r="BV11" s="447"/>
      <c r="BW11" s="447"/>
      <c r="BX11" s="447"/>
      <c r="BY11" s="447"/>
      <c r="BZ11" s="447"/>
      <c r="CA11" s="447"/>
      <c r="CB11" s="447"/>
      <c r="CC11" s="447"/>
      <c r="CD11" s="447"/>
      <c r="CE11" s="447"/>
      <c r="CF11" s="447"/>
      <c r="CG11" s="447"/>
      <c r="CH11" s="447"/>
      <c r="CI11" s="447"/>
      <c r="CJ11" s="447"/>
      <c r="CK11" s="447"/>
      <c r="CL11" s="447"/>
      <c r="CM11" s="447"/>
      <c r="CN11" s="447"/>
      <c r="CO11" s="447"/>
      <c r="CP11" s="447"/>
      <c r="CQ11" s="447"/>
      <c r="CR11" s="447"/>
      <c r="CS11" s="447"/>
      <c r="CT11" s="447"/>
      <c r="CU11" s="447"/>
      <c r="CV11" s="447"/>
      <c r="CW11" s="447"/>
      <c r="CX11" s="447"/>
      <c r="CY11" s="447"/>
      <c r="CZ11" s="447"/>
      <c r="DA11" s="447"/>
      <c r="DB11" s="447"/>
      <c r="DC11" s="447"/>
      <c r="DD11" s="447"/>
      <c r="DE11" s="447"/>
      <c r="DF11" s="447"/>
      <c r="DG11" s="447"/>
      <c r="DH11" s="447"/>
      <c r="DI11" s="447"/>
      <c r="DJ11" s="447"/>
      <c r="DK11" s="447"/>
      <c r="DL11" s="447"/>
      <c r="DM11" s="447"/>
      <c r="DN11" s="447"/>
      <c r="DO11" s="447"/>
      <c r="DP11" s="447"/>
      <c r="DQ11" s="447"/>
      <c r="DR11" s="447"/>
      <c r="DS11" s="447"/>
      <c r="DT11" s="447"/>
      <c r="DU11" s="447"/>
      <c r="DV11" s="447"/>
      <c r="DW11" s="447"/>
      <c r="DX11" s="447"/>
      <c r="DY11" s="447"/>
      <c r="DZ11" s="447"/>
      <c r="EA11" s="447"/>
      <c r="EB11" s="447"/>
      <c r="EC11" s="447"/>
      <c r="ED11" s="447"/>
      <c r="EE11" s="447"/>
      <c r="EF11" s="447"/>
      <c r="EG11" s="447"/>
      <c r="EH11" s="447"/>
      <c r="EI11" s="447"/>
      <c r="EJ11" s="447"/>
      <c r="EK11" s="447"/>
      <c r="EL11" s="447"/>
      <c r="EM11" s="447"/>
      <c r="EN11" s="447"/>
      <c r="EO11" s="447"/>
      <c r="EP11" s="447"/>
      <c r="EQ11" s="447"/>
      <c r="ER11" s="447"/>
      <c r="ES11" s="447"/>
      <c r="ET11" s="447"/>
      <c r="EU11" s="447"/>
      <c r="EV11" s="447"/>
      <c r="EW11" s="447"/>
      <c r="EX11" s="447"/>
      <c r="EY11" s="447"/>
      <c r="EZ11" s="447"/>
      <c r="FA11" s="447"/>
      <c r="FB11" s="447"/>
      <c r="FC11" s="447"/>
      <c r="FD11" s="447"/>
      <c r="FE11" s="447"/>
      <c r="FF11" s="447"/>
      <c r="FG11" s="447"/>
      <c r="FH11" s="447"/>
      <c r="FI11" s="447"/>
      <c r="FJ11" s="447"/>
      <c r="FK11" s="447"/>
      <c r="FL11" s="447"/>
      <c r="FM11" s="447"/>
      <c r="FN11" s="447"/>
      <c r="FO11" s="447"/>
      <c r="FP11" s="447"/>
      <c r="FQ11" s="447"/>
      <c r="FR11" s="447"/>
      <c r="FS11" s="447"/>
      <c r="FT11" s="447"/>
      <c r="FU11" s="447"/>
      <c r="FV11" s="447"/>
      <c r="FW11" s="447"/>
      <c r="FX11" s="447"/>
      <c r="FY11" s="447"/>
      <c r="FZ11" s="447"/>
      <c r="GA11" s="447"/>
      <c r="GB11" s="447"/>
      <c r="GC11" s="447"/>
      <c r="GD11" s="447"/>
      <c r="GE11" s="447"/>
      <c r="GF11" s="447"/>
      <c r="GG11" s="447"/>
      <c r="GH11" s="447"/>
      <c r="GI11" s="447"/>
      <c r="GJ11" s="447"/>
      <c r="GK11" s="447"/>
      <c r="GL11" s="447"/>
      <c r="GM11" s="447"/>
      <c r="GN11" s="447"/>
      <c r="GO11" s="447"/>
      <c r="GP11" s="447"/>
      <c r="GQ11" s="447"/>
      <c r="GR11" s="447"/>
      <c r="GS11" s="447"/>
      <c r="GT11" s="447"/>
      <c r="GU11" s="447"/>
      <c r="GV11" s="447"/>
      <c r="GW11" s="447"/>
      <c r="GX11" s="447"/>
      <c r="GY11" s="447"/>
      <c r="GZ11" s="447"/>
      <c r="HA11" s="447"/>
      <c r="HB11" s="447"/>
      <c r="HC11" s="447"/>
      <c r="HD11" s="447"/>
      <c r="HE11" s="447"/>
      <c r="HF11" s="447"/>
      <c r="HG11" s="447"/>
      <c r="HH11" s="447"/>
      <c r="HI11" s="447"/>
      <c r="HJ11" s="447"/>
      <c r="HK11" s="447"/>
      <c r="HL11" s="447"/>
      <c r="HM11" s="447"/>
      <c r="HN11" s="447"/>
      <c r="HO11" s="447"/>
      <c r="HP11" s="447"/>
      <c r="HQ11" s="447"/>
      <c r="HR11" s="447"/>
      <c r="HS11" s="447"/>
      <c r="HT11" s="447"/>
      <c r="HU11" s="447"/>
      <c r="HV11" s="447"/>
      <c r="HW11" s="447"/>
      <c r="HX11" s="447"/>
      <c r="HY11" s="447"/>
      <c r="HZ11" s="447"/>
      <c r="IA11" s="447"/>
      <c r="IB11" s="447"/>
      <c r="IC11" s="447"/>
      <c r="ID11" s="447"/>
      <c r="IE11" s="447"/>
      <c r="IF11" s="447"/>
      <c r="IG11" s="447"/>
      <c r="IH11" s="447"/>
      <c r="II11" s="447"/>
      <c r="IJ11" s="447"/>
      <c r="IK11" s="447"/>
      <c r="IL11" s="447"/>
      <c r="IM11" s="447"/>
      <c r="IN11" s="447"/>
      <c r="IO11" s="447"/>
      <c r="IP11" s="447"/>
      <c r="IQ11" s="447"/>
      <c r="IR11" s="447"/>
    </row>
    <row r="12" spans="1:252" ht="19.899999999999999" customHeight="1">
      <c r="A12" s="575" t="s">
        <v>39</v>
      </c>
      <c r="B12" s="576" t="s">
        <v>1411</v>
      </c>
      <c r="C12" s="575"/>
      <c r="D12" s="575"/>
      <c r="E12" s="564"/>
      <c r="F12" s="564"/>
      <c r="G12" s="446"/>
      <c r="H12" s="447"/>
      <c r="I12" s="447"/>
      <c r="J12" s="449"/>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47"/>
      <c r="AS12" s="447"/>
      <c r="AT12" s="447"/>
      <c r="AU12" s="447"/>
      <c r="AV12" s="447"/>
      <c r="AW12" s="447"/>
      <c r="AX12" s="447"/>
      <c r="AY12" s="447"/>
      <c r="AZ12" s="447"/>
      <c r="BA12" s="447"/>
      <c r="BB12" s="447"/>
      <c r="BC12" s="447"/>
      <c r="BD12" s="447"/>
      <c r="BE12" s="447"/>
      <c r="BF12" s="447"/>
      <c r="BG12" s="447"/>
      <c r="BH12" s="447"/>
      <c r="BI12" s="447"/>
      <c r="BJ12" s="447"/>
      <c r="BK12" s="447"/>
      <c r="BL12" s="447"/>
      <c r="BM12" s="447"/>
      <c r="BN12" s="447"/>
      <c r="BO12" s="447"/>
      <c r="BP12" s="447"/>
      <c r="BQ12" s="447"/>
      <c r="BR12" s="447"/>
      <c r="BS12" s="447"/>
      <c r="BT12" s="447"/>
      <c r="BU12" s="447"/>
      <c r="BV12" s="447"/>
      <c r="BW12" s="447"/>
      <c r="BX12" s="447"/>
      <c r="BY12" s="447"/>
      <c r="BZ12" s="447"/>
      <c r="CA12" s="447"/>
      <c r="CB12" s="447"/>
      <c r="CC12" s="447"/>
      <c r="CD12" s="447"/>
      <c r="CE12" s="447"/>
      <c r="CF12" s="447"/>
      <c r="CG12" s="447"/>
      <c r="CH12" s="447"/>
      <c r="CI12" s="447"/>
      <c r="CJ12" s="447"/>
      <c r="CK12" s="447"/>
      <c r="CL12" s="447"/>
      <c r="CM12" s="447"/>
      <c r="CN12" s="447"/>
      <c r="CO12" s="447"/>
      <c r="CP12" s="447"/>
      <c r="CQ12" s="447"/>
      <c r="CR12" s="447"/>
      <c r="CS12" s="447"/>
      <c r="CT12" s="447"/>
      <c r="CU12" s="447"/>
      <c r="CV12" s="447"/>
      <c r="CW12" s="447"/>
      <c r="CX12" s="447"/>
      <c r="CY12" s="447"/>
      <c r="CZ12" s="447"/>
      <c r="DA12" s="447"/>
      <c r="DB12" s="447"/>
      <c r="DC12" s="447"/>
      <c r="DD12" s="447"/>
      <c r="DE12" s="447"/>
      <c r="DF12" s="447"/>
      <c r="DG12" s="447"/>
      <c r="DH12" s="447"/>
      <c r="DI12" s="447"/>
      <c r="DJ12" s="447"/>
      <c r="DK12" s="447"/>
      <c r="DL12" s="447"/>
      <c r="DM12" s="447"/>
      <c r="DN12" s="447"/>
      <c r="DO12" s="447"/>
      <c r="DP12" s="447"/>
      <c r="DQ12" s="447"/>
      <c r="DR12" s="447"/>
      <c r="DS12" s="447"/>
      <c r="DT12" s="447"/>
      <c r="DU12" s="447"/>
      <c r="DV12" s="447"/>
      <c r="DW12" s="447"/>
      <c r="DX12" s="447"/>
      <c r="DY12" s="447"/>
      <c r="DZ12" s="447"/>
      <c r="EA12" s="447"/>
      <c r="EB12" s="447"/>
      <c r="EC12" s="447"/>
      <c r="ED12" s="447"/>
      <c r="EE12" s="447"/>
      <c r="EF12" s="447"/>
      <c r="EG12" s="447"/>
      <c r="EH12" s="447"/>
      <c r="EI12" s="447"/>
      <c r="EJ12" s="447"/>
      <c r="EK12" s="447"/>
      <c r="EL12" s="447"/>
      <c r="EM12" s="447"/>
      <c r="EN12" s="447"/>
      <c r="EO12" s="447"/>
      <c r="EP12" s="447"/>
      <c r="EQ12" s="447"/>
      <c r="ER12" s="447"/>
      <c r="ES12" s="447"/>
      <c r="ET12" s="447"/>
      <c r="EU12" s="447"/>
      <c r="EV12" s="447"/>
      <c r="EW12" s="447"/>
      <c r="EX12" s="447"/>
      <c r="EY12" s="447"/>
      <c r="EZ12" s="447"/>
      <c r="FA12" s="447"/>
      <c r="FB12" s="447"/>
      <c r="FC12" s="447"/>
      <c r="FD12" s="447"/>
      <c r="FE12" s="447"/>
      <c r="FF12" s="447"/>
      <c r="FG12" s="447"/>
      <c r="FH12" s="447"/>
      <c r="FI12" s="447"/>
      <c r="FJ12" s="447"/>
      <c r="FK12" s="447"/>
      <c r="FL12" s="447"/>
      <c r="FM12" s="447"/>
      <c r="FN12" s="447"/>
      <c r="FO12" s="447"/>
      <c r="FP12" s="447"/>
      <c r="FQ12" s="447"/>
      <c r="FR12" s="447"/>
      <c r="FS12" s="447"/>
      <c r="FT12" s="447"/>
      <c r="FU12" s="447"/>
      <c r="FV12" s="447"/>
      <c r="FW12" s="447"/>
      <c r="FX12" s="447"/>
      <c r="FY12" s="447"/>
      <c r="FZ12" s="447"/>
      <c r="GA12" s="447"/>
      <c r="GB12" s="447"/>
      <c r="GC12" s="447"/>
      <c r="GD12" s="447"/>
      <c r="GE12" s="447"/>
      <c r="GF12" s="447"/>
      <c r="GG12" s="447"/>
      <c r="GH12" s="447"/>
      <c r="GI12" s="447"/>
      <c r="GJ12" s="447"/>
      <c r="GK12" s="447"/>
      <c r="GL12" s="447"/>
      <c r="GM12" s="447"/>
      <c r="GN12" s="447"/>
      <c r="GO12" s="447"/>
      <c r="GP12" s="447"/>
      <c r="GQ12" s="447"/>
      <c r="GR12" s="447"/>
      <c r="GS12" s="447"/>
      <c r="GT12" s="447"/>
      <c r="GU12" s="447"/>
      <c r="GV12" s="447"/>
      <c r="GW12" s="447"/>
      <c r="GX12" s="447"/>
      <c r="GY12" s="447"/>
      <c r="GZ12" s="447"/>
      <c r="HA12" s="447"/>
      <c r="HB12" s="447"/>
      <c r="HC12" s="447"/>
      <c r="HD12" s="447"/>
      <c r="HE12" s="447"/>
      <c r="HF12" s="447"/>
      <c r="HG12" s="447"/>
      <c r="HH12" s="447"/>
      <c r="HI12" s="447"/>
      <c r="HJ12" s="447"/>
      <c r="HK12" s="447"/>
      <c r="HL12" s="447"/>
      <c r="HM12" s="447"/>
      <c r="HN12" s="447"/>
      <c r="HO12" s="447"/>
      <c r="HP12" s="447"/>
      <c r="HQ12" s="447"/>
      <c r="HR12" s="447"/>
      <c r="HS12" s="447"/>
      <c r="HT12" s="447"/>
      <c r="HU12" s="447"/>
      <c r="HV12" s="447"/>
      <c r="HW12" s="447"/>
      <c r="HX12" s="447"/>
      <c r="HY12" s="447"/>
      <c r="HZ12" s="447"/>
      <c r="IA12" s="447"/>
      <c r="IB12" s="447"/>
      <c r="IC12" s="447"/>
      <c r="ID12" s="447"/>
      <c r="IE12" s="447"/>
      <c r="IF12" s="447"/>
      <c r="IG12" s="447"/>
      <c r="IH12" s="447"/>
      <c r="II12" s="447"/>
      <c r="IJ12" s="447"/>
      <c r="IK12" s="447"/>
      <c r="IL12" s="447"/>
      <c r="IM12" s="447"/>
      <c r="IN12" s="447"/>
      <c r="IO12" s="447"/>
      <c r="IP12" s="447"/>
      <c r="IQ12" s="447"/>
      <c r="IR12" s="447"/>
    </row>
    <row r="13" spans="1:252" ht="19.899999999999999" customHeight="1">
      <c r="A13" s="561">
        <v>1</v>
      </c>
      <c r="B13" s="562" t="s">
        <v>1412</v>
      </c>
      <c r="C13" s="563" t="s">
        <v>494</v>
      </c>
      <c r="D13" s="564">
        <v>2</v>
      </c>
      <c r="E13" s="564">
        <v>2</v>
      </c>
      <c r="F13" s="569">
        <f>E13-D13</f>
        <v>0</v>
      </c>
      <c r="G13" s="446"/>
      <c r="H13" s="447"/>
      <c r="I13" s="447"/>
      <c r="J13" s="449"/>
      <c r="K13" s="447"/>
      <c r="L13" s="447"/>
      <c r="M13" s="447"/>
      <c r="N13" s="447"/>
      <c r="O13" s="447"/>
      <c r="P13" s="447"/>
      <c r="Q13" s="447"/>
      <c r="R13" s="447"/>
      <c r="S13" s="447"/>
      <c r="T13" s="447"/>
      <c r="U13" s="447"/>
      <c r="V13" s="447"/>
      <c r="W13" s="447"/>
      <c r="X13" s="447"/>
      <c r="Y13" s="447"/>
      <c r="Z13" s="447"/>
      <c r="AA13" s="447"/>
      <c r="AB13" s="447"/>
      <c r="AC13" s="447"/>
      <c r="AD13" s="447"/>
      <c r="AE13" s="447"/>
      <c r="AF13" s="447"/>
      <c r="AG13" s="447"/>
      <c r="AH13" s="447"/>
      <c r="AI13" s="447"/>
      <c r="AJ13" s="447"/>
      <c r="AK13" s="447"/>
      <c r="AL13" s="447"/>
      <c r="AM13" s="447"/>
      <c r="AN13" s="447"/>
      <c r="AO13" s="447"/>
      <c r="AP13" s="447"/>
      <c r="AQ13" s="447"/>
      <c r="AR13" s="447"/>
      <c r="AS13" s="447"/>
      <c r="AT13" s="447"/>
      <c r="AU13" s="447"/>
      <c r="AV13" s="447"/>
      <c r="AW13" s="447"/>
      <c r="AX13" s="447"/>
      <c r="AY13" s="447"/>
      <c r="AZ13" s="447"/>
      <c r="BA13" s="447"/>
      <c r="BB13" s="447"/>
      <c r="BC13" s="447"/>
      <c r="BD13" s="447"/>
      <c r="BE13" s="447"/>
      <c r="BF13" s="447"/>
      <c r="BG13" s="447"/>
      <c r="BH13" s="447"/>
      <c r="BI13" s="447"/>
      <c r="BJ13" s="447"/>
      <c r="BK13" s="447"/>
      <c r="BL13" s="447"/>
      <c r="BM13" s="447"/>
      <c r="BN13" s="447"/>
      <c r="BO13" s="447"/>
      <c r="BP13" s="447"/>
      <c r="BQ13" s="447"/>
      <c r="BR13" s="447"/>
      <c r="BS13" s="447"/>
      <c r="BT13" s="447"/>
      <c r="BU13" s="447"/>
      <c r="BV13" s="447"/>
      <c r="BW13" s="447"/>
      <c r="BX13" s="447"/>
      <c r="BY13" s="447"/>
      <c r="BZ13" s="447"/>
      <c r="CA13" s="447"/>
      <c r="CB13" s="447"/>
      <c r="CC13" s="447"/>
      <c r="CD13" s="447"/>
      <c r="CE13" s="447"/>
      <c r="CF13" s="447"/>
      <c r="CG13" s="447"/>
      <c r="CH13" s="447"/>
      <c r="CI13" s="447"/>
      <c r="CJ13" s="447"/>
      <c r="CK13" s="447"/>
      <c r="CL13" s="447"/>
      <c r="CM13" s="447"/>
      <c r="CN13" s="447"/>
      <c r="CO13" s="447"/>
      <c r="CP13" s="447"/>
      <c r="CQ13" s="447"/>
      <c r="CR13" s="447"/>
      <c r="CS13" s="447"/>
      <c r="CT13" s="447"/>
      <c r="CU13" s="447"/>
      <c r="CV13" s="447"/>
      <c r="CW13" s="447"/>
      <c r="CX13" s="447"/>
      <c r="CY13" s="447"/>
      <c r="CZ13" s="447"/>
      <c r="DA13" s="447"/>
      <c r="DB13" s="447"/>
      <c r="DC13" s="447"/>
      <c r="DD13" s="447"/>
      <c r="DE13" s="447"/>
      <c r="DF13" s="447"/>
      <c r="DG13" s="447"/>
      <c r="DH13" s="447"/>
      <c r="DI13" s="447"/>
      <c r="DJ13" s="447"/>
      <c r="DK13" s="447"/>
      <c r="DL13" s="447"/>
      <c r="DM13" s="447"/>
      <c r="DN13" s="447"/>
      <c r="DO13" s="447"/>
      <c r="DP13" s="447"/>
      <c r="DQ13" s="447"/>
      <c r="DR13" s="447"/>
      <c r="DS13" s="447"/>
      <c r="DT13" s="447"/>
      <c r="DU13" s="447"/>
      <c r="DV13" s="447"/>
      <c r="DW13" s="447"/>
      <c r="DX13" s="447"/>
      <c r="DY13" s="447"/>
      <c r="DZ13" s="447"/>
      <c r="EA13" s="447"/>
      <c r="EB13" s="447"/>
      <c r="EC13" s="447"/>
      <c r="ED13" s="447"/>
      <c r="EE13" s="447"/>
      <c r="EF13" s="447"/>
      <c r="EG13" s="447"/>
      <c r="EH13" s="447"/>
      <c r="EI13" s="447"/>
      <c r="EJ13" s="447"/>
      <c r="EK13" s="447"/>
      <c r="EL13" s="447"/>
      <c r="EM13" s="447"/>
      <c r="EN13" s="447"/>
      <c r="EO13" s="447"/>
      <c r="EP13" s="447"/>
      <c r="EQ13" s="447"/>
      <c r="ER13" s="447"/>
      <c r="ES13" s="447"/>
      <c r="ET13" s="447"/>
      <c r="EU13" s="447"/>
      <c r="EV13" s="447"/>
      <c r="EW13" s="447"/>
      <c r="EX13" s="447"/>
      <c r="EY13" s="447"/>
      <c r="EZ13" s="447"/>
      <c r="FA13" s="447"/>
      <c r="FB13" s="447"/>
      <c r="FC13" s="447"/>
      <c r="FD13" s="447"/>
      <c r="FE13" s="447"/>
      <c r="FF13" s="447"/>
      <c r="FG13" s="447"/>
      <c r="FH13" s="447"/>
      <c r="FI13" s="447"/>
      <c r="FJ13" s="447"/>
      <c r="FK13" s="447"/>
      <c r="FL13" s="447"/>
      <c r="FM13" s="447"/>
      <c r="FN13" s="447"/>
      <c r="FO13" s="447"/>
      <c r="FP13" s="447"/>
      <c r="FQ13" s="447"/>
      <c r="FR13" s="447"/>
      <c r="FS13" s="447"/>
      <c r="FT13" s="447"/>
      <c r="FU13" s="447"/>
      <c r="FV13" s="447"/>
      <c r="FW13" s="447"/>
      <c r="FX13" s="447"/>
      <c r="FY13" s="447"/>
      <c r="FZ13" s="447"/>
      <c r="GA13" s="447"/>
      <c r="GB13" s="447"/>
      <c r="GC13" s="447"/>
      <c r="GD13" s="447"/>
      <c r="GE13" s="447"/>
      <c r="GF13" s="447"/>
      <c r="GG13" s="447"/>
      <c r="GH13" s="447"/>
      <c r="GI13" s="447"/>
      <c r="GJ13" s="447"/>
      <c r="GK13" s="447"/>
      <c r="GL13" s="447"/>
      <c r="GM13" s="447"/>
      <c r="GN13" s="447"/>
      <c r="GO13" s="447"/>
      <c r="GP13" s="447"/>
      <c r="GQ13" s="447"/>
      <c r="GR13" s="447"/>
      <c r="GS13" s="447"/>
      <c r="GT13" s="447"/>
      <c r="GU13" s="447"/>
      <c r="GV13" s="447"/>
      <c r="GW13" s="447"/>
      <c r="GX13" s="447"/>
      <c r="GY13" s="447"/>
      <c r="GZ13" s="447"/>
      <c r="HA13" s="447"/>
      <c r="HB13" s="447"/>
      <c r="HC13" s="447"/>
      <c r="HD13" s="447"/>
      <c r="HE13" s="447"/>
      <c r="HF13" s="447"/>
      <c r="HG13" s="447"/>
      <c r="HH13" s="447"/>
      <c r="HI13" s="447"/>
      <c r="HJ13" s="447"/>
      <c r="HK13" s="447"/>
      <c r="HL13" s="447"/>
      <c r="HM13" s="447"/>
      <c r="HN13" s="447"/>
      <c r="HO13" s="447"/>
      <c r="HP13" s="447"/>
      <c r="HQ13" s="447"/>
      <c r="HR13" s="447"/>
      <c r="HS13" s="447"/>
      <c r="HT13" s="447"/>
      <c r="HU13" s="447"/>
      <c r="HV13" s="447"/>
      <c r="HW13" s="447"/>
      <c r="HX13" s="447"/>
      <c r="HY13" s="447"/>
      <c r="HZ13" s="447"/>
      <c r="IA13" s="447"/>
      <c r="IB13" s="447"/>
      <c r="IC13" s="447"/>
      <c r="ID13" s="447"/>
      <c r="IE13" s="447"/>
      <c r="IF13" s="447"/>
      <c r="IG13" s="447"/>
      <c r="IH13" s="447"/>
      <c r="II13" s="447"/>
      <c r="IJ13" s="447"/>
      <c r="IK13" s="447"/>
      <c r="IL13" s="447"/>
      <c r="IM13" s="447"/>
      <c r="IN13" s="447"/>
      <c r="IO13" s="447"/>
      <c r="IP13" s="447"/>
      <c r="IQ13" s="447"/>
      <c r="IR13" s="447"/>
    </row>
    <row r="14" spans="1:252" ht="19.899999999999999" customHeight="1">
      <c r="A14" s="561">
        <v>2</v>
      </c>
      <c r="B14" s="562" t="s">
        <v>1410</v>
      </c>
      <c r="C14" s="563" t="s">
        <v>109</v>
      </c>
      <c r="D14" s="564">
        <v>60.29</v>
      </c>
      <c r="E14" s="564">
        <v>60.29</v>
      </c>
      <c r="F14" s="573">
        <f t="shared" ref="F14:F77" si="0">E14-D14</f>
        <v>0</v>
      </c>
      <c r="G14" s="446"/>
      <c r="H14" s="447"/>
      <c r="I14" s="447"/>
      <c r="J14" s="449"/>
      <c r="K14" s="447"/>
      <c r="L14" s="447"/>
      <c r="M14" s="447"/>
      <c r="N14" s="447"/>
      <c r="O14" s="447"/>
      <c r="P14" s="447"/>
      <c r="Q14" s="447"/>
      <c r="R14" s="447"/>
      <c r="S14" s="447"/>
      <c r="T14" s="447"/>
      <c r="U14" s="447"/>
      <c r="V14" s="447"/>
      <c r="W14" s="447"/>
      <c r="X14" s="447"/>
      <c r="Y14" s="447"/>
      <c r="Z14" s="447"/>
      <c r="AA14" s="447"/>
      <c r="AB14" s="447"/>
      <c r="AC14" s="447"/>
      <c r="AD14" s="447"/>
      <c r="AE14" s="447"/>
      <c r="AF14" s="447"/>
      <c r="AG14" s="447"/>
      <c r="AH14" s="447"/>
      <c r="AI14" s="447"/>
      <c r="AJ14" s="447"/>
      <c r="AK14" s="447"/>
      <c r="AL14" s="447"/>
      <c r="AM14" s="447"/>
      <c r="AN14" s="447"/>
      <c r="AO14" s="447"/>
      <c r="AP14" s="447"/>
      <c r="AQ14" s="447"/>
      <c r="AR14" s="447"/>
      <c r="AS14" s="447"/>
      <c r="AT14" s="447"/>
      <c r="AU14" s="447"/>
      <c r="AV14" s="447"/>
      <c r="AW14" s="447"/>
      <c r="AX14" s="447"/>
      <c r="AY14" s="447"/>
      <c r="AZ14" s="447"/>
      <c r="BA14" s="447"/>
      <c r="BB14" s="447"/>
      <c r="BC14" s="447"/>
      <c r="BD14" s="447"/>
      <c r="BE14" s="447"/>
      <c r="BF14" s="447"/>
      <c r="BG14" s="447"/>
      <c r="BH14" s="447"/>
      <c r="BI14" s="447"/>
      <c r="BJ14" s="447"/>
      <c r="BK14" s="447"/>
      <c r="BL14" s="447"/>
      <c r="BM14" s="447"/>
      <c r="BN14" s="447"/>
      <c r="BO14" s="447"/>
      <c r="BP14" s="447"/>
      <c r="BQ14" s="447"/>
      <c r="BR14" s="447"/>
      <c r="BS14" s="447"/>
      <c r="BT14" s="447"/>
      <c r="BU14" s="447"/>
      <c r="BV14" s="447"/>
      <c r="BW14" s="447"/>
      <c r="BX14" s="447"/>
      <c r="BY14" s="447"/>
      <c r="BZ14" s="447"/>
      <c r="CA14" s="447"/>
      <c r="CB14" s="447"/>
      <c r="CC14" s="447"/>
      <c r="CD14" s="447"/>
      <c r="CE14" s="447"/>
      <c r="CF14" s="447"/>
      <c r="CG14" s="447"/>
      <c r="CH14" s="447"/>
      <c r="CI14" s="447"/>
      <c r="CJ14" s="447"/>
      <c r="CK14" s="447"/>
      <c r="CL14" s="447"/>
      <c r="CM14" s="447"/>
      <c r="CN14" s="447"/>
      <c r="CO14" s="447"/>
      <c r="CP14" s="447"/>
      <c r="CQ14" s="447"/>
      <c r="CR14" s="447"/>
      <c r="CS14" s="447"/>
      <c r="CT14" s="447"/>
      <c r="CU14" s="447"/>
      <c r="CV14" s="447"/>
      <c r="CW14" s="447"/>
      <c r="CX14" s="447"/>
      <c r="CY14" s="447"/>
      <c r="CZ14" s="447"/>
      <c r="DA14" s="447"/>
      <c r="DB14" s="447"/>
      <c r="DC14" s="447"/>
      <c r="DD14" s="447"/>
      <c r="DE14" s="447"/>
      <c r="DF14" s="447"/>
      <c r="DG14" s="447"/>
      <c r="DH14" s="447"/>
      <c r="DI14" s="447"/>
      <c r="DJ14" s="447"/>
      <c r="DK14" s="447"/>
      <c r="DL14" s="447"/>
      <c r="DM14" s="447"/>
      <c r="DN14" s="447"/>
      <c r="DO14" s="447"/>
      <c r="DP14" s="447"/>
      <c r="DQ14" s="447"/>
      <c r="DR14" s="447"/>
      <c r="DS14" s="447"/>
      <c r="DT14" s="447"/>
      <c r="DU14" s="447"/>
      <c r="DV14" s="447"/>
      <c r="DW14" s="447"/>
      <c r="DX14" s="447"/>
      <c r="DY14" s="447"/>
      <c r="DZ14" s="447"/>
      <c r="EA14" s="447"/>
      <c r="EB14" s="447"/>
      <c r="EC14" s="447"/>
      <c r="ED14" s="447"/>
      <c r="EE14" s="447"/>
      <c r="EF14" s="447"/>
      <c r="EG14" s="447"/>
      <c r="EH14" s="447"/>
      <c r="EI14" s="447"/>
      <c r="EJ14" s="447"/>
      <c r="EK14" s="447"/>
      <c r="EL14" s="447"/>
      <c r="EM14" s="447"/>
      <c r="EN14" s="447"/>
      <c r="EO14" s="447"/>
      <c r="EP14" s="447"/>
      <c r="EQ14" s="447"/>
      <c r="ER14" s="447"/>
      <c r="ES14" s="447"/>
      <c r="ET14" s="447"/>
      <c r="EU14" s="447"/>
      <c r="EV14" s="447"/>
      <c r="EW14" s="447"/>
      <c r="EX14" s="447"/>
      <c r="EY14" s="447"/>
      <c r="EZ14" s="447"/>
      <c r="FA14" s="447"/>
      <c r="FB14" s="447"/>
      <c r="FC14" s="447"/>
      <c r="FD14" s="447"/>
      <c r="FE14" s="447"/>
      <c r="FF14" s="447"/>
      <c r="FG14" s="447"/>
      <c r="FH14" s="447"/>
      <c r="FI14" s="447"/>
      <c r="FJ14" s="447"/>
      <c r="FK14" s="447"/>
      <c r="FL14" s="447"/>
      <c r="FM14" s="447"/>
      <c r="FN14" s="447"/>
      <c r="FO14" s="447"/>
      <c r="FP14" s="447"/>
      <c r="FQ14" s="447"/>
      <c r="FR14" s="447"/>
      <c r="FS14" s="447"/>
      <c r="FT14" s="447"/>
      <c r="FU14" s="447"/>
      <c r="FV14" s="447"/>
      <c r="FW14" s="447"/>
      <c r="FX14" s="447"/>
      <c r="FY14" s="447"/>
      <c r="FZ14" s="447"/>
      <c r="GA14" s="447"/>
      <c r="GB14" s="447"/>
      <c r="GC14" s="447"/>
      <c r="GD14" s="447"/>
      <c r="GE14" s="447"/>
      <c r="GF14" s="447"/>
      <c r="GG14" s="447"/>
      <c r="GH14" s="447"/>
      <c r="GI14" s="447"/>
      <c r="GJ14" s="447"/>
      <c r="GK14" s="447"/>
      <c r="GL14" s="447"/>
      <c r="GM14" s="447"/>
      <c r="GN14" s="447"/>
      <c r="GO14" s="447"/>
      <c r="GP14" s="447"/>
      <c r="GQ14" s="447"/>
      <c r="GR14" s="447"/>
      <c r="GS14" s="447"/>
      <c r="GT14" s="447"/>
      <c r="GU14" s="447"/>
      <c r="GV14" s="447"/>
      <c r="GW14" s="447"/>
      <c r="GX14" s="447"/>
      <c r="GY14" s="447"/>
      <c r="GZ14" s="447"/>
      <c r="HA14" s="447"/>
      <c r="HB14" s="447"/>
      <c r="HC14" s="447"/>
      <c r="HD14" s="447"/>
      <c r="HE14" s="447"/>
      <c r="HF14" s="447"/>
      <c r="HG14" s="447"/>
      <c r="HH14" s="447"/>
      <c r="HI14" s="447"/>
      <c r="HJ14" s="447"/>
      <c r="HK14" s="447"/>
      <c r="HL14" s="447"/>
      <c r="HM14" s="447"/>
      <c r="HN14" s="447"/>
      <c r="HO14" s="447"/>
      <c r="HP14" s="447"/>
      <c r="HQ14" s="447"/>
      <c r="HR14" s="447"/>
      <c r="HS14" s="447"/>
      <c r="HT14" s="447"/>
      <c r="HU14" s="447"/>
      <c r="HV14" s="447"/>
      <c r="HW14" s="447"/>
      <c r="HX14" s="447"/>
      <c r="HY14" s="447"/>
      <c r="HZ14" s="447"/>
      <c r="IA14" s="447"/>
      <c r="IB14" s="447"/>
      <c r="IC14" s="447"/>
      <c r="ID14" s="447"/>
      <c r="IE14" s="447"/>
      <c r="IF14" s="447"/>
      <c r="IG14" s="447"/>
      <c r="IH14" s="447"/>
      <c r="II14" s="447"/>
      <c r="IJ14" s="447"/>
      <c r="IK14" s="447"/>
      <c r="IL14" s="447"/>
      <c r="IM14" s="447"/>
      <c r="IN14" s="447"/>
      <c r="IO14" s="447"/>
      <c r="IP14" s="447"/>
      <c r="IQ14" s="447"/>
      <c r="IR14" s="447"/>
    </row>
    <row r="15" spans="1:252" ht="19.899999999999999" customHeight="1">
      <c r="A15" s="561">
        <v>3</v>
      </c>
      <c r="B15" s="562" t="s">
        <v>1413</v>
      </c>
      <c r="C15" s="563" t="s">
        <v>116</v>
      </c>
      <c r="D15" s="564">
        <v>101.9</v>
      </c>
      <c r="E15" s="564">
        <v>94.800000000000011</v>
      </c>
      <c r="F15" s="572">
        <f t="shared" si="0"/>
        <v>-7.0999999999999943</v>
      </c>
      <c r="G15" s="446"/>
      <c r="H15" s="447"/>
      <c r="I15" s="447"/>
      <c r="J15" s="449"/>
      <c r="K15" s="447"/>
      <c r="L15" s="447"/>
      <c r="M15" s="447"/>
      <c r="N15" s="447"/>
      <c r="O15" s="447"/>
      <c r="P15" s="447"/>
      <c r="Q15" s="447"/>
      <c r="R15" s="447"/>
      <c r="S15" s="447"/>
      <c r="T15" s="447"/>
      <c r="U15" s="447"/>
      <c r="V15" s="447"/>
      <c r="W15" s="447"/>
      <c r="X15" s="447"/>
      <c r="Y15" s="447"/>
      <c r="Z15" s="447"/>
      <c r="AA15" s="447"/>
      <c r="AB15" s="447"/>
      <c r="AC15" s="447"/>
      <c r="AD15" s="447"/>
      <c r="AE15" s="447"/>
      <c r="AF15" s="447"/>
      <c r="AG15" s="447"/>
      <c r="AH15" s="447"/>
      <c r="AI15" s="447"/>
      <c r="AJ15" s="447"/>
      <c r="AK15" s="447"/>
      <c r="AL15" s="447"/>
      <c r="AM15" s="447"/>
      <c r="AN15" s="447"/>
      <c r="AO15" s="447"/>
      <c r="AP15" s="447"/>
      <c r="AQ15" s="447"/>
      <c r="AR15" s="447"/>
      <c r="AS15" s="447"/>
      <c r="AT15" s="447"/>
      <c r="AU15" s="447"/>
      <c r="AV15" s="447"/>
      <c r="AW15" s="447"/>
      <c r="AX15" s="447"/>
      <c r="AY15" s="447"/>
      <c r="AZ15" s="447"/>
      <c r="BA15" s="447"/>
      <c r="BB15" s="447"/>
      <c r="BC15" s="447"/>
      <c r="BD15" s="447"/>
      <c r="BE15" s="447"/>
      <c r="BF15" s="447"/>
      <c r="BG15" s="447"/>
      <c r="BH15" s="447"/>
      <c r="BI15" s="447"/>
      <c r="BJ15" s="447"/>
      <c r="BK15" s="447"/>
      <c r="BL15" s="447"/>
      <c r="BM15" s="447"/>
      <c r="BN15" s="447"/>
      <c r="BO15" s="447"/>
      <c r="BP15" s="447"/>
      <c r="BQ15" s="447"/>
      <c r="BR15" s="447"/>
      <c r="BS15" s="447"/>
      <c r="BT15" s="447"/>
      <c r="BU15" s="447"/>
      <c r="BV15" s="447"/>
      <c r="BW15" s="447"/>
      <c r="BX15" s="447"/>
      <c r="BY15" s="447"/>
      <c r="BZ15" s="447"/>
      <c r="CA15" s="447"/>
      <c r="CB15" s="447"/>
      <c r="CC15" s="447"/>
      <c r="CD15" s="447"/>
      <c r="CE15" s="447"/>
      <c r="CF15" s="447"/>
      <c r="CG15" s="447"/>
      <c r="CH15" s="447"/>
      <c r="CI15" s="447"/>
      <c r="CJ15" s="447"/>
      <c r="CK15" s="447"/>
      <c r="CL15" s="447"/>
      <c r="CM15" s="447"/>
      <c r="CN15" s="447"/>
      <c r="CO15" s="447"/>
      <c r="CP15" s="447"/>
      <c r="CQ15" s="447"/>
      <c r="CR15" s="447"/>
      <c r="CS15" s="447"/>
      <c r="CT15" s="447"/>
      <c r="CU15" s="447"/>
      <c r="CV15" s="447"/>
      <c r="CW15" s="447"/>
      <c r="CX15" s="447"/>
      <c r="CY15" s="447"/>
      <c r="CZ15" s="447"/>
      <c r="DA15" s="447"/>
      <c r="DB15" s="447"/>
      <c r="DC15" s="447"/>
      <c r="DD15" s="447"/>
      <c r="DE15" s="447"/>
      <c r="DF15" s="447"/>
      <c r="DG15" s="447"/>
      <c r="DH15" s="447"/>
      <c r="DI15" s="447"/>
      <c r="DJ15" s="447"/>
      <c r="DK15" s="447"/>
      <c r="DL15" s="447"/>
      <c r="DM15" s="447"/>
      <c r="DN15" s="447"/>
      <c r="DO15" s="447"/>
      <c r="DP15" s="447"/>
      <c r="DQ15" s="447"/>
      <c r="DR15" s="447"/>
      <c r="DS15" s="447"/>
      <c r="DT15" s="447"/>
      <c r="DU15" s="447"/>
      <c r="DV15" s="447"/>
      <c r="DW15" s="447"/>
      <c r="DX15" s="447"/>
      <c r="DY15" s="447"/>
      <c r="DZ15" s="447"/>
      <c r="EA15" s="447"/>
      <c r="EB15" s="447"/>
      <c r="EC15" s="447"/>
      <c r="ED15" s="447"/>
      <c r="EE15" s="447"/>
      <c r="EF15" s="447"/>
      <c r="EG15" s="447"/>
      <c r="EH15" s="447"/>
      <c r="EI15" s="447"/>
      <c r="EJ15" s="447"/>
      <c r="EK15" s="447"/>
      <c r="EL15" s="447"/>
      <c r="EM15" s="447"/>
      <c r="EN15" s="447"/>
      <c r="EO15" s="447"/>
      <c r="EP15" s="447"/>
      <c r="EQ15" s="447"/>
      <c r="ER15" s="447"/>
      <c r="ES15" s="447"/>
      <c r="ET15" s="447"/>
      <c r="EU15" s="447"/>
      <c r="EV15" s="447"/>
      <c r="EW15" s="447"/>
      <c r="EX15" s="447"/>
      <c r="EY15" s="447"/>
      <c r="EZ15" s="447"/>
      <c r="FA15" s="447"/>
      <c r="FB15" s="447"/>
      <c r="FC15" s="447"/>
      <c r="FD15" s="447"/>
      <c r="FE15" s="447"/>
      <c r="FF15" s="447"/>
      <c r="FG15" s="447"/>
      <c r="FH15" s="447"/>
      <c r="FI15" s="447"/>
      <c r="FJ15" s="447"/>
      <c r="FK15" s="447"/>
      <c r="FL15" s="447"/>
      <c r="FM15" s="447"/>
      <c r="FN15" s="447"/>
      <c r="FO15" s="447"/>
      <c r="FP15" s="447"/>
      <c r="FQ15" s="447"/>
      <c r="FR15" s="447"/>
      <c r="FS15" s="447"/>
      <c r="FT15" s="447"/>
      <c r="FU15" s="447"/>
      <c r="FV15" s="447"/>
      <c r="FW15" s="447"/>
      <c r="FX15" s="447"/>
      <c r="FY15" s="447"/>
      <c r="FZ15" s="447"/>
      <c r="GA15" s="447"/>
      <c r="GB15" s="447"/>
      <c r="GC15" s="447"/>
      <c r="GD15" s="447"/>
      <c r="GE15" s="447"/>
      <c r="GF15" s="447"/>
      <c r="GG15" s="447"/>
      <c r="GH15" s="447"/>
      <c r="GI15" s="447"/>
      <c r="GJ15" s="447"/>
      <c r="GK15" s="447"/>
      <c r="GL15" s="447"/>
      <c r="GM15" s="447"/>
      <c r="GN15" s="447"/>
      <c r="GO15" s="447"/>
      <c r="GP15" s="447"/>
      <c r="GQ15" s="447"/>
      <c r="GR15" s="447"/>
      <c r="GS15" s="447"/>
      <c r="GT15" s="447"/>
      <c r="GU15" s="447"/>
      <c r="GV15" s="447"/>
      <c r="GW15" s="447"/>
      <c r="GX15" s="447"/>
      <c r="GY15" s="447"/>
      <c r="GZ15" s="447"/>
      <c r="HA15" s="447"/>
      <c r="HB15" s="447"/>
      <c r="HC15" s="447"/>
      <c r="HD15" s="447"/>
      <c r="HE15" s="447"/>
      <c r="HF15" s="447"/>
      <c r="HG15" s="447"/>
      <c r="HH15" s="447"/>
      <c r="HI15" s="447"/>
      <c r="HJ15" s="447"/>
      <c r="HK15" s="447"/>
      <c r="HL15" s="447"/>
      <c r="HM15" s="447"/>
      <c r="HN15" s="447"/>
      <c r="HO15" s="447"/>
      <c r="HP15" s="447"/>
      <c r="HQ15" s="447"/>
      <c r="HR15" s="447"/>
      <c r="HS15" s="447"/>
      <c r="HT15" s="447"/>
      <c r="HU15" s="447"/>
      <c r="HV15" s="447"/>
      <c r="HW15" s="447"/>
      <c r="HX15" s="447"/>
      <c r="HY15" s="447"/>
      <c r="HZ15" s="447"/>
      <c r="IA15" s="447"/>
      <c r="IB15" s="447"/>
      <c r="IC15" s="447"/>
      <c r="ID15" s="447"/>
      <c r="IE15" s="447"/>
      <c r="IF15" s="447"/>
      <c r="IG15" s="447"/>
      <c r="IH15" s="447"/>
      <c r="II15" s="447"/>
      <c r="IJ15" s="447"/>
      <c r="IK15" s="447"/>
      <c r="IL15" s="447"/>
      <c r="IM15" s="447"/>
      <c r="IN15" s="447"/>
      <c r="IO15" s="447"/>
      <c r="IP15" s="447"/>
      <c r="IQ15" s="447"/>
      <c r="IR15" s="447"/>
    </row>
    <row r="16" spans="1:252" ht="19.899999999999999" customHeight="1">
      <c r="A16" s="561">
        <v>4</v>
      </c>
      <c r="B16" s="562" t="s">
        <v>1414</v>
      </c>
      <c r="C16" s="563" t="s">
        <v>109</v>
      </c>
      <c r="D16" s="564">
        <v>15.12</v>
      </c>
      <c r="E16" s="564">
        <v>15.12</v>
      </c>
      <c r="F16" s="573">
        <f t="shared" si="0"/>
        <v>0</v>
      </c>
      <c r="G16" s="446"/>
      <c r="H16" s="447"/>
      <c r="I16" s="447"/>
      <c r="J16" s="449"/>
      <c r="K16" s="447"/>
      <c r="L16" s="447"/>
      <c r="M16" s="447"/>
      <c r="N16" s="447"/>
      <c r="O16" s="447"/>
      <c r="P16" s="447"/>
      <c r="Q16" s="447"/>
      <c r="R16" s="447"/>
      <c r="S16" s="447"/>
      <c r="T16" s="447"/>
      <c r="U16" s="447"/>
      <c r="V16" s="447"/>
      <c r="W16" s="447"/>
      <c r="X16" s="447"/>
      <c r="Y16" s="447"/>
      <c r="Z16" s="447"/>
      <c r="AA16" s="447"/>
      <c r="AB16" s="447"/>
      <c r="AC16" s="447"/>
      <c r="AD16" s="447"/>
      <c r="AE16" s="447"/>
      <c r="AF16" s="447"/>
      <c r="AG16" s="447"/>
      <c r="AH16" s="447"/>
      <c r="AI16" s="447"/>
      <c r="AJ16" s="447"/>
      <c r="AK16" s="447"/>
      <c r="AL16" s="447"/>
      <c r="AM16" s="447"/>
      <c r="AN16" s="447"/>
      <c r="AO16" s="447"/>
      <c r="AP16" s="447"/>
      <c r="AQ16" s="447"/>
      <c r="AR16" s="447"/>
      <c r="AS16" s="447"/>
      <c r="AT16" s="447"/>
      <c r="AU16" s="447"/>
      <c r="AV16" s="447"/>
      <c r="AW16" s="447"/>
      <c r="AX16" s="447"/>
      <c r="AY16" s="447"/>
      <c r="AZ16" s="447"/>
      <c r="BA16" s="447"/>
      <c r="BB16" s="447"/>
      <c r="BC16" s="447"/>
      <c r="BD16" s="447"/>
      <c r="BE16" s="447"/>
      <c r="BF16" s="447"/>
      <c r="BG16" s="447"/>
      <c r="BH16" s="447"/>
      <c r="BI16" s="447"/>
      <c r="BJ16" s="447"/>
      <c r="BK16" s="447"/>
      <c r="BL16" s="447"/>
      <c r="BM16" s="447"/>
      <c r="BN16" s="447"/>
      <c r="BO16" s="447"/>
      <c r="BP16" s="447"/>
      <c r="BQ16" s="447"/>
      <c r="BR16" s="447"/>
      <c r="BS16" s="447"/>
      <c r="BT16" s="447"/>
      <c r="BU16" s="447"/>
      <c r="BV16" s="447"/>
      <c r="BW16" s="447"/>
      <c r="BX16" s="447"/>
      <c r="BY16" s="447"/>
      <c r="BZ16" s="447"/>
      <c r="CA16" s="447"/>
      <c r="CB16" s="447"/>
      <c r="CC16" s="447"/>
      <c r="CD16" s="447"/>
      <c r="CE16" s="447"/>
      <c r="CF16" s="447"/>
      <c r="CG16" s="447"/>
      <c r="CH16" s="447"/>
      <c r="CI16" s="447"/>
      <c r="CJ16" s="447"/>
      <c r="CK16" s="447"/>
      <c r="CL16" s="447"/>
      <c r="CM16" s="447"/>
      <c r="CN16" s="447"/>
      <c r="CO16" s="447"/>
      <c r="CP16" s="447"/>
      <c r="CQ16" s="447"/>
      <c r="CR16" s="447"/>
      <c r="CS16" s="447"/>
      <c r="CT16" s="447"/>
      <c r="CU16" s="447"/>
      <c r="CV16" s="447"/>
      <c r="CW16" s="447"/>
      <c r="CX16" s="447"/>
      <c r="CY16" s="447"/>
      <c r="CZ16" s="447"/>
      <c r="DA16" s="447"/>
      <c r="DB16" s="447"/>
      <c r="DC16" s="447"/>
      <c r="DD16" s="447"/>
      <c r="DE16" s="447"/>
      <c r="DF16" s="447"/>
      <c r="DG16" s="447"/>
      <c r="DH16" s="447"/>
      <c r="DI16" s="447"/>
      <c r="DJ16" s="447"/>
      <c r="DK16" s="447"/>
      <c r="DL16" s="447"/>
      <c r="DM16" s="447"/>
      <c r="DN16" s="447"/>
      <c r="DO16" s="447"/>
      <c r="DP16" s="447"/>
      <c r="DQ16" s="447"/>
      <c r="DR16" s="447"/>
      <c r="DS16" s="447"/>
      <c r="DT16" s="447"/>
      <c r="DU16" s="447"/>
      <c r="DV16" s="447"/>
      <c r="DW16" s="447"/>
      <c r="DX16" s="447"/>
      <c r="DY16" s="447"/>
      <c r="DZ16" s="447"/>
      <c r="EA16" s="447"/>
      <c r="EB16" s="447"/>
      <c r="EC16" s="447"/>
      <c r="ED16" s="447"/>
      <c r="EE16" s="447"/>
      <c r="EF16" s="447"/>
      <c r="EG16" s="447"/>
      <c r="EH16" s="447"/>
      <c r="EI16" s="447"/>
      <c r="EJ16" s="447"/>
      <c r="EK16" s="447"/>
      <c r="EL16" s="447"/>
      <c r="EM16" s="447"/>
      <c r="EN16" s="447"/>
      <c r="EO16" s="447"/>
      <c r="EP16" s="447"/>
      <c r="EQ16" s="447"/>
      <c r="ER16" s="447"/>
      <c r="ES16" s="447"/>
      <c r="ET16" s="447"/>
      <c r="EU16" s="447"/>
      <c r="EV16" s="447"/>
      <c r="EW16" s="447"/>
      <c r="EX16" s="447"/>
      <c r="EY16" s="447"/>
      <c r="EZ16" s="447"/>
      <c r="FA16" s="447"/>
      <c r="FB16" s="447"/>
      <c r="FC16" s="447"/>
      <c r="FD16" s="447"/>
      <c r="FE16" s="447"/>
      <c r="FF16" s="447"/>
      <c r="FG16" s="447"/>
      <c r="FH16" s="447"/>
      <c r="FI16" s="447"/>
      <c r="FJ16" s="447"/>
      <c r="FK16" s="447"/>
      <c r="FL16" s="447"/>
      <c r="FM16" s="447"/>
      <c r="FN16" s="447"/>
      <c r="FO16" s="447"/>
      <c r="FP16" s="447"/>
      <c r="FQ16" s="447"/>
      <c r="FR16" s="447"/>
      <c r="FS16" s="447"/>
      <c r="FT16" s="447"/>
      <c r="FU16" s="447"/>
      <c r="FV16" s="447"/>
      <c r="FW16" s="447"/>
      <c r="FX16" s="447"/>
      <c r="FY16" s="447"/>
      <c r="FZ16" s="447"/>
      <c r="GA16" s="447"/>
      <c r="GB16" s="447"/>
      <c r="GC16" s="447"/>
      <c r="GD16" s="447"/>
      <c r="GE16" s="447"/>
      <c r="GF16" s="447"/>
      <c r="GG16" s="447"/>
      <c r="GH16" s="447"/>
      <c r="GI16" s="447"/>
      <c r="GJ16" s="447"/>
      <c r="GK16" s="447"/>
      <c r="GL16" s="447"/>
      <c r="GM16" s="447"/>
      <c r="GN16" s="447"/>
      <c r="GO16" s="447"/>
      <c r="GP16" s="447"/>
      <c r="GQ16" s="447"/>
      <c r="GR16" s="447"/>
      <c r="GS16" s="447"/>
      <c r="GT16" s="447"/>
      <c r="GU16" s="447"/>
      <c r="GV16" s="447"/>
      <c r="GW16" s="447"/>
      <c r="GX16" s="447"/>
      <c r="GY16" s="447"/>
      <c r="GZ16" s="447"/>
      <c r="HA16" s="447"/>
      <c r="HB16" s="447"/>
      <c r="HC16" s="447"/>
      <c r="HD16" s="447"/>
      <c r="HE16" s="447"/>
      <c r="HF16" s="447"/>
      <c r="HG16" s="447"/>
      <c r="HH16" s="447"/>
      <c r="HI16" s="447"/>
      <c r="HJ16" s="447"/>
      <c r="HK16" s="447"/>
      <c r="HL16" s="447"/>
      <c r="HM16" s="447"/>
      <c r="HN16" s="447"/>
      <c r="HO16" s="447"/>
      <c r="HP16" s="447"/>
      <c r="HQ16" s="447"/>
      <c r="HR16" s="447"/>
      <c r="HS16" s="447"/>
      <c r="HT16" s="447"/>
      <c r="HU16" s="447"/>
      <c r="HV16" s="447"/>
      <c r="HW16" s="447"/>
      <c r="HX16" s="447"/>
      <c r="HY16" s="447"/>
      <c r="HZ16" s="447"/>
      <c r="IA16" s="447"/>
      <c r="IB16" s="447"/>
      <c r="IC16" s="447"/>
      <c r="ID16" s="447"/>
      <c r="IE16" s="447"/>
      <c r="IF16" s="447"/>
      <c r="IG16" s="447"/>
      <c r="IH16" s="447"/>
      <c r="II16" s="447"/>
      <c r="IJ16" s="447"/>
      <c r="IK16" s="447"/>
      <c r="IL16" s="447"/>
      <c r="IM16" s="447"/>
      <c r="IN16" s="447"/>
      <c r="IO16" s="447"/>
      <c r="IP16" s="447"/>
      <c r="IQ16" s="447"/>
      <c r="IR16" s="447"/>
    </row>
    <row r="17" spans="1:252" ht="19.899999999999999" customHeight="1">
      <c r="A17" s="561">
        <v>5</v>
      </c>
      <c r="B17" s="562" t="s">
        <v>1415</v>
      </c>
      <c r="C17" s="563" t="s">
        <v>43</v>
      </c>
      <c r="D17" s="564">
        <v>2.4529999999999998</v>
      </c>
      <c r="E17" s="564">
        <v>1.6239999999999999</v>
      </c>
      <c r="F17" s="573">
        <f t="shared" si="0"/>
        <v>-0.82899999999999996</v>
      </c>
      <c r="G17" s="446"/>
      <c r="H17" s="447"/>
      <c r="I17" s="447"/>
      <c r="J17" s="449"/>
      <c r="K17" s="447"/>
      <c r="L17" s="447"/>
      <c r="M17" s="447"/>
      <c r="N17" s="447"/>
      <c r="O17" s="447"/>
      <c r="P17" s="447"/>
      <c r="Q17" s="447"/>
      <c r="R17" s="447"/>
      <c r="S17" s="447"/>
      <c r="T17" s="447"/>
      <c r="U17" s="447"/>
      <c r="V17" s="447"/>
      <c r="W17" s="447"/>
      <c r="X17" s="447"/>
      <c r="Y17" s="447"/>
      <c r="Z17" s="447"/>
      <c r="AA17" s="447"/>
      <c r="AB17" s="447"/>
      <c r="AC17" s="447"/>
      <c r="AD17" s="447"/>
      <c r="AE17" s="447"/>
      <c r="AF17" s="447"/>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447"/>
      <c r="BW17" s="447"/>
      <c r="BX17" s="447"/>
      <c r="BY17" s="447"/>
      <c r="BZ17" s="447"/>
      <c r="CA17" s="447"/>
      <c r="CB17" s="447"/>
      <c r="CC17" s="447"/>
      <c r="CD17" s="447"/>
      <c r="CE17" s="447"/>
      <c r="CF17" s="447"/>
      <c r="CG17" s="447"/>
      <c r="CH17" s="447"/>
      <c r="CI17" s="447"/>
      <c r="CJ17" s="447"/>
      <c r="CK17" s="447"/>
      <c r="CL17" s="447"/>
      <c r="CM17" s="447"/>
      <c r="CN17" s="447"/>
      <c r="CO17" s="447"/>
      <c r="CP17" s="447"/>
      <c r="CQ17" s="447"/>
      <c r="CR17" s="447"/>
      <c r="CS17" s="447"/>
      <c r="CT17" s="447"/>
      <c r="CU17" s="447"/>
      <c r="CV17" s="447"/>
      <c r="CW17" s="447"/>
      <c r="CX17" s="447"/>
      <c r="CY17" s="447"/>
      <c r="CZ17" s="447"/>
      <c r="DA17" s="447"/>
      <c r="DB17" s="447"/>
      <c r="DC17" s="447"/>
      <c r="DD17" s="447"/>
      <c r="DE17" s="447"/>
      <c r="DF17" s="447"/>
      <c r="DG17" s="447"/>
      <c r="DH17" s="447"/>
      <c r="DI17" s="447"/>
      <c r="DJ17" s="447"/>
      <c r="DK17" s="447"/>
      <c r="DL17" s="447"/>
      <c r="DM17" s="447"/>
      <c r="DN17" s="447"/>
      <c r="DO17" s="447"/>
      <c r="DP17" s="447"/>
      <c r="DQ17" s="447"/>
      <c r="DR17" s="447"/>
      <c r="DS17" s="447"/>
      <c r="DT17" s="447"/>
      <c r="DU17" s="447"/>
      <c r="DV17" s="447"/>
      <c r="DW17" s="447"/>
      <c r="DX17" s="447"/>
      <c r="DY17" s="447"/>
      <c r="DZ17" s="447"/>
      <c r="EA17" s="447"/>
      <c r="EB17" s="447"/>
      <c r="EC17" s="447"/>
      <c r="ED17" s="447"/>
      <c r="EE17" s="447"/>
      <c r="EF17" s="447"/>
      <c r="EG17" s="447"/>
      <c r="EH17" s="447"/>
      <c r="EI17" s="447"/>
      <c r="EJ17" s="447"/>
      <c r="EK17" s="447"/>
      <c r="EL17" s="447"/>
      <c r="EM17" s="447"/>
      <c r="EN17" s="447"/>
      <c r="EO17" s="447"/>
      <c r="EP17" s="447"/>
      <c r="EQ17" s="447"/>
      <c r="ER17" s="447"/>
      <c r="ES17" s="447"/>
      <c r="ET17" s="447"/>
      <c r="EU17" s="447"/>
      <c r="EV17" s="447"/>
      <c r="EW17" s="447"/>
      <c r="EX17" s="447"/>
      <c r="EY17" s="447"/>
      <c r="EZ17" s="447"/>
      <c r="FA17" s="447"/>
      <c r="FB17" s="447"/>
      <c r="FC17" s="447"/>
      <c r="FD17" s="447"/>
      <c r="FE17" s="447"/>
      <c r="FF17" s="447"/>
      <c r="FG17" s="447"/>
      <c r="FH17" s="447"/>
      <c r="FI17" s="447"/>
      <c r="FJ17" s="447"/>
      <c r="FK17" s="447"/>
      <c r="FL17" s="447"/>
      <c r="FM17" s="447"/>
      <c r="FN17" s="447"/>
      <c r="FO17" s="447"/>
      <c r="FP17" s="447"/>
      <c r="FQ17" s="447"/>
      <c r="FR17" s="447"/>
      <c r="FS17" s="447"/>
      <c r="FT17" s="447"/>
      <c r="FU17" s="447"/>
      <c r="FV17" s="447"/>
      <c r="FW17" s="447"/>
      <c r="FX17" s="447"/>
      <c r="FY17" s="447"/>
      <c r="FZ17" s="447"/>
      <c r="GA17" s="447"/>
      <c r="GB17" s="447"/>
      <c r="GC17" s="447"/>
      <c r="GD17" s="447"/>
      <c r="GE17" s="447"/>
      <c r="GF17" s="447"/>
      <c r="GG17" s="447"/>
      <c r="GH17" s="447"/>
      <c r="GI17" s="447"/>
      <c r="GJ17" s="447"/>
      <c r="GK17" s="447"/>
      <c r="GL17" s="447"/>
      <c r="GM17" s="447"/>
      <c r="GN17" s="447"/>
      <c r="GO17" s="447"/>
      <c r="GP17" s="447"/>
      <c r="GQ17" s="447"/>
      <c r="GR17" s="447"/>
      <c r="GS17" s="447"/>
      <c r="GT17" s="447"/>
      <c r="GU17" s="447"/>
      <c r="GV17" s="447"/>
      <c r="GW17" s="447"/>
      <c r="GX17" s="447"/>
      <c r="GY17" s="447"/>
      <c r="GZ17" s="447"/>
      <c r="HA17" s="447"/>
      <c r="HB17" s="447"/>
      <c r="HC17" s="447"/>
      <c r="HD17" s="447"/>
      <c r="HE17" s="447"/>
      <c r="HF17" s="447"/>
      <c r="HG17" s="447"/>
      <c r="HH17" s="447"/>
      <c r="HI17" s="447"/>
      <c r="HJ17" s="447"/>
      <c r="HK17" s="447"/>
      <c r="HL17" s="447"/>
      <c r="HM17" s="447"/>
      <c r="HN17" s="447"/>
      <c r="HO17" s="447"/>
      <c r="HP17" s="447"/>
      <c r="HQ17" s="447"/>
      <c r="HR17" s="447"/>
      <c r="HS17" s="447"/>
      <c r="HT17" s="447"/>
      <c r="HU17" s="447"/>
      <c r="HV17" s="447"/>
      <c r="HW17" s="447"/>
      <c r="HX17" s="447"/>
      <c r="HY17" s="447"/>
      <c r="HZ17" s="447"/>
      <c r="IA17" s="447"/>
      <c r="IB17" s="447"/>
      <c r="IC17" s="447"/>
      <c r="ID17" s="447"/>
      <c r="IE17" s="447"/>
      <c r="IF17" s="447"/>
      <c r="IG17" s="447"/>
      <c r="IH17" s="447"/>
      <c r="II17" s="447"/>
      <c r="IJ17" s="447"/>
      <c r="IK17" s="447"/>
      <c r="IL17" s="447"/>
      <c r="IM17" s="447"/>
      <c r="IN17" s="447"/>
      <c r="IO17" s="447"/>
      <c r="IP17" s="447"/>
      <c r="IQ17" s="447"/>
      <c r="IR17" s="447"/>
    </row>
    <row r="18" spans="1:252" ht="19.899999999999999" customHeight="1">
      <c r="A18" s="561">
        <v>6</v>
      </c>
      <c r="B18" s="562" t="s">
        <v>1416</v>
      </c>
      <c r="C18" s="563" t="s">
        <v>43</v>
      </c>
      <c r="D18" s="564">
        <v>1.373</v>
      </c>
      <c r="E18" s="564">
        <v>1.1439999999999999</v>
      </c>
      <c r="F18" s="573">
        <f t="shared" si="0"/>
        <v>-0.22900000000000009</v>
      </c>
      <c r="G18" s="446"/>
      <c r="H18" s="447"/>
      <c r="I18" s="447"/>
      <c r="J18" s="449"/>
      <c r="K18" s="447"/>
      <c r="L18" s="447"/>
      <c r="M18" s="447"/>
      <c r="N18" s="447"/>
      <c r="O18" s="447"/>
      <c r="P18" s="447"/>
      <c r="Q18" s="447"/>
      <c r="R18" s="447"/>
      <c r="S18" s="447"/>
      <c r="T18" s="447"/>
      <c r="U18" s="447"/>
      <c r="V18" s="447"/>
      <c r="W18" s="447"/>
      <c r="X18" s="447"/>
      <c r="Y18" s="447"/>
      <c r="Z18" s="447"/>
      <c r="AA18" s="447"/>
      <c r="AB18" s="447"/>
      <c r="AC18" s="447"/>
      <c r="AD18" s="447"/>
      <c r="AE18" s="447"/>
      <c r="AF18" s="447"/>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447"/>
      <c r="CG18" s="447"/>
      <c r="CH18" s="447"/>
      <c r="CI18" s="447"/>
      <c r="CJ18" s="447"/>
      <c r="CK18" s="447"/>
      <c r="CL18" s="447"/>
      <c r="CM18" s="447"/>
      <c r="CN18" s="447"/>
      <c r="CO18" s="447"/>
      <c r="CP18" s="447"/>
      <c r="CQ18" s="447"/>
      <c r="CR18" s="447"/>
      <c r="CS18" s="447"/>
      <c r="CT18" s="447"/>
      <c r="CU18" s="447"/>
      <c r="CV18" s="447"/>
      <c r="CW18" s="447"/>
      <c r="CX18" s="447"/>
      <c r="CY18" s="447"/>
      <c r="CZ18" s="447"/>
      <c r="DA18" s="447"/>
      <c r="DB18" s="447"/>
      <c r="DC18" s="447"/>
      <c r="DD18" s="447"/>
      <c r="DE18" s="447"/>
      <c r="DF18" s="447"/>
      <c r="DG18" s="447"/>
      <c r="DH18" s="447"/>
      <c r="DI18" s="447"/>
      <c r="DJ18" s="447"/>
      <c r="DK18" s="447"/>
      <c r="DL18" s="447"/>
      <c r="DM18" s="447"/>
      <c r="DN18" s="447"/>
      <c r="DO18" s="447"/>
      <c r="DP18" s="447"/>
      <c r="DQ18" s="447"/>
      <c r="DR18" s="447"/>
      <c r="DS18" s="447"/>
      <c r="DT18" s="447"/>
      <c r="DU18" s="447"/>
      <c r="DV18" s="447"/>
      <c r="DW18" s="447"/>
      <c r="DX18" s="447"/>
      <c r="DY18" s="447"/>
      <c r="DZ18" s="447"/>
      <c r="EA18" s="447"/>
      <c r="EB18" s="447"/>
      <c r="EC18" s="447"/>
      <c r="ED18" s="447"/>
      <c r="EE18" s="447"/>
      <c r="EF18" s="447"/>
      <c r="EG18" s="447"/>
      <c r="EH18" s="447"/>
      <c r="EI18" s="447"/>
      <c r="EJ18" s="447"/>
      <c r="EK18" s="447"/>
      <c r="EL18" s="447"/>
      <c r="EM18" s="447"/>
      <c r="EN18" s="447"/>
      <c r="EO18" s="447"/>
      <c r="EP18" s="447"/>
      <c r="EQ18" s="447"/>
      <c r="ER18" s="447"/>
      <c r="ES18" s="447"/>
      <c r="ET18" s="447"/>
      <c r="EU18" s="447"/>
      <c r="EV18" s="447"/>
      <c r="EW18" s="447"/>
      <c r="EX18" s="447"/>
      <c r="EY18" s="447"/>
      <c r="EZ18" s="447"/>
      <c r="FA18" s="447"/>
      <c r="FB18" s="447"/>
      <c r="FC18" s="447"/>
      <c r="FD18" s="447"/>
      <c r="FE18" s="447"/>
      <c r="FF18" s="447"/>
      <c r="FG18" s="447"/>
      <c r="FH18" s="447"/>
      <c r="FI18" s="447"/>
      <c r="FJ18" s="447"/>
      <c r="FK18" s="447"/>
      <c r="FL18" s="447"/>
      <c r="FM18" s="447"/>
      <c r="FN18" s="447"/>
      <c r="FO18" s="447"/>
      <c r="FP18" s="447"/>
      <c r="FQ18" s="447"/>
      <c r="FR18" s="447"/>
      <c r="FS18" s="447"/>
      <c r="FT18" s="447"/>
      <c r="FU18" s="447"/>
      <c r="FV18" s="447"/>
      <c r="FW18" s="447"/>
      <c r="FX18" s="447"/>
      <c r="FY18" s="447"/>
      <c r="FZ18" s="447"/>
      <c r="GA18" s="447"/>
      <c r="GB18" s="447"/>
      <c r="GC18" s="447"/>
      <c r="GD18" s="447"/>
      <c r="GE18" s="447"/>
      <c r="GF18" s="447"/>
      <c r="GG18" s="447"/>
      <c r="GH18" s="447"/>
      <c r="GI18" s="447"/>
      <c r="GJ18" s="447"/>
      <c r="GK18" s="447"/>
      <c r="GL18" s="447"/>
      <c r="GM18" s="447"/>
      <c r="GN18" s="447"/>
      <c r="GO18" s="447"/>
      <c r="GP18" s="447"/>
      <c r="GQ18" s="447"/>
      <c r="GR18" s="447"/>
      <c r="GS18" s="447"/>
      <c r="GT18" s="447"/>
      <c r="GU18" s="447"/>
      <c r="GV18" s="447"/>
      <c r="GW18" s="447"/>
      <c r="GX18" s="447"/>
      <c r="GY18" s="447"/>
      <c r="GZ18" s="447"/>
      <c r="HA18" s="447"/>
      <c r="HB18" s="447"/>
      <c r="HC18" s="447"/>
      <c r="HD18" s="447"/>
      <c r="HE18" s="447"/>
      <c r="HF18" s="447"/>
      <c r="HG18" s="447"/>
      <c r="HH18" s="447"/>
      <c r="HI18" s="447"/>
      <c r="HJ18" s="447"/>
      <c r="HK18" s="447"/>
      <c r="HL18" s="447"/>
      <c r="HM18" s="447"/>
      <c r="HN18" s="447"/>
      <c r="HO18" s="447"/>
      <c r="HP18" s="447"/>
      <c r="HQ18" s="447"/>
      <c r="HR18" s="447"/>
      <c r="HS18" s="447"/>
      <c r="HT18" s="447"/>
      <c r="HU18" s="447"/>
      <c r="HV18" s="447"/>
      <c r="HW18" s="447"/>
      <c r="HX18" s="447"/>
      <c r="HY18" s="447"/>
      <c r="HZ18" s="447"/>
      <c r="IA18" s="447"/>
      <c r="IB18" s="447"/>
      <c r="IC18" s="447"/>
      <c r="ID18" s="447"/>
      <c r="IE18" s="447"/>
      <c r="IF18" s="447"/>
      <c r="IG18" s="447"/>
      <c r="IH18" s="447"/>
      <c r="II18" s="447"/>
      <c r="IJ18" s="447"/>
      <c r="IK18" s="447"/>
      <c r="IL18" s="447"/>
      <c r="IM18" s="447"/>
      <c r="IN18" s="447"/>
      <c r="IO18" s="447"/>
      <c r="IP18" s="447"/>
      <c r="IQ18" s="447"/>
      <c r="IR18" s="447"/>
    </row>
    <row r="19" spans="1:252" ht="19.899999999999999" customHeight="1">
      <c r="A19" s="561">
        <v>7</v>
      </c>
      <c r="B19" s="562" t="s">
        <v>1417</v>
      </c>
      <c r="C19" s="563" t="s">
        <v>109</v>
      </c>
      <c r="D19" s="564">
        <v>6.8639999999999999</v>
      </c>
      <c r="E19" s="564">
        <v>6.8639999999999999</v>
      </c>
      <c r="F19" s="569">
        <f t="shared" si="0"/>
        <v>0</v>
      </c>
      <c r="G19" s="446"/>
      <c r="H19" s="447"/>
      <c r="I19" s="447"/>
      <c r="J19" s="449"/>
      <c r="K19" s="447"/>
      <c r="L19" s="447"/>
      <c r="M19" s="447"/>
      <c r="N19" s="447"/>
      <c r="O19" s="447"/>
      <c r="P19" s="447"/>
      <c r="Q19" s="447"/>
      <c r="R19" s="447"/>
      <c r="S19" s="447"/>
      <c r="T19" s="447"/>
      <c r="U19" s="447"/>
      <c r="V19" s="447"/>
      <c r="W19" s="447"/>
      <c r="X19" s="447"/>
      <c r="Y19" s="447"/>
      <c r="Z19" s="447"/>
      <c r="AA19" s="447"/>
      <c r="AB19" s="447"/>
      <c r="AC19" s="447"/>
      <c r="AD19" s="447"/>
      <c r="AE19" s="447"/>
      <c r="AF19" s="447"/>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447"/>
      <c r="BW19" s="447"/>
      <c r="BX19" s="447"/>
      <c r="BY19" s="447"/>
      <c r="BZ19" s="447"/>
      <c r="CA19" s="447"/>
      <c r="CB19" s="447"/>
      <c r="CC19" s="447"/>
      <c r="CD19" s="447"/>
      <c r="CE19" s="447"/>
      <c r="CF19" s="447"/>
      <c r="CG19" s="447"/>
      <c r="CH19" s="447"/>
      <c r="CI19" s="447"/>
      <c r="CJ19" s="447"/>
      <c r="CK19" s="447"/>
      <c r="CL19" s="447"/>
      <c r="CM19" s="447"/>
      <c r="CN19" s="447"/>
      <c r="CO19" s="447"/>
      <c r="CP19" s="447"/>
      <c r="CQ19" s="447"/>
      <c r="CR19" s="447"/>
      <c r="CS19" s="447"/>
      <c r="CT19" s="447"/>
      <c r="CU19" s="447"/>
      <c r="CV19" s="447"/>
      <c r="CW19" s="447"/>
      <c r="CX19" s="447"/>
      <c r="CY19" s="447"/>
      <c r="CZ19" s="447"/>
      <c r="DA19" s="447"/>
      <c r="DB19" s="447"/>
      <c r="DC19" s="447"/>
      <c r="DD19" s="447"/>
      <c r="DE19" s="447"/>
      <c r="DF19" s="447"/>
      <c r="DG19" s="447"/>
      <c r="DH19" s="447"/>
      <c r="DI19" s="447"/>
      <c r="DJ19" s="447"/>
      <c r="DK19" s="447"/>
      <c r="DL19" s="447"/>
      <c r="DM19" s="447"/>
      <c r="DN19" s="447"/>
      <c r="DO19" s="447"/>
      <c r="DP19" s="447"/>
      <c r="DQ19" s="447"/>
      <c r="DR19" s="447"/>
      <c r="DS19" s="447"/>
      <c r="DT19" s="447"/>
      <c r="DU19" s="447"/>
      <c r="DV19" s="447"/>
      <c r="DW19" s="447"/>
      <c r="DX19" s="447"/>
      <c r="DY19" s="447"/>
      <c r="DZ19" s="447"/>
      <c r="EA19" s="447"/>
      <c r="EB19" s="447"/>
      <c r="EC19" s="447"/>
      <c r="ED19" s="447"/>
      <c r="EE19" s="447"/>
      <c r="EF19" s="447"/>
      <c r="EG19" s="447"/>
      <c r="EH19" s="447"/>
      <c r="EI19" s="447"/>
      <c r="EJ19" s="447"/>
      <c r="EK19" s="447"/>
      <c r="EL19" s="447"/>
      <c r="EM19" s="447"/>
      <c r="EN19" s="447"/>
      <c r="EO19" s="447"/>
      <c r="EP19" s="447"/>
      <c r="EQ19" s="447"/>
      <c r="ER19" s="447"/>
      <c r="ES19" s="447"/>
      <c r="ET19" s="447"/>
      <c r="EU19" s="447"/>
      <c r="EV19" s="447"/>
      <c r="EW19" s="447"/>
      <c r="EX19" s="447"/>
      <c r="EY19" s="447"/>
      <c r="EZ19" s="447"/>
      <c r="FA19" s="447"/>
      <c r="FB19" s="447"/>
      <c r="FC19" s="447"/>
      <c r="FD19" s="447"/>
      <c r="FE19" s="447"/>
      <c r="FF19" s="447"/>
      <c r="FG19" s="447"/>
      <c r="FH19" s="447"/>
      <c r="FI19" s="447"/>
      <c r="FJ19" s="447"/>
      <c r="FK19" s="447"/>
      <c r="FL19" s="447"/>
      <c r="FM19" s="447"/>
      <c r="FN19" s="447"/>
      <c r="FO19" s="447"/>
      <c r="FP19" s="447"/>
      <c r="FQ19" s="447"/>
      <c r="FR19" s="447"/>
      <c r="FS19" s="447"/>
      <c r="FT19" s="447"/>
      <c r="FU19" s="447"/>
      <c r="FV19" s="447"/>
      <c r="FW19" s="447"/>
      <c r="FX19" s="447"/>
      <c r="FY19" s="447"/>
      <c r="FZ19" s="447"/>
      <c r="GA19" s="447"/>
      <c r="GB19" s="447"/>
      <c r="GC19" s="447"/>
      <c r="GD19" s="447"/>
      <c r="GE19" s="447"/>
      <c r="GF19" s="447"/>
      <c r="GG19" s="447"/>
      <c r="GH19" s="447"/>
      <c r="GI19" s="447"/>
      <c r="GJ19" s="447"/>
      <c r="GK19" s="447"/>
      <c r="GL19" s="447"/>
      <c r="GM19" s="447"/>
      <c r="GN19" s="447"/>
      <c r="GO19" s="447"/>
      <c r="GP19" s="447"/>
      <c r="GQ19" s="447"/>
      <c r="GR19" s="447"/>
      <c r="GS19" s="447"/>
      <c r="GT19" s="447"/>
      <c r="GU19" s="447"/>
      <c r="GV19" s="447"/>
      <c r="GW19" s="447"/>
      <c r="GX19" s="447"/>
      <c r="GY19" s="447"/>
      <c r="GZ19" s="447"/>
      <c r="HA19" s="447"/>
      <c r="HB19" s="447"/>
      <c r="HC19" s="447"/>
      <c r="HD19" s="447"/>
      <c r="HE19" s="447"/>
      <c r="HF19" s="447"/>
      <c r="HG19" s="447"/>
      <c r="HH19" s="447"/>
      <c r="HI19" s="447"/>
      <c r="HJ19" s="447"/>
      <c r="HK19" s="447"/>
      <c r="HL19" s="447"/>
      <c r="HM19" s="447"/>
      <c r="HN19" s="447"/>
      <c r="HO19" s="447"/>
      <c r="HP19" s="447"/>
      <c r="HQ19" s="447"/>
      <c r="HR19" s="447"/>
      <c r="HS19" s="447"/>
      <c r="HT19" s="447"/>
      <c r="HU19" s="447"/>
      <c r="HV19" s="447"/>
      <c r="HW19" s="447"/>
      <c r="HX19" s="447"/>
      <c r="HY19" s="447"/>
      <c r="HZ19" s="447"/>
      <c r="IA19" s="447"/>
      <c r="IB19" s="447"/>
      <c r="IC19" s="447"/>
      <c r="ID19" s="447"/>
      <c r="IE19" s="447"/>
      <c r="IF19" s="447"/>
      <c r="IG19" s="447"/>
      <c r="IH19" s="447"/>
      <c r="II19" s="447"/>
      <c r="IJ19" s="447"/>
      <c r="IK19" s="447"/>
      <c r="IL19" s="447"/>
      <c r="IM19" s="447"/>
      <c r="IN19" s="447"/>
      <c r="IO19" s="447"/>
      <c r="IP19" s="447"/>
      <c r="IQ19" s="447"/>
      <c r="IR19" s="447"/>
    </row>
    <row r="20" spans="1:252" ht="19.899999999999999" customHeight="1">
      <c r="A20" s="561">
        <v>8</v>
      </c>
      <c r="B20" s="562" t="s">
        <v>1418</v>
      </c>
      <c r="C20" s="563" t="s">
        <v>109</v>
      </c>
      <c r="D20" s="564">
        <v>31.632999999999999</v>
      </c>
      <c r="E20" s="564">
        <v>27.889999999999997</v>
      </c>
      <c r="F20" s="573">
        <f t="shared" si="0"/>
        <v>-3.7430000000000021</v>
      </c>
      <c r="G20" s="446"/>
      <c r="H20" s="447"/>
      <c r="I20" s="447"/>
      <c r="J20" s="449"/>
      <c r="K20" s="447"/>
      <c r="L20" s="447"/>
      <c r="M20" s="447"/>
      <c r="N20" s="447"/>
      <c r="O20" s="447"/>
      <c r="P20" s="447"/>
      <c r="Q20" s="447"/>
      <c r="R20" s="447"/>
      <c r="S20" s="447"/>
      <c r="T20" s="447"/>
      <c r="U20" s="447"/>
      <c r="V20" s="447"/>
      <c r="W20" s="447"/>
      <c r="X20" s="447"/>
      <c r="Y20" s="447"/>
      <c r="Z20" s="447"/>
      <c r="AA20" s="447"/>
      <c r="AB20" s="447"/>
      <c r="AC20" s="447"/>
      <c r="AD20" s="447"/>
      <c r="AE20" s="447"/>
      <c r="AF20" s="447"/>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447"/>
      <c r="BW20" s="447"/>
      <c r="BX20" s="447"/>
      <c r="BY20" s="447"/>
      <c r="BZ20" s="447"/>
      <c r="CA20" s="447"/>
      <c r="CB20" s="447"/>
      <c r="CC20" s="447"/>
      <c r="CD20" s="447"/>
      <c r="CE20" s="447"/>
      <c r="CF20" s="447"/>
      <c r="CG20" s="447"/>
      <c r="CH20" s="447"/>
      <c r="CI20" s="447"/>
      <c r="CJ20" s="447"/>
      <c r="CK20" s="447"/>
      <c r="CL20" s="447"/>
      <c r="CM20" s="447"/>
      <c r="CN20" s="447"/>
      <c r="CO20" s="447"/>
      <c r="CP20" s="447"/>
      <c r="CQ20" s="447"/>
      <c r="CR20" s="447"/>
      <c r="CS20" s="447"/>
      <c r="CT20" s="447"/>
      <c r="CU20" s="447"/>
      <c r="CV20" s="447"/>
      <c r="CW20" s="447"/>
      <c r="CX20" s="447"/>
      <c r="CY20" s="447"/>
      <c r="CZ20" s="447"/>
      <c r="DA20" s="447"/>
      <c r="DB20" s="447"/>
      <c r="DC20" s="447"/>
      <c r="DD20" s="447"/>
      <c r="DE20" s="447"/>
      <c r="DF20" s="447"/>
      <c r="DG20" s="447"/>
      <c r="DH20" s="447"/>
      <c r="DI20" s="447"/>
      <c r="DJ20" s="447"/>
      <c r="DK20" s="447"/>
      <c r="DL20" s="447"/>
      <c r="DM20" s="447"/>
      <c r="DN20" s="447"/>
      <c r="DO20" s="447"/>
      <c r="DP20" s="447"/>
      <c r="DQ20" s="447"/>
      <c r="DR20" s="447"/>
      <c r="DS20" s="447"/>
      <c r="DT20" s="447"/>
      <c r="DU20" s="447"/>
      <c r="DV20" s="447"/>
      <c r="DW20" s="447"/>
      <c r="DX20" s="447"/>
      <c r="DY20" s="447"/>
      <c r="DZ20" s="447"/>
      <c r="EA20" s="447"/>
      <c r="EB20" s="447"/>
      <c r="EC20" s="447"/>
      <c r="ED20" s="447"/>
      <c r="EE20" s="447"/>
      <c r="EF20" s="447"/>
      <c r="EG20" s="447"/>
      <c r="EH20" s="447"/>
      <c r="EI20" s="447"/>
      <c r="EJ20" s="447"/>
      <c r="EK20" s="447"/>
      <c r="EL20" s="447"/>
      <c r="EM20" s="447"/>
      <c r="EN20" s="447"/>
      <c r="EO20" s="447"/>
      <c r="EP20" s="447"/>
      <c r="EQ20" s="447"/>
      <c r="ER20" s="447"/>
      <c r="ES20" s="447"/>
      <c r="ET20" s="447"/>
      <c r="EU20" s="447"/>
      <c r="EV20" s="447"/>
      <c r="EW20" s="447"/>
      <c r="EX20" s="447"/>
      <c r="EY20" s="447"/>
      <c r="EZ20" s="447"/>
      <c r="FA20" s="447"/>
      <c r="FB20" s="447"/>
      <c r="FC20" s="447"/>
      <c r="FD20" s="447"/>
      <c r="FE20" s="447"/>
      <c r="FF20" s="447"/>
      <c r="FG20" s="447"/>
      <c r="FH20" s="447"/>
      <c r="FI20" s="447"/>
      <c r="FJ20" s="447"/>
      <c r="FK20" s="447"/>
      <c r="FL20" s="447"/>
      <c r="FM20" s="447"/>
      <c r="FN20" s="447"/>
      <c r="FO20" s="447"/>
      <c r="FP20" s="447"/>
      <c r="FQ20" s="447"/>
      <c r="FR20" s="447"/>
      <c r="FS20" s="447"/>
      <c r="FT20" s="447"/>
      <c r="FU20" s="447"/>
      <c r="FV20" s="447"/>
      <c r="FW20" s="447"/>
      <c r="FX20" s="447"/>
      <c r="FY20" s="447"/>
      <c r="FZ20" s="447"/>
      <c r="GA20" s="447"/>
      <c r="GB20" s="447"/>
      <c r="GC20" s="447"/>
      <c r="GD20" s="447"/>
      <c r="GE20" s="447"/>
      <c r="GF20" s="447"/>
      <c r="GG20" s="447"/>
      <c r="GH20" s="447"/>
      <c r="GI20" s="447"/>
      <c r="GJ20" s="447"/>
      <c r="GK20" s="447"/>
      <c r="GL20" s="447"/>
      <c r="GM20" s="447"/>
      <c r="GN20" s="447"/>
      <c r="GO20" s="447"/>
      <c r="GP20" s="447"/>
      <c r="GQ20" s="447"/>
      <c r="GR20" s="447"/>
      <c r="GS20" s="447"/>
      <c r="GT20" s="447"/>
      <c r="GU20" s="447"/>
      <c r="GV20" s="447"/>
      <c r="GW20" s="447"/>
      <c r="GX20" s="447"/>
      <c r="GY20" s="447"/>
      <c r="GZ20" s="447"/>
      <c r="HA20" s="447"/>
      <c r="HB20" s="447"/>
      <c r="HC20" s="447"/>
      <c r="HD20" s="447"/>
      <c r="HE20" s="447"/>
      <c r="HF20" s="447"/>
      <c r="HG20" s="447"/>
      <c r="HH20" s="447"/>
      <c r="HI20" s="447"/>
      <c r="HJ20" s="447"/>
      <c r="HK20" s="447"/>
      <c r="HL20" s="447"/>
      <c r="HM20" s="447"/>
      <c r="HN20" s="447"/>
      <c r="HO20" s="447"/>
      <c r="HP20" s="447"/>
      <c r="HQ20" s="447"/>
      <c r="HR20" s="447"/>
      <c r="HS20" s="447"/>
      <c r="HT20" s="447"/>
      <c r="HU20" s="447"/>
      <c r="HV20" s="447"/>
      <c r="HW20" s="447"/>
      <c r="HX20" s="447"/>
      <c r="HY20" s="447"/>
      <c r="HZ20" s="447"/>
      <c r="IA20" s="447"/>
      <c r="IB20" s="447"/>
      <c r="IC20" s="447"/>
      <c r="ID20" s="447"/>
      <c r="IE20" s="447"/>
      <c r="IF20" s="447"/>
      <c r="IG20" s="447"/>
      <c r="IH20" s="447"/>
      <c r="II20" s="447"/>
      <c r="IJ20" s="447"/>
      <c r="IK20" s="447"/>
      <c r="IL20" s="447"/>
      <c r="IM20" s="447"/>
      <c r="IN20" s="447"/>
      <c r="IO20" s="447"/>
      <c r="IP20" s="447"/>
      <c r="IQ20" s="447"/>
      <c r="IR20" s="447"/>
    </row>
    <row r="21" spans="1:252" ht="19.899999999999999" customHeight="1">
      <c r="A21" s="561">
        <v>9</v>
      </c>
      <c r="B21" s="562" t="s">
        <v>1419</v>
      </c>
      <c r="C21" s="563" t="s">
        <v>109</v>
      </c>
      <c r="D21" s="564">
        <v>31.632999999999999</v>
      </c>
      <c r="E21" s="564">
        <v>27.889999999999997</v>
      </c>
      <c r="F21" s="573">
        <f t="shared" si="0"/>
        <v>-3.7430000000000021</v>
      </c>
      <c r="G21" s="446"/>
      <c r="H21" s="447"/>
      <c r="I21" s="447"/>
      <c r="J21" s="449"/>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447"/>
      <c r="CG21" s="447"/>
      <c r="CH21" s="447"/>
      <c r="CI21" s="447"/>
      <c r="CJ21" s="447"/>
      <c r="CK21" s="447"/>
      <c r="CL21" s="447"/>
      <c r="CM21" s="447"/>
      <c r="CN21" s="447"/>
      <c r="CO21" s="447"/>
      <c r="CP21" s="447"/>
      <c r="CQ21" s="447"/>
      <c r="CR21" s="447"/>
      <c r="CS21" s="447"/>
      <c r="CT21" s="447"/>
      <c r="CU21" s="447"/>
      <c r="CV21" s="447"/>
      <c r="CW21" s="447"/>
      <c r="CX21" s="447"/>
      <c r="CY21" s="447"/>
      <c r="CZ21" s="447"/>
      <c r="DA21" s="447"/>
      <c r="DB21" s="447"/>
      <c r="DC21" s="447"/>
      <c r="DD21" s="447"/>
      <c r="DE21" s="447"/>
      <c r="DF21" s="447"/>
      <c r="DG21" s="447"/>
      <c r="DH21" s="447"/>
      <c r="DI21" s="447"/>
      <c r="DJ21" s="447"/>
      <c r="DK21" s="447"/>
      <c r="DL21" s="447"/>
      <c r="DM21" s="447"/>
      <c r="DN21" s="447"/>
      <c r="DO21" s="447"/>
      <c r="DP21" s="447"/>
      <c r="DQ21" s="447"/>
      <c r="DR21" s="447"/>
      <c r="DS21" s="447"/>
      <c r="DT21" s="447"/>
      <c r="DU21" s="447"/>
      <c r="DV21" s="447"/>
      <c r="DW21" s="447"/>
      <c r="DX21" s="447"/>
      <c r="DY21" s="447"/>
      <c r="DZ21" s="447"/>
      <c r="EA21" s="447"/>
      <c r="EB21" s="447"/>
      <c r="EC21" s="447"/>
      <c r="ED21" s="447"/>
      <c r="EE21" s="447"/>
      <c r="EF21" s="447"/>
      <c r="EG21" s="447"/>
      <c r="EH21" s="447"/>
      <c r="EI21" s="447"/>
      <c r="EJ21" s="447"/>
      <c r="EK21" s="447"/>
      <c r="EL21" s="447"/>
      <c r="EM21" s="447"/>
      <c r="EN21" s="447"/>
      <c r="EO21" s="447"/>
      <c r="EP21" s="447"/>
      <c r="EQ21" s="447"/>
      <c r="ER21" s="447"/>
      <c r="ES21" s="447"/>
      <c r="ET21" s="447"/>
      <c r="EU21" s="447"/>
      <c r="EV21" s="447"/>
      <c r="EW21" s="447"/>
      <c r="EX21" s="447"/>
      <c r="EY21" s="447"/>
      <c r="EZ21" s="447"/>
      <c r="FA21" s="447"/>
      <c r="FB21" s="447"/>
      <c r="FC21" s="447"/>
      <c r="FD21" s="447"/>
      <c r="FE21" s="447"/>
      <c r="FF21" s="447"/>
      <c r="FG21" s="447"/>
      <c r="FH21" s="447"/>
      <c r="FI21" s="447"/>
      <c r="FJ21" s="447"/>
      <c r="FK21" s="447"/>
      <c r="FL21" s="447"/>
      <c r="FM21" s="447"/>
      <c r="FN21" s="447"/>
      <c r="FO21" s="447"/>
      <c r="FP21" s="447"/>
      <c r="FQ21" s="447"/>
      <c r="FR21" s="447"/>
      <c r="FS21" s="447"/>
      <c r="FT21" s="447"/>
      <c r="FU21" s="447"/>
      <c r="FV21" s="447"/>
      <c r="FW21" s="447"/>
      <c r="FX21" s="447"/>
      <c r="FY21" s="447"/>
      <c r="FZ21" s="447"/>
      <c r="GA21" s="447"/>
      <c r="GB21" s="447"/>
      <c r="GC21" s="447"/>
      <c r="GD21" s="447"/>
      <c r="GE21" s="447"/>
      <c r="GF21" s="447"/>
      <c r="GG21" s="447"/>
      <c r="GH21" s="447"/>
      <c r="GI21" s="447"/>
      <c r="GJ21" s="447"/>
      <c r="GK21" s="447"/>
      <c r="GL21" s="447"/>
      <c r="GM21" s="447"/>
      <c r="GN21" s="447"/>
      <c r="GO21" s="447"/>
      <c r="GP21" s="447"/>
      <c r="GQ21" s="447"/>
      <c r="GR21" s="447"/>
      <c r="GS21" s="447"/>
      <c r="GT21" s="447"/>
      <c r="GU21" s="447"/>
      <c r="GV21" s="447"/>
      <c r="GW21" s="447"/>
      <c r="GX21" s="447"/>
      <c r="GY21" s="447"/>
      <c r="GZ21" s="447"/>
      <c r="HA21" s="447"/>
      <c r="HB21" s="447"/>
      <c r="HC21" s="447"/>
      <c r="HD21" s="447"/>
      <c r="HE21" s="447"/>
      <c r="HF21" s="447"/>
      <c r="HG21" s="447"/>
      <c r="HH21" s="447"/>
      <c r="HI21" s="447"/>
      <c r="HJ21" s="447"/>
      <c r="HK21" s="447"/>
      <c r="HL21" s="447"/>
      <c r="HM21" s="447"/>
      <c r="HN21" s="447"/>
      <c r="HO21" s="447"/>
      <c r="HP21" s="447"/>
      <c r="HQ21" s="447"/>
      <c r="HR21" s="447"/>
      <c r="HS21" s="447"/>
      <c r="HT21" s="447"/>
      <c r="HU21" s="447"/>
      <c r="HV21" s="447"/>
      <c r="HW21" s="447"/>
      <c r="HX21" s="447"/>
      <c r="HY21" s="447"/>
      <c r="HZ21" s="447"/>
      <c r="IA21" s="447"/>
      <c r="IB21" s="447"/>
      <c r="IC21" s="447"/>
      <c r="ID21" s="447"/>
      <c r="IE21" s="447"/>
      <c r="IF21" s="447"/>
      <c r="IG21" s="447"/>
      <c r="IH21" s="447"/>
      <c r="II21" s="447"/>
      <c r="IJ21" s="447"/>
      <c r="IK21" s="447"/>
      <c r="IL21" s="447"/>
      <c r="IM21" s="447"/>
      <c r="IN21" s="447"/>
      <c r="IO21" s="447"/>
      <c r="IP21" s="447"/>
      <c r="IQ21" s="447"/>
      <c r="IR21" s="447"/>
    </row>
    <row r="22" spans="1:252" ht="31.5">
      <c r="A22" s="561">
        <v>10</v>
      </c>
      <c r="B22" s="562" t="s">
        <v>1420</v>
      </c>
      <c r="C22" s="563" t="s">
        <v>109</v>
      </c>
      <c r="D22" s="564">
        <v>31.632999999999999</v>
      </c>
      <c r="E22" s="564">
        <v>27.889999999999997</v>
      </c>
      <c r="F22" s="573">
        <f t="shared" si="0"/>
        <v>-3.7430000000000021</v>
      </c>
      <c r="G22" s="446"/>
      <c r="H22" s="447"/>
      <c r="I22" s="447"/>
      <c r="J22" s="449"/>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447"/>
      <c r="BW22" s="447"/>
      <c r="BX22" s="447"/>
      <c r="BY22" s="447"/>
      <c r="BZ22" s="447"/>
      <c r="CA22" s="447"/>
      <c r="CB22" s="447"/>
      <c r="CC22" s="447"/>
      <c r="CD22" s="447"/>
      <c r="CE22" s="447"/>
      <c r="CF22" s="447"/>
      <c r="CG22" s="447"/>
      <c r="CH22" s="447"/>
      <c r="CI22" s="447"/>
      <c r="CJ22" s="447"/>
      <c r="CK22" s="447"/>
      <c r="CL22" s="447"/>
      <c r="CM22" s="447"/>
      <c r="CN22" s="447"/>
      <c r="CO22" s="447"/>
      <c r="CP22" s="447"/>
      <c r="CQ22" s="447"/>
      <c r="CR22" s="447"/>
      <c r="CS22" s="447"/>
      <c r="CT22" s="447"/>
      <c r="CU22" s="447"/>
      <c r="CV22" s="447"/>
      <c r="CW22" s="447"/>
      <c r="CX22" s="447"/>
      <c r="CY22" s="447"/>
      <c r="CZ22" s="447"/>
      <c r="DA22" s="447"/>
      <c r="DB22" s="447"/>
      <c r="DC22" s="447"/>
      <c r="DD22" s="447"/>
      <c r="DE22" s="447"/>
      <c r="DF22" s="447"/>
      <c r="DG22" s="447"/>
      <c r="DH22" s="447"/>
      <c r="DI22" s="447"/>
      <c r="DJ22" s="447"/>
      <c r="DK22" s="447"/>
      <c r="DL22" s="447"/>
      <c r="DM22" s="447"/>
      <c r="DN22" s="447"/>
      <c r="DO22" s="447"/>
      <c r="DP22" s="447"/>
      <c r="DQ22" s="447"/>
      <c r="DR22" s="447"/>
      <c r="DS22" s="447"/>
      <c r="DT22" s="447"/>
      <c r="DU22" s="447"/>
      <c r="DV22" s="447"/>
      <c r="DW22" s="447"/>
      <c r="DX22" s="447"/>
      <c r="DY22" s="447"/>
      <c r="DZ22" s="447"/>
      <c r="EA22" s="447"/>
      <c r="EB22" s="447"/>
      <c r="EC22" s="447"/>
      <c r="ED22" s="447"/>
      <c r="EE22" s="447"/>
      <c r="EF22" s="447"/>
      <c r="EG22" s="447"/>
      <c r="EH22" s="447"/>
      <c r="EI22" s="447"/>
      <c r="EJ22" s="447"/>
      <c r="EK22" s="447"/>
      <c r="EL22" s="447"/>
      <c r="EM22" s="447"/>
      <c r="EN22" s="447"/>
      <c r="EO22" s="447"/>
      <c r="EP22" s="447"/>
      <c r="EQ22" s="447"/>
      <c r="ER22" s="447"/>
      <c r="ES22" s="447"/>
      <c r="ET22" s="447"/>
      <c r="EU22" s="447"/>
      <c r="EV22" s="447"/>
      <c r="EW22" s="447"/>
      <c r="EX22" s="447"/>
      <c r="EY22" s="447"/>
      <c r="EZ22" s="447"/>
      <c r="FA22" s="447"/>
      <c r="FB22" s="447"/>
      <c r="FC22" s="447"/>
      <c r="FD22" s="447"/>
      <c r="FE22" s="447"/>
      <c r="FF22" s="447"/>
      <c r="FG22" s="447"/>
      <c r="FH22" s="447"/>
      <c r="FI22" s="447"/>
      <c r="FJ22" s="447"/>
      <c r="FK22" s="447"/>
      <c r="FL22" s="447"/>
      <c r="FM22" s="447"/>
      <c r="FN22" s="447"/>
      <c r="FO22" s="447"/>
      <c r="FP22" s="447"/>
      <c r="FQ22" s="447"/>
      <c r="FR22" s="447"/>
      <c r="FS22" s="447"/>
      <c r="FT22" s="447"/>
      <c r="FU22" s="447"/>
      <c r="FV22" s="447"/>
      <c r="FW22" s="447"/>
      <c r="FX22" s="447"/>
      <c r="FY22" s="447"/>
      <c r="FZ22" s="447"/>
      <c r="GA22" s="447"/>
      <c r="GB22" s="447"/>
      <c r="GC22" s="447"/>
      <c r="GD22" s="447"/>
      <c r="GE22" s="447"/>
      <c r="GF22" s="447"/>
      <c r="GG22" s="447"/>
      <c r="GH22" s="447"/>
      <c r="GI22" s="447"/>
      <c r="GJ22" s="447"/>
      <c r="GK22" s="447"/>
      <c r="GL22" s="447"/>
      <c r="GM22" s="447"/>
      <c r="GN22" s="447"/>
      <c r="GO22" s="447"/>
      <c r="GP22" s="447"/>
      <c r="GQ22" s="447"/>
      <c r="GR22" s="447"/>
      <c r="GS22" s="447"/>
      <c r="GT22" s="447"/>
      <c r="GU22" s="447"/>
      <c r="GV22" s="447"/>
      <c r="GW22" s="447"/>
      <c r="GX22" s="447"/>
      <c r="GY22" s="447"/>
      <c r="GZ22" s="447"/>
      <c r="HA22" s="447"/>
      <c r="HB22" s="447"/>
      <c r="HC22" s="447"/>
      <c r="HD22" s="447"/>
      <c r="HE22" s="447"/>
      <c r="HF22" s="447"/>
      <c r="HG22" s="447"/>
      <c r="HH22" s="447"/>
      <c r="HI22" s="447"/>
      <c r="HJ22" s="447"/>
      <c r="HK22" s="447"/>
      <c r="HL22" s="447"/>
      <c r="HM22" s="447"/>
      <c r="HN22" s="447"/>
      <c r="HO22" s="447"/>
      <c r="HP22" s="447"/>
      <c r="HQ22" s="447"/>
      <c r="HR22" s="447"/>
      <c r="HS22" s="447"/>
      <c r="HT22" s="447"/>
      <c r="HU22" s="447"/>
      <c r="HV22" s="447"/>
      <c r="HW22" s="447"/>
      <c r="HX22" s="447"/>
      <c r="HY22" s="447"/>
      <c r="HZ22" s="447"/>
      <c r="IA22" s="447"/>
      <c r="IB22" s="447"/>
      <c r="IC22" s="447"/>
      <c r="ID22" s="447"/>
      <c r="IE22" s="447"/>
      <c r="IF22" s="447"/>
      <c r="IG22" s="447"/>
      <c r="IH22" s="447"/>
      <c r="II22" s="447"/>
      <c r="IJ22" s="447"/>
      <c r="IK22" s="447"/>
      <c r="IL22" s="447"/>
      <c r="IM22" s="447"/>
      <c r="IN22" s="447"/>
      <c r="IO22" s="447"/>
      <c r="IP22" s="447"/>
      <c r="IQ22" s="447"/>
      <c r="IR22" s="447"/>
    </row>
    <row r="23" spans="1:252" ht="19.899999999999999" customHeight="1">
      <c r="A23" s="561">
        <v>11</v>
      </c>
      <c r="B23" s="562" t="s">
        <v>1421</v>
      </c>
      <c r="C23" s="563" t="s">
        <v>109</v>
      </c>
      <c r="D23" s="564">
        <v>11.25</v>
      </c>
      <c r="E23" s="564">
        <v>11.25</v>
      </c>
      <c r="F23" s="569">
        <f t="shared" si="0"/>
        <v>0</v>
      </c>
      <c r="G23" s="446"/>
      <c r="H23" s="447"/>
      <c r="I23" s="447"/>
      <c r="J23" s="449"/>
      <c r="K23" s="447"/>
      <c r="L23" s="447"/>
      <c r="M23" s="447"/>
      <c r="N23" s="447"/>
      <c r="O23" s="447"/>
      <c r="P23" s="447"/>
      <c r="Q23" s="447"/>
      <c r="R23" s="447"/>
      <c r="S23" s="447"/>
      <c r="T23" s="447"/>
      <c r="U23" s="447"/>
      <c r="V23" s="447"/>
      <c r="W23" s="447"/>
      <c r="X23" s="447"/>
      <c r="Y23" s="447"/>
      <c r="Z23" s="447"/>
      <c r="AA23" s="447"/>
      <c r="AB23" s="447"/>
      <c r="AC23" s="447"/>
      <c r="AD23" s="447"/>
      <c r="AE23" s="447"/>
      <c r="AF23" s="447"/>
      <c r="AG23" s="447"/>
      <c r="AH23" s="447"/>
      <c r="AI23" s="447"/>
      <c r="AJ23" s="447"/>
      <c r="AK23" s="447"/>
      <c r="AL23" s="447"/>
      <c r="AM23" s="447"/>
      <c r="AN23" s="447"/>
      <c r="AO23" s="447"/>
      <c r="AP23" s="447"/>
      <c r="AQ23" s="447"/>
      <c r="AR23" s="447"/>
      <c r="AS23" s="447"/>
      <c r="AT23" s="447"/>
      <c r="AU23" s="447"/>
      <c r="AV23" s="447"/>
      <c r="AW23" s="447"/>
      <c r="AX23" s="447"/>
      <c r="AY23" s="447"/>
      <c r="AZ23" s="447"/>
      <c r="BA23" s="447"/>
      <c r="BB23" s="447"/>
      <c r="BC23" s="447"/>
      <c r="BD23" s="447"/>
      <c r="BE23" s="447"/>
      <c r="BF23" s="447"/>
      <c r="BG23" s="447"/>
      <c r="BH23" s="447"/>
      <c r="BI23" s="447"/>
      <c r="BJ23" s="447"/>
      <c r="BK23" s="447"/>
      <c r="BL23" s="447"/>
      <c r="BM23" s="447"/>
      <c r="BN23" s="447"/>
      <c r="BO23" s="447"/>
      <c r="BP23" s="447"/>
      <c r="BQ23" s="447"/>
      <c r="BR23" s="447"/>
      <c r="BS23" s="447"/>
      <c r="BT23" s="447"/>
      <c r="BU23" s="447"/>
      <c r="BV23" s="447"/>
      <c r="BW23" s="447"/>
      <c r="BX23" s="447"/>
      <c r="BY23" s="447"/>
      <c r="BZ23" s="447"/>
      <c r="CA23" s="447"/>
      <c r="CB23" s="447"/>
      <c r="CC23" s="447"/>
      <c r="CD23" s="447"/>
      <c r="CE23" s="447"/>
      <c r="CF23" s="447"/>
      <c r="CG23" s="447"/>
      <c r="CH23" s="447"/>
      <c r="CI23" s="447"/>
      <c r="CJ23" s="447"/>
      <c r="CK23" s="447"/>
      <c r="CL23" s="447"/>
      <c r="CM23" s="447"/>
      <c r="CN23" s="447"/>
      <c r="CO23" s="447"/>
      <c r="CP23" s="447"/>
      <c r="CQ23" s="447"/>
      <c r="CR23" s="447"/>
      <c r="CS23" s="447"/>
      <c r="CT23" s="447"/>
      <c r="CU23" s="447"/>
      <c r="CV23" s="447"/>
      <c r="CW23" s="447"/>
      <c r="CX23" s="447"/>
      <c r="CY23" s="447"/>
      <c r="CZ23" s="447"/>
      <c r="DA23" s="447"/>
      <c r="DB23" s="447"/>
      <c r="DC23" s="447"/>
      <c r="DD23" s="447"/>
      <c r="DE23" s="447"/>
      <c r="DF23" s="447"/>
      <c r="DG23" s="447"/>
      <c r="DH23" s="447"/>
      <c r="DI23" s="447"/>
      <c r="DJ23" s="447"/>
      <c r="DK23" s="447"/>
      <c r="DL23" s="447"/>
      <c r="DM23" s="447"/>
      <c r="DN23" s="447"/>
      <c r="DO23" s="447"/>
      <c r="DP23" s="447"/>
      <c r="DQ23" s="447"/>
      <c r="DR23" s="447"/>
      <c r="DS23" s="447"/>
      <c r="DT23" s="447"/>
      <c r="DU23" s="447"/>
      <c r="DV23" s="447"/>
      <c r="DW23" s="447"/>
      <c r="DX23" s="447"/>
      <c r="DY23" s="447"/>
      <c r="DZ23" s="447"/>
      <c r="EA23" s="447"/>
      <c r="EB23" s="447"/>
      <c r="EC23" s="447"/>
      <c r="ED23" s="447"/>
      <c r="EE23" s="447"/>
      <c r="EF23" s="447"/>
      <c r="EG23" s="447"/>
      <c r="EH23" s="447"/>
      <c r="EI23" s="447"/>
      <c r="EJ23" s="447"/>
      <c r="EK23" s="447"/>
      <c r="EL23" s="447"/>
      <c r="EM23" s="447"/>
      <c r="EN23" s="447"/>
      <c r="EO23" s="447"/>
      <c r="EP23" s="447"/>
      <c r="EQ23" s="447"/>
      <c r="ER23" s="447"/>
      <c r="ES23" s="447"/>
      <c r="ET23" s="447"/>
      <c r="EU23" s="447"/>
      <c r="EV23" s="447"/>
      <c r="EW23" s="447"/>
      <c r="EX23" s="447"/>
      <c r="EY23" s="447"/>
      <c r="EZ23" s="447"/>
      <c r="FA23" s="447"/>
      <c r="FB23" s="447"/>
      <c r="FC23" s="447"/>
      <c r="FD23" s="447"/>
      <c r="FE23" s="447"/>
      <c r="FF23" s="447"/>
      <c r="FG23" s="447"/>
      <c r="FH23" s="447"/>
      <c r="FI23" s="447"/>
      <c r="FJ23" s="447"/>
      <c r="FK23" s="447"/>
      <c r="FL23" s="447"/>
      <c r="FM23" s="447"/>
      <c r="FN23" s="447"/>
      <c r="FO23" s="447"/>
      <c r="FP23" s="447"/>
      <c r="FQ23" s="447"/>
      <c r="FR23" s="447"/>
      <c r="FS23" s="447"/>
      <c r="FT23" s="447"/>
      <c r="FU23" s="447"/>
      <c r="FV23" s="447"/>
      <c r="FW23" s="447"/>
      <c r="FX23" s="447"/>
      <c r="FY23" s="447"/>
      <c r="FZ23" s="447"/>
      <c r="GA23" s="447"/>
      <c r="GB23" s="447"/>
      <c r="GC23" s="447"/>
      <c r="GD23" s="447"/>
      <c r="GE23" s="447"/>
      <c r="GF23" s="447"/>
      <c r="GG23" s="447"/>
      <c r="GH23" s="447"/>
      <c r="GI23" s="447"/>
      <c r="GJ23" s="447"/>
      <c r="GK23" s="447"/>
      <c r="GL23" s="447"/>
      <c r="GM23" s="447"/>
      <c r="GN23" s="447"/>
      <c r="GO23" s="447"/>
      <c r="GP23" s="447"/>
      <c r="GQ23" s="447"/>
      <c r="GR23" s="447"/>
      <c r="GS23" s="447"/>
      <c r="GT23" s="447"/>
      <c r="GU23" s="447"/>
      <c r="GV23" s="447"/>
      <c r="GW23" s="447"/>
      <c r="GX23" s="447"/>
      <c r="GY23" s="447"/>
      <c r="GZ23" s="447"/>
      <c r="HA23" s="447"/>
      <c r="HB23" s="447"/>
      <c r="HC23" s="447"/>
      <c r="HD23" s="447"/>
      <c r="HE23" s="447"/>
      <c r="HF23" s="447"/>
      <c r="HG23" s="447"/>
      <c r="HH23" s="447"/>
      <c r="HI23" s="447"/>
      <c r="HJ23" s="447"/>
      <c r="HK23" s="447"/>
      <c r="HL23" s="447"/>
      <c r="HM23" s="447"/>
      <c r="HN23" s="447"/>
      <c r="HO23" s="447"/>
      <c r="HP23" s="447"/>
      <c r="HQ23" s="447"/>
      <c r="HR23" s="447"/>
      <c r="HS23" s="447"/>
      <c r="HT23" s="447"/>
      <c r="HU23" s="447"/>
      <c r="HV23" s="447"/>
      <c r="HW23" s="447"/>
      <c r="HX23" s="447"/>
      <c r="HY23" s="447"/>
      <c r="HZ23" s="447"/>
      <c r="IA23" s="447"/>
      <c r="IB23" s="447"/>
      <c r="IC23" s="447"/>
      <c r="ID23" s="447"/>
      <c r="IE23" s="447"/>
      <c r="IF23" s="447"/>
      <c r="IG23" s="447"/>
      <c r="IH23" s="447"/>
      <c r="II23" s="447"/>
      <c r="IJ23" s="447"/>
      <c r="IK23" s="447"/>
      <c r="IL23" s="447"/>
      <c r="IM23" s="447"/>
      <c r="IN23" s="447"/>
      <c r="IO23" s="447"/>
      <c r="IP23" s="447"/>
      <c r="IQ23" s="447"/>
      <c r="IR23" s="447"/>
    </row>
    <row r="24" spans="1:252" ht="19.899999999999999" customHeight="1">
      <c r="A24" s="561">
        <v>12</v>
      </c>
      <c r="B24" s="562" t="s">
        <v>1422</v>
      </c>
      <c r="C24" s="563" t="s">
        <v>109</v>
      </c>
      <c r="D24" s="564">
        <v>1.125</v>
      </c>
      <c r="E24" s="564">
        <v>1.125</v>
      </c>
      <c r="F24" s="569">
        <f t="shared" si="0"/>
        <v>0</v>
      </c>
      <c r="G24" s="446"/>
      <c r="H24" s="447"/>
      <c r="I24" s="447"/>
      <c r="J24" s="449"/>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47"/>
      <c r="AR24" s="447"/>
      <c r="AS24" s="447"/>
      <c r="AT24" s="447"/>
      <c r="AU24" s="447"/>
      <c r="AV24" s="447"/>
      <c r="AW24" s="447"/>
      <c r="AX24" s="447"/>
      <c r="AY24" s="447"/>
      <c r="AZ24" s="447"/>
      <c r="BA24" s="447"/>
      <c r="BB24" s="447"/>
      <c r="BC24" s="447"/>
      <c r="BD24" s="447"/>
      <c r="BE24" s="447"/>
      <c r="BF24" s="447"/>
      <c r="BG24" s="447"/>
      <c r="BH24" s="447"/>
      <c r="BI24" s="447"/>
      <c r="BJ24" s="447"/>
      <c r="BK24" s="447"/>
      <c r="BL24" s="447"/>
      <c r="BM24" s="447"/>
      <c r="BN24" s="447"/>
      <c r="BO24" s="447"/>
      <c r="BP24" s="447"/>
      <c r="BQ24" s="447"/>
      <c r="BR24" s="447"/>
      <c r="BS24" s="447"/>
      <c r="BT24" s="447"/>
      <c r="BU24" s="447"/>
      <c r="BV24" s="447"/>
      <c r="BW24" s="447"/>
      <c r="BX24" s="447"/>
      <c r="BY24" s="447"/>
      <c r="BZ24" s="447"/>
      <c r="CA24" s="447"/>
      <c r="CB24" s="447"/>
      <c r="CC24" s="447"/>
      <c r="CD24" s="447"/>
      <c r="CE24" s="447"/>
      <c r="CF24" s="447"/>
      <c r="CG24" s="447"/>
      <c r="CH24" s="447"/>
      <c r="CI24" s="447"/>
      <c r="CJ24" s="447"/>
      <c r="CK24" s="447"/>
      <c r="CL24" s="447"/>
      <c r="CM24" s="447"/>
      <c r="CN24" s="447"/>
      <c r="CO24" s="447"/>
      <c r="CP24" s="447"/>
      <c r="CQ24" s="447"/>
      <c r="CR24" s="447"/>
      <c r="CS24" s="447"/>
      <c r="CT24" s="447"/>
      <c r="CU24" s="447"/>
      <c r="CV24" s="447"/>
      <c r="CW24" s="447"/>
      <c r="CX24" s="447"/>
      <c r="CY24" s="447"/>
      <c r="CZ24" s="447"/>
      <c r="DA24" s="447"/>
      <c r="DB24" s="447"/>
      <c r="DC24" s="447"/>
      <c r="DD24" s="447"/>
      <c r="DE24" s="447"/>
      <c r="DF24" s="447"/>
      <c r="DG24" s="447"/>
      <c r="DH24" s="447"/>
      <c r="DI24" s="447"/>
      <c r="DJ24" s="447"/>
      <c r="DK24" s="447"/>
      <c r="DL24" s="447"/>
      <c r="DM24" s="447"/>
      <c r="DN24" s="447"/>
      <c r="DO24" s="447"/>
      <c r="DP24" s="447"/>
      <c r="DQ24" s="447"/>
      <c r="DR24" s="447"/>
      <c r="DS24" s="447"/>
      <c r="DT24" s="447"/>
      <c r="DU24" s="447"/>
      <c r="DV24" s="447"/>
      <c r="DW24" s="447"/>
      <c r="DX24" s="447"/>
      <c r="DY24" s="447"/>
      <c r="DZ24" s="447"/>
      <c r="EA24" s="447"/>
      <c r="EB24" s="447"/>
      <c r="EC24" s="447"/>
      <c r="ED24" s="447"/>
      <c r="EE24" s="447"/>
      <c r="EF24" s="447"/>
      <c r="EG24" s="447"/>
      <c r="EH24" s="447"/>
      <c r="EI24" s="447"/>
      <c r="EJ24" s="447"/>
      <c r="EK24" s="447"/>
      <c r="EL24" s="447"/>
      <c r="EM24" s="447"/>
      <c r="EN24" s="447"/>
      <c r="EO24" s="447"/>
      <c r="EP24" s="447"/>
      <c r="EQ24" s="447"/>
      <c r="ER24" s="447"/>
      <c r="ES24" s="447"/>
      <c r="ET24" s="447"/>
      <c r="EU24" s="447"/>
      <c r="EV24" s="447"/>
      <c r="EW24" s="447"/>
      <c r="EX24" s="447"/>
      <c r="EY24" s="447"/>
      <c r="EZ24" s="447"/>
      <c r="FA24" s="447"/>
      <c r="FB24" s="447"/>
      <c r="FC24" s="447"/>
      <c r="FD24" s="447"/>
      <c r="FE24" s="447"/>
      <c r="FF24" s="447"/>
      <c r="FG24" s="447"/>
      <c r="FH24" s="447"/>
      <c r="FI24" s="447"/>
      <c r="FJ24" s="447"/>
      <c r="FK24" s="447"/>
      <c r="FL24" s="447"/>
      <c r="FM24" s="447"/>
      <c r="FN24" s="447"/>
      <c r="FO24" s="447"/>
      <c r="FP24" s="447"/>
      <c r="FQ24" s="447"/>
      <c r="FR24" s="447"/>
      <c r="FS24" s="447"/>
      <c r="FT24" s="447"/>
      <c r="FU24" s="447"/>
      <c r="FV24" s="447"/>
      <c r="FW24" s="447"/>
      <c r="FX24" s="447"/>
      <c r="FY24" s="447"/>
      <c r="FZ24" s="447"/>
      <c r="GA24" s="447"/>
      <c r="GB24" s="447"/>
      <c r="GC24" s="447"/>
      <c r="GD24" s="447"/>
      <c r="GE24" s="447"/>
      <c r="GF24" s="447"/>
      <c r="GG24" s="447"/>
      <c r="GH24" s="447"/>
      <c r="GI24" s="447"/>
      <c r="GJ24" s="447"/>
      <c r="GK24" s="447"/>
      <c r="GL24" s="447"/>
      <c r="GM24" s="447"/>
      <c r="GN24" s="447"/>
      <c r="GO24" s="447"/>
      <c r="GP24" s="447"/>
      <c r="GQ24" s="447"/>
      <c r="GR24" s="447"/>
      <c r="GS24" s="447"/>
      <c r="GT24" s="447"/>
      <c r="GU24" s="447"/>
      <c r="GV24" s="447"/>
      <c r="GW24" s="447"/>
      <c r="GX24" s="447"/>
      <c r="GY24" s="447"/>
      <c r="GZ24" s="447"/>
      <c r="HA24" s="447"/>
      <c r="HB24" s="447"/>
      <c r="HC24" s="447"/>
      <c r="HD24" s="447"/>
      <c r="HE24" s="447"/>
      <c r="HF24" s="447"/>
      <c r="HG24" s="447"/>
      <c r="HH24" s="447"/>
      <c r="HI24" s="447"/>
      <c r="HJ24" s="447"/>
      <c r="HK24" s="447"/>
      <c r="HL24" s="447"/>
      <c r="HM24" s="447"/>
      <c r="HN24" s="447"/>
      <c r="HO24" s="447"/>
      <c r="HP24" s="447"/>
      <c r="HQ24" s="447"/>
      <c r="HR24" s="447"/>
      <c r="HS24" s="447"/>
      <c r="HT24" s="447"/>
      <c r="HU24" s="447"/>
      <c r="HV24" s="447"/>
      <c r="HW24" s="447"/>
      <c r="HX24" s="447"/>
      <c r="HY24" s="447"/>
      <c r="HZ24" s="447"/>
      <c r="IA24" s="447"/>
      <c r="IB24" s="447"/>
      <c r="IC24" s="447"/>
      <c r="ID24" s="447"/>
      <c r="IE24" s="447"/>
      <c r="IF24" s="447"/>
      <c r="IG24" s="447"/>
      <c r="IH24" s="447"/>
      <c r="II24" s="447"/>
      <c r="IJ24" s="447"/>
      <c r="IK24" s="447"/>
      <c r="IL24" s="447"/>
      <c r="IM24" s="447"/>
      <c r="IN24" s="447"/>
      <c r="IO24" s="447"/>
      <c r="IP24" s="447"/>
      <c r="IQ24" s="447"/>
      <c r="IR24" s="447"/>
    </row>
    <row r="25" spans="1:252" ht="19.899999999999999" customHeight="1">
      <c r="A25" s="561">
        <v>13</v>
      </c>
      <c r="B25" s="562" t="s">
        <v>1423</v>
      </c>
      <c r="C25" s="563" t="s">
        <v>109</v>
      </c>
      <c r="D25" s="564">
        <v>15.12</v>
      </c>
      <c r="E25" s="564">
        <v>15.12</v>
      </c>
      <c r="F25" s="569">
        <f t="shared" si="0"/>
        <v>0</v>
      </c>
      <c r="G25" s="446"/>
      <c r="H25" s="447"/>
      <c r="I25" s="447"/>
      <c r="J25" s="449"/>
      <c r="K25" s="447"/>
      <c r="L25" s="447"/>
      <c r="M25" s="447"/>
      <c r="N25" s="447"/>
      <c r="O25" s="447"/>
      <c r="P25" s="447"/>
      <c r="Q25" s="447"/>
      <c r="R25" s="447"/>
      <c r="S25" s="447"/>
      <c r="T25" s="447"/>
      <c r="U25" s="447"/>
      <c r="V25" s="447"/>
      <c r="W25" s="447"/>
      <c r="X25" s="447"/>
      <c r="Y25" s="447"/>
      <c r="Z25" s="447"/>
      <c r="AA25" s="447"/>
      <c r="AB25" s="447"/>
      <c r="AC25" s="447"/>
      <c r="AD25" s="447"/>
      <c r="AE25" s="447"/>
      <c r="AF25" s="447"/>
      <c r="AG25" s="447"/>
      <c r="AH25" s="447"/>
      <c r="AI25" s="447"/>
      <c r="AJ25" s="447"/>
      <c r="AK25" s="447"/>
      <c r="AL25" s="447"/>
      <c r="AM25" s="447"/>
      <c r="AN25" s="447"/>
      <c r="AO25" s="447"/>
      <c r="AP25" s="447"/>
      <c r="AQ25" s="447"/>
      <c r="AR25" s="447"/>
      <c r="AS25" s="447"/>
      <c r="AT25" s="447"/>
      <c r="AU25" s="447"/>
      <c r="AV25" s="447"/>
      <c r="AW25" s="447"/>
      <c r="AX25" s="447"/>
      <c r="AY25" s="447"/>
      <c r="AZ25" s="447"/>
      <c r="BA25" s="447"/>
      <c r="BB25" s="447"/>
      <c r="BC25" s="447"/>
      <c r="BD25" s="447"/>
      <c r="BE25" s="447"/>
      <c r="BF25" s="447"/>
      <c r="BG25" s="447"/>
      <c r="BH25" s="447"/>
      <c r="BI25" s="447"/>
      <c r="BJ25" s="447"/>
      <c r="BK25" s="447"/>
      <c r="BL25" s="447"/>
      <c r="BM25" s="447"/>
      <c r="BN25" s="447"/>
      <c r="BO25" s="447"/>
      <c r="BP25" s="447"/>
      <c r="BQ25" s="447"/>
      <c r="BR25" s="447"/>
      <c r="BS25" s="447"/>
      <c r="BT25" s="447"/>
      <c r="BU25" s="447"/>
      <c r="BV25" s="447"/>
      <c r="BW25" s="447"/>
      <c r="BX25" s="447"/>
      <c r="BY25" s="447"/>
      <c r="BZ25" s="447"/>
      <c r="CA25" s="447"/>
      <c r="CB25" s="447"/>
      <c r="CC25" s="447"/>
      <c r="CD25" s="447"/>
      <c r="CE25" s="447"/>
      <c r="CF25" s="447"/>
      <c r="CG25" s="447"/>
      <c r="CH25" s="447"/>
      <c r="CI25" s="447"/>
      <c r="CJ25" s="447"/>
      <c r="CK25" s="447"/>
      <c r="CL25" s="447"/>
      <c r="CM25" s="447"/>
      <c r="CN25" s="447"/>
      <c r="CO25" s="447"/>
      <c r="CP25" s="447"/>
      <c r="CQ25" s="447"/>
      <c r="CR25" s="447"/>
      <c r="CS25" s="447"/>
      <c r="CT25" s="447"/>
      <c r="CU25" s="447"/>
      <c r="CV25" s="447"/>
      <c r="CW25" s="447"/>
      <c r="CX25" s="447"/>
      <c r="CY25" s="447"/>
      <c r="CZ25" s="447"/>
      <c r="DA25" s="447"/>
      <c r="DB25" s="447"/>
      <c r="DC25" s="447"/>
      <c r="DD25" s="447"/>
      <c r="DE25" s="447"/>
      <c r="DF25" s="447"/>
      <c r="DG25" s="447"/>
      <c r="DH25" s="447"/>
      <c r="DI25" s="447"/>
      <c r="DJ25" s="447"/>
      <c r="DK25" s="447"/>
      <c r="DL25" s="447"/>
      <c r="DM25" s="447"/>
      <c r="DN25" s="447"/>
      <c r="DO25" s="447"/>
      <c r="DP25" s="447"/>
      <c r="DQ25" s="447"/>
      <c r="DR25" s="447"/>
      <c r="DS25" s="447"/>
      <c r="DT25" s="447"/>
      <c r="DU25" s="447"/>
      <c r="DV25" s="447"/>
      <c r="DW25" s="447"/>
      <c r="DX25" s="447"/>
      <c r="DY25" s="447"/>
      <c r="DZ25" s="447"/>
      <c r="EA25" s="447"/>
      <c r="EB25" s="447"/>
      <c r="EC25" s="447"/>
      <c r="ED25" s="447"/>
      <c r="EE25" s="447"/>
      <c r="EF25" s="447"/>
      <c r="EG25" s="447"/>
      <c r="EH25" s="447"/>
      <c r="EI25" s="447"/>
      <c r="EJ25" s="447"/>
      <c r="EK25" s="447"/>
      <c r="EL25" s="447"/>
      <c r="EM25" s="447"/>
      <c r="EN25" s="447"/>
      <c r="EO25" s="447"/>
      <c r="EP25" s="447"/>
      <c r="EQ25" s="447"/>
      <c r="ER25" s="447"/>
      <c r="ES25" s="447"/>
      <c r="ET25" s="447"/>
      <c r="EU25" s="447"/>
      <c r="EV25" s="447"/>
      <c r="EW25" s="447"/>
      <c r="EX25" s="447"/>
      <c r="EY25" s="447"/>
      <c r="EZ25" s="447"/>
      <c r="FA25" s="447"/>
      <c r="FB25" s="447"/>
      <c r="FC25" s="447"/>
      <c r="FD25" s="447"/>
      <c r="FE25" s="447"/>
      <c r="FF25" s="447"/>
      <c r="FG25" s="447"/>
      <c r="FH25" s="447"/>
      <c r="FI25" s="447"/>
      <c r="FJ25" s="447"/>
      <c r="FK25" s="447"/>
      <c r="FL25" s="447"/>
      <c r="FM25" s="447"/>
      <c r="FN25" s="447"/>
      <c r="FO25" s="447"/>
      <c r="FP25" s="447"/>
      <c r="FQ25" s="447"/>
      <c r="FR25" s="447"/>
      <c r="FS25" s="447"/>
      <c r="FT25" s="447"/>
      <c r="FU25" s="447"/>
      <c r="FV25" s="447"/>
      <c r="FW25" s="447"/>
      <c r="FX25" s="447"/>
      <c r="FY25" s="447"/>
      <c r="FZ25" s="447"/>
      <c r="GA25" s="447"/>
      <c r="GB25" s="447"/>
      <c r="GC25" s="447"/>
      <c r="GD25" s="447"/>
      <c r="GE25" s="447"/>
      <c r="GF25" s="447"/>
      <c r="GG25" s="447"/>
      <c r="GH25" s="447"/>
      <c r="GI25" s="447"/>
      <c r="GJ25" s="447"/>
      <c r="GK25" s="447"/>
      <c r="GL25" s="447"/>
      <c r="GM25" s="447"/>
      <c r="GN25" s="447"/>
      <c r="GO25" s="447"/>
      <c r="GP25" s="447"/>
      <c r="GQ25" s="447"/>
      <c r="GR25" s="447"/>
      <c r="GS25" s="447"/>
      <c r="GT25" s="447"/>
      <c r="GU25" s="447"/>
      <c r="GV25" s="447"/>
      <c r="GW25" s="447"/>
      <c r="GX25" s="447"/>
      <c r="GY25" s="447"/>
      <c r="GZ25" s="447"/>
      <c r="HA25" s="447"/>
      <c r="HB25" s="447"/>
      <c r="HC25" s="447"/>
      <c r="HD25" s="447"/>
      <c r="HE25" s="447"/>
      <c r="HF25" s="447"/>
      <c r="HG25" s="447"/>
      <c r="HH25" s="447"/>
      <c r="HI25" s="447"/>
      <c r="HJ25" s="447"/>
      <c r="HK25" s="447"/>
      <c r="HL25" s="447"/>
      <c r="HM25" s="447"/>
      <c r="HN25" s="447"/>
      <c r="HO25" s="447"/>
      <c r="HP25" s="447"/>
      <c r="HQ25" s="447"/>
      <c r="HR25" s="447"/>
      <c r="HS25" s="447"/>
      <c r="HT25" s="447"/>
      <c r="HU25" s="447"/>
      <c r="HV25" s="447"/>
      <c r="HW25" s="447"/>
      <c r="HX25" s="447"/>
      <c r="HY25" s="447"/>
      <c r="HZ25" s="447"/>
      <c r="IA25" s="447"/>
      <c r="IB25" s="447"/>
      <c r="IC25" s="447"/>
      <c r="ID25" s="447"/>
      <c r="IE25" s="447"/>
      <c r="IF25" s="447"/>
      <c r="IG25" s="447"/>
      <c r="IH25" s="447"/>
      <c r="II25" s="447"/>
      <c r="IJ25" s="447"/>
      <c r="IK25" s="447"/>
      <c r="IL25" s="447"/>
      <c r="IM25" s="447"/>
      <c r="IN25" s="447"/>
      <c r="IO25" s="447"/>
      <c r="IP25" s="447"/>
      <c r="IQ25" s="447"/>
      <c r="IR25" s="447"/>
    </row>
    <row r="26" spans="1:252" ht="19.899999999999999" customHeight="1">
      <c r="A26" s="561">
        <v>14</v>
      </c>
      <c r="B26" s="562" t="s">
        <v>1424</v>
      </c>
      <c r="C26" s="563" t="s">
        <v>109</v>
      </c>
      <c r="D26" s="564">
        <v>15.12</v>
      </c>
      <c r="E26" s="564">
        <v>15.12</v>
      </c>
      <c r="F26" s="569">
        <f t="shared" si="0"/>
        <v>0</v>
      </c>
      <c r="G26" s="446"/>
      <c r="H26" s="447"/>
      <c r="I26" s="447"/>
      <c r="J26" s="449"/>
      <c r="K26" s="447"/>
      <c r="L26" s="447"/>
      <c r="M26" s="447"/>
      <c r="N26" s="447"/>
      <c r="O26" s="447"/>
      <c r="P26" s="447"/>
      <c r="Q26" s="447"/>
      <c r="R26" s="447"/>
      <c r="S26" s="447"/>
      <c r="T26" s="447"/>
      <c r="U26" s="447"/>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AT26" s="447"/>
      <c r="AU26" s="447"/>
      <c r="AV26" s="447"/>
      <c r="AW26" s="447"/>
      <c r="AX26" s="447"/>
      <c r="AY26" s="447"/>
      <c r="AZ26" s="447"/>
      <c r="BA26" s="447"/>
      <c r="BB26" s="447"/>
      <c r="BC26" s="447"/>
      <c r="BD26" s="447"/>
      <c r="BE26" s="447"/>
      <c r="BF26" s="447"/>
      <c r="BG26" s="447"/>
      <c r="BH26" s="447"/>
      <c r="BI26" s="447"/>
      <c r="BJ26" s="447"/>
      <c r="BK26" s="447"/>
      <c r="BL26" s="447"/>
      <c r="BM26" s="447"/>
      <c r="BN26" s="447"/>
      <c r="BO26" s="447"/>
      <c r="BP26" s="447"/>
      <c r="BQ26" s="447"/>
      <c r="BR26" s="447"/>
      <c r="BS26" s="447"/>
      <c r="BT26" s="447"/>
      <c r="BU26" s="447"/>
      <c r="BV26" s="447"/>
      <c r="BW26" s="447"/>
      <c r="BX26" s="447"/>
      <c r="BY26" s="447"/>
      <c r="BZ26" s="447"/>
      <c r="CA26" s="447"/>
      <c r="CB26" s="447"/>
      <c r="CC26" s="447"/>
      <c r="CD26" s="447"/>
      <c r="CE26" s="447"/>
      <c r="CF26" s="447"/>
      <c r="CG26" s="447"/>
      <c r="CH26" s="447"/>
      <c r="CI26" s="447"/>
      <c r="CJ26" s="447"/>
      <c r="CK26" s="447"/>
      <c r="CL26" s="447"/>
      <c r="CM26" s="447"/>
      <c r="CN26" s="447"/>
      <c r="CO26" s="447"/>
      <c r="CP26" s="447"/>
      <c r="CQ26" s="447"/>
      <c r="CR26" s="447"/>
      <c r="CS26" s="447"/>
      <c r="CT26" s="447"/>
      <c r="CU26" s="447"/>
      <c r="CV26" s="447"/>
      <c r="CW26" s="447"/>
      <c r="CX26" s="447"/>
      <c r="CY26" s="447"/>
      <c r="CZ26" s="447"/>
      <c r="DA26" s="447"/>
      <c r="DB26" s="447"/>
      <c r="DC26" s="447"/>
      <c r="DD26" s="447"/>
      <c r="DE26" s="447"/>
      <c r="DF26" s="447"/>
      <c r="DG26" s="447"/>
      <c r="DH26" s="447"/>
      <c r="DI26" s="447"/>
      <c r="DJ26" s="447"/>
      <c r="DK26" s="447"/>
      <c r="DL26" s="447"/>
      <c r="DM26" s="447"/>
      <c r="DN26" s="447"/>
      <c r="DO26" s="447"/>
      <c r="DP26" s="447"/>
      <c r="DQ26" s="447"/>
      <c r="DR26" s="447"/>
      <c r="DS26" s="447"/>
      <c r="DT26" s="447"/>
      <c r="DU26" s="447"/>
      <c r="DV26" s="447"/>
      <c r="DW26" s="447"/>
      <c r="DX26" s="447"/>
      <c r="DY26" s="447"/>
      <c r="DZ26" s="447"/>
      <c r="EA26" s="447"/>
      <c r="EB26" s="447"/>
      <c r="EC26" s="447"/>
      <c r="ED26" s="447"/>
      <c r="EE26" s="447"/>
      <c r="EF26" s="447"/>
      <c r="EG26" s="447"/>
      <c r="EH26" s="447"/>
      <c r="EI26" s="447"/>
      <c r="EJ26" s="447"/>
      <c r="EK26" s="447"/>
      <c r="EL26" s="447"/>
      <c r="EM26" s="447"/>
      <c r="EN26" s="447"/>
      <c r="EO26" s="447"/>
      <c r="EP26" s="447"/>
      <c r="EQ26" s="447"/>
      <c r="ER26" s="447"/>
      <c r="ES26" s="447"/>
      <c r="ET26" s="447"/>
      <c r="EU26" s="447"/>
      <c r="EV26" s="447"/>
      <c r="EW26" s="447"/>
      <c r="EX26" s="447"/>
      <c r="EY26" s="447"/>
      <c r="EZ26" s="447"/>
      <c r="FA26" s="447"/>
      <c r="FB26" s="447"/>
      <c r="FC26" s="447"/>
      <c r="FD26" s="447"/>
      <c r="FE26" s="447"/>
      <c r="FF26" s="447"/>
      <c r="FG26" s="447"/>
      <c r="FH26" s="447"/>
      <c r="FI26" s="447"/>
      <c r="FJ26" s="447"/>
      <c r="FK26" s="447"/>
      <c r="FL26" s="447"/>
      <c r="FM26" s="447"/>
      <c r="FN26" s="447"/>
      <c r="FO26" s="447"/>
      <c r="FP26" s="447"/>
      <c r="FQ26" s="447"/>
      <c r="FR26" s="447"/>
      <c r="FS26" s="447"/>
      <c r="FT26" s="447"/>
      <c r="FU26" s="447"/>
      <c r="FV26" s="447"/>
      <c r="FW26" s="447"/>
      <c r="FX26" s="447"/>
      <c r="FY26" s="447"/>
      <c r="FZ26" s="447"/>
      <c r="GA26" s="447"/>
      <c r="GB26" s="447"/>
      <c r="GC26" s="447"/>
      <c r="GD26" s="447"/>
      <c r="GE26" s="447"/>
      <c r="GF26" s="447"/>
      <c r="GG26" s="447"/>
      <c r="GH26" s="447"/>
      <c r="GI26" s="447"/>
      <c r="GJ26" s="447"/>
      <c r="GK26" s="447"/>
      <c r="GL26" s="447"/>
      <c r="GM26" s="447"/>
      <c r="GN26" s="447"/>
      <c r="GO26" s="447"/>
      <c r="GP26" s="447"/>
      <c r="GQ26" s="447"/>
      <c r="GR26" s="447"/>
      <c r="GS26" s="447"/>
      <c r="GT26" s="447"/>
      <c r="GU26" s="447"/>
      <c r="GV26" s="447"/>
      <c r="GW26" s="447"/>
      <c r="GX26" s="447"/>
      <c r="GY26" s="447"/>
      <c r="GZ26" s="447"/>
      <c r="HA26" s="447"/>
      <c r="HB26" s="447"/>
      <c r="HC26" s="447"/>
      <c r="HD26" s="447"/>
      <c r="HE26" s="447"/>
      <c r="HF26" s="447"/>
      <c r="HG26" s="447"/>
      <c r="HH26" s="447"/>
      <c r="HI26" s="447"/>
      <c r="HJ26" s="447"/>
      <c r="HK26" s="447"/>
      <c r="HL26" s="447"/>
      <c r="HM26" s="447"/>
      <c r="HN26" s="447"/>
      <c r="HO26" s="447"/>
      <c r="HP26" s="447"/>
      <c r="HQ26" s="447"/>
      <c r="HR26" s="447"/>
      <c r="HS26" s="447"/>
      <c r="HT26" s="447"/>
      <c r="HU26" s="447"/>
      <c r="HV26" s="447"/>
      <c r="HW26" s="447"/>
      <c r="HX26" s="447"/>
      <c r="HY26" s="447"/>
      <c r="HZ26" s="447"/>
      <c r="IA26" s="447"/>
      <c r="IB26" s="447"/>
      <c r="IC26" s="447"/>
      <c r="ID26" s="447"/>
      <c r="IE26" s="447"/>
      <c r="IF26" s="447"/>
      <c r="IG26" s="447"/>
      <c r="IH26" s="447"/>
      <c r="II26" s="447"/>
      <c r="IJ26" s="447"/>
      <c r="IK26" s="447"/>
      <c r="IL26" s="447"/>
      <c r="IM26" s="447"/>
      <c r="IN26" s="447"/>
      <c r="IO26" s="447"/>
      <c r="IP26" s="447"/>
      <c r="IQ26" s="447"/>
      <c r="IR26" s="447"/>
    </row>
    <row r="27" spans="1:252" ht="47.25">
      <c r="A27" s="561">
        <v>15</v>
      </c>
      <c r="B27" s="562" t="s">
        <v>1425</v>
      </c>
      <c r="C27" s="563" t="s">
        <v>109</v>
      </c>
      <c r="D27" s="564">
        <v>15.12</v>
      </c>
      <c r="E27" s="564">
        <v>15.12</v>
      </c>
      <c r="F27" s="569">
        <f t="shared" si="0"/>
        <v>0</v>
      </c>
      <c r="G27" s="446"/>
      <c r="H27" s="447"/>
      <c r="I27" s="447"/>
      <c r="J27" s="449"/>
      <c r="K27" s="447"/>
      <c r="L27" s="447"/>
      <c r="M27" s="447"/>
      <c r="N27" s="447"/>
      <c r="O27" s="447"/>
      <c r="P27" s="447"/>
      <c r="Q27" s="447"/>
      <c r="R27" s="447"/>
      <c r="S27" s="447"/>
      <c r="T27" s="447"/>
      <c r="U27" s="447"/>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B27" s="447"/>
      <c r="BC27" s="447"/>
      <c r="BD27" s="447"/>
      <c r="BE27" s="447"/>
      <c r="BF27" s="447"/>
      <c r="BG27" s="447"/>
      <c r="BH27" s="447"/>
      <c r="BI27" s="447"/>
      <c r="BJ27" s="447"/>
      <c r="BK27" s="447"/>
      <c r="BL27" s="447"/>
      <c r="BM27" s="447"/>
      <c r="BN27" s="447"/>
      <c r="BO27" s="447"/>
      <c r="BP27" s="447"/>
      <c r="BQ27" s="447"/>
      <c r="BR27" s="447"/>
      <c r="BS27" s="447"/>
      <c r="BT27" s="447"/>
      <c r="BU27" s="447"/>
      <c r="BV27" s="447"/>
      <c r="BW27" s="447"/>
      <c r="BX27" s="447"/>
      <c r="BY27" s="447"/>
      <c r="BZ27" s="447"/>
      <c r="CA27" s="447"/>
      <c r="CB27" s="447"/>
      <c r="CC27" s="447"/>
      <c r="CD27" s="447"/>
      <c r="CE27" s="447"/>
      <c r="CF27" s="447"/>
      <c r="CG27" s="447"/>
      <c r="CH27" s="447"/>
      <c r="CI27" s="447"/>
      <c r="CJ27" s="447"/>
      <c r="CK27" s="447"/>
      <c r="CL27" s="447"/>
      <c r="CM27" s="447"/>
      <c r="CN27" s="447"/>
      <c r="CO27" s="447"/>
      <c r="CP27" s="447"/>
      <c r="CQ27" s="447"/>
      <c r="CR27" s="447"/>
      <c r="CS27" s="447"/>
      <c r="CT27" s="447"/>
      <c r="CU27" s="447"/>
      <c r="CV27" s="447"/>
      <c r="CW27" s="447"/>
      <c r="CX27" s="447"/>
      <c r="CY27" s="447"/>
      <c r="CZ27" s="447"/>
      <c r="DA27" s="447"/>
      <c r="DB27" s="447"/>
      <c r="DC27" s="447"/>
      <c r="DD27" s="447"/>
      <c r="DE27" s="447"/>
      <c r="DF27" s="447"/>
      <c r="DG27" s="447"/>
      <c r="DH27" s="447"/>
      <c r="DI27" s="447"/>
      <c r="DJ27" s="447"/>
      <c r="DK27" s="447"/>
      <c r="DL27" s="447"/>
      <c r="DM27" s="447"/>
      <c r="DN27" s="447"/>
      <c r="DO27" s="447"/>
      <c r="DP27" s="447"/>
      <c r="DQ27" s="447"/>
      <c r="DR27" s="447"/>
      <c r="DS27" s="447"/>
      <c r="DT27" s="447"/>
      <c r="DU27" s="447"/>
      <c r="DV27" s="447"/>
      <c r="DW27" s="447"/>
      <c r="DX27" s="447"/>
      <c r="DY27" s="447"/>
      <c r="DZ27" s="447"/>
      <c r="EA27" s="447"/>
      <c r="EB27" s="447"/>
      <c r="EC27" s="447"/>
      <c r="ED27" s="447"/>
      <c r="EE27" s="447"/>
      <c r="EF27" s="447"/>
      <c r="EG27" s="447"/>
      <c r="EH27" s="447"/>
      <c r="EI27" s="447"/>
      <c r="EJ27" s="447"/>
      <c r="EK27" s="447"/>
      <c r="EL27" s="447"/>
      <c r="EM27" s="447"/>
      <c r="EN27" s="447"/>
      <c r="EO27" s="447"/>
      <c r="EP27" s="447"/>
      <c r="EQ27" s="447"/>
      <c r="ER27" s="447"/>
      <c r="ES27" s="447"/>
      <c r="ET27" s="447"/>
      <c r="EU27" s="447"/>
      <c r="EV27" s="447"/>
      <c r="EW27" s="447"/>
      <c r="EX27" s="447"/>
      <c r="EY27" s="447"/>
      <c r="EZ27" s="447"/>
      <c r="FA27" s="447"/>
      <c r="FB27" s="447"/>
      <c r="FC27" s="447"/>
      <c r="FD27" s="447"/>
      <c r="FE27" s="447"/>
      <c r="FF27" s="447"/>
      <c r="FG27" s="447"/>
      <c r="FH27" s="447"/>
      <c r="FI27" s="447"/>
      <c r="FJ27" s="447"/>
      <c r="FK27" s="447"/>
      <c r="FL27" s="447"/>
      <c r="FM27" s="447"/>
      <c r="FN27" s="447"/>
      <c r="FO27" s="447"/>
      <c r="FP27" s="447"/>
      <c r="FQ27" s="447"/>
      <c r="FR27" s="447"/>
      <c r="FS27" s="447"/>
      <c r="FT27" s="447"/>
      <c r="FU27" s="447"/>
      <c r="FV27" s="447"/>
      <c r="FW27" s="447"/>
      <c r="FX27" s="447"/>
      <c r="FY27" s="447"/>
      <c r="FZ27" s="447"/>
      <c r="GA27" s="447"/>
      <c r="GB27" s="447"/>
      <c r="GC27" s="447"/>
      <c r="GD27" s="447"/>
      <c r="GE27" s="447"/>
      <c r="GF27" s="447"/>
      <c r="GG27" s="447"/>
      <c r="GH27" s="447"/>
      <c r="GI27" s="447"/>
      <c r="GJ27" s="447"/>
      <c r="GK27" s="447"/>
      <c r="GL27" s="447"/>
      <c r="GM27" s="447"/>
      <c r="GN27" s="447"/>
      <c r="GO27" s="447"/>
      <c r="GP27" s="447"/>
      <c r="GQ27" s="447"/>
      <c r="GR27" s="447"/>
      <c r="GS27" s="447"/>
      <c r="GT27" s="447"/>
      <c r="GU27" s="447"/>
      <c r="GV27" s="447"/>
      <c r="GW27" s="447"/>
      <c r="GX27" s="447"/>
      <c r="GY27" s="447"/>
      <c r="GZ27" s="447"/>
      <c r="HA27" s="447"/>
      <c r="HB27" s="447"/>
      <c r="HC27" s="447"/>
      <c r="HD27" s="447"/>
      <c r="HE27" s="447"/>
      <c r="HF27" s="447"/>
      <c r="HG27" s="447"/>
      <c r="HH27" s="447"/>
      <c r="HI27" s="447"/>
      <c r="HJ27" s="447"/>
      <c r="HK27" s="447"/>
      <c r="HL27" s="447"/>
      <c r="HM27" s="447"/>
      <c r="HN27" s="447"/>
      <c r="HO27" s="447"/>
      <c r="HP27" s="447"/>
      <c r="HQ27" s="447"/>
      <c r="HR27" s="447"/>
      <c r="HS27" s="447"/>
      <c r="HT27" s="447"/>
      <c r="HU27" s="447"/>
      <c r="HV27" s="447"/>
      <c r="HW27" s="447"/>
      <c r="HX27" s="447"/>
      <c r="HY27" s="447"/>
      <c r="HZ27" s="447"/>
      <c r="IA27" s="447"/>
      <c r="IB27" s="447"/>
      <c r="IC27" s="447"/>
      <c r="ID27" s="447"/>
      <c r="IE27" s="447"/>
      <c r="IF27" s="447"/>
      <c r="IG27" s="447"/>
      <c r="IH27" s="447"/>
      <c r="II27" s="447"/>
      <c r="IJ27" s="447"/>
      <c r="IK27" s="447"/>
      <c r="IL27" s="447"/>
      <c r="IM27" s="447"/>
      <c r="IN27" s="447"/>
      <c r="IO27" s="447"/>
      <c r="IP27" s="447"/>
      <c r="IQ27" s="447"/>
      <c r="IR27" s="447"/>
    </row>
    <row r="28" spans="1:252" ht="47.25">
      <c r="A28" s="561">
        <v>16</v>
      </c>
      <c r="B28" s="562" t="s">
        <v>1426</v>
      </c>
      <c r="C28" s="563" t="s">
        <v>109</v>
      </c>
      <c r="D28" s="564">
        <v>50.988</v>
      </c>
      <c r="E28" s="564">
        <v>42.849999999999994</v>
      </c>
      <c r="F28" s="574">
        <f t="shared" si="0"/>
        <v>-8.1380000000000052</v>
      </c>
      <c r="G28" s="446"/>
      <c r="H28" s="447"/>
      <c r="I28" s="447"/>
      <c r="J28" s="449"/>
      <c r="K28" s="447"/>
      <c r="L28" s="447"/>
      <c r="M28" s="447"/>
      <c r="N28" s="447"/>
      <c r="O28" s="447"/>
      <c r="P28" s="447"/>
      <c r="Q28" s="447"/>
      <c r="R28" s="447"/>
      <c r="S28" s="447"/>
      <c r="T28" s="447"/>
      <c r="U28" s="447"/>
      <c r="V28" s="447"/>
      <c r="W28" s="447"/>
      <c r="X28" s="447"/>
      <c r="Y28" s="447"/>
      <c r="Z28" s="447"/>
      <c r="AA28" s="447"/>
      <c r="AB28" s="447"/>
      <c r="AC28" s="447"/>
      <c r="AD28" s="447"/>
      <c r="AE28" s="447"/>
      <c r="AF28" s="447"/>
      <c r="AG28" s="447"/>
      <c r="AH28" s="447"/>
      <c r="AI28" s="447"/>
      <c r="AJ28" s="447"/>
      <c r="AK28" s="447"/>
      <c r="AL28" s="447"/>
      <c r="AM28" s="447"/>
      <c r="AN28" s="447"/>
      <c r="AO28" s="447"/>
      <c r="AP28" s="447"/>
      <c r="AQ28" s="447"/>
      <c r="AR28" s="447"/>
      <c r="AS28" s="447"/>
      <c r="AT28" s="447"/>
      <c r="AU28" s="447"/>
      <c r="AV28" s="447"/>
      <c r="AW28" s="447"/>
      <c r="AX28" s="447"/>
      <c r="AY28" s="447"/>
      <c r="AZ28" s="447"/>
      <c r="BA28" s="447"/>
      <c r="BB28" s="447"/>
      <c r="BC28" s="447"/>
      <c r="BD28" s="447"/>
      <c r="BE28" s="447"/>
      <c r="BF28" s="447"/>
      <c r="BG28" s="447"/>
      <c r="BH28" s="447"/>
      <c r="BI28" s="447"/>
      <c r="BJ28" s="447"/>
      <c r="BK28" s="447"/>
      <c r="BL28" s="447"/>
      <c r="BM28" s="447"/>
      <c r="BN28" s="447"/>
      <c r="BO28" s="447"/>
      <c r="BP28" s="447"/>
      <c r="BQ28" s="447"/>
      <c r="BR28" s="447"/>
      <c r="BS28" s="447"/>
      <c r="BT28" s="447"/>
      <c r="BU28" s="447"/>
      <c r="BV28" s="447"/>
      <c r="BW28" s="447"/>
      <c r="BX28" s="447"/>
      <c r="BY28" s="447"/>
      <c r="BZ28" s="447"/>
      <c r="CA28" s="447"/>
      <c r="CB28" s="447"/>
      <c r="CC28" s="447"/>
      <c r="CD28" s="447"/>
      <c r="CE28" s="447"/>
      <c r="CF28" s="447"/>
      <c r="CG28" s="447"/>
      <c r="CH28" s="447"/>
      <c r="CI28" s="447"/>
      <c r="CJ28" s="447"/>
      <c r="CK28" s="447"/>
      <c r="CL28" s="447"/>
      <c r="CM28" s="447"/>
      <c r="CN28" s="447"/>
      <c r="CO28" s="447"/>
      <c r="CP28" s="447"/>
      <c r="CQ28" s="447"/>
      <c r="CR28" s="447"/>
      <c r="CS28" s="447"/>
      <c r="CT28" s="447"/>
      <c r="CU28" s="447"/>
      <c r="CV28" s="447"/>
      <c r="CW28" s="447"/>
      <c r="CX28" s="447"/>
      <c r="CY28" s="447"/>
      <c r="CZ28" s="447"/>
      <c r="DA28" s="447"/>
      <c r="DB28" s="447"/>
      <c r="DC28" s="447"/>
      <c r="DD28" s="447"/>
      <c r="DE28" s="447"/>
      <c r="DF28" s="447"/>
      <c r="DG28" s="447"/>
      <c r="DH28" s="447"/>
      <c r="DI28" s="447"/>
      <c r="DJ28" s="447"/>
      <c r="DK28" s="447"/>
      <c r="DL28" s="447"/>
      <c r="DM28" s="447"/>
      <c r="DN28" s="447"/>
      <c r="DO28" s="447"/>
      <c r="DP28" s="447"/>
      <c r="DQ28" s="447"/>
      <c r="DR28" s="447"/>
      <c r="DS28" s="447"/>
      <c r="DT28" s="447"/>
      <c r="DU28" s="447"/>
      <c r="DV28" s="447"/>
      <c r="DW28" s="447"/>
      <c r="DX28" s="447"/>
      <c r="DY28" s="447"/>
      <c r="DZ28" s="447"/>
      <c r="EA28" s="447"/>
      <c r="EB28" s="447"/>
      <c r="EC28" s="447"/>
      <c r="ED28" s="447"/>
      <c r="EE28" s="447"/>
      <c r="EF28" s="447"/>
      <c r="EG28" s="447"/>
      <c r="EH28" s="447"/>
      <c r="EI28" s="447"/>
      <c r="EJ28" s="447"/>
      <c r="EK28" s="447"/>
      <c r="EL28" s="447"/>
      <c r="EM28" s="447"/>
      <c r="EN28" s="447"/>
      <c r="EO28" s="447"/>
      <c r="EP28" s="447"/>
      <c r="EQ28" s="447"/>
      <c r="ER28" s="447"/>
      <c r="ES28" s="447"/>
      <c r="ET28" s="447"/>
      <c r="EU28" s="447"/>
      <c r="EV28" s="447"/>
      <c r="EW28" s="447"/>
      <c r="EX28" s="447"/>
      <c r="EY28" s="447"/>
      <c r="EZ28" s="447"/>
      <c r="FA28" s="447"/>
      <c r="FB28" s="447"/>
      <c r="FC28" s="447"/>
      <c r="FD28" s="447"/>
      <c r="FE28" s="447"/>
      <c r="FF28" s="447"/>
      <c r="FG28" s="447"/>
      <c r="FH28" s="447"/>
      <c r="FI28" s="447"/>
      <c r="FJ28" s="447"/>
      <c r="FK28" s="447"/>
      <c r="FL28" s="447"/>
      <c r="FM28" s="447"/>
      <c r="FN28" s="447"/>
      <c r="FO28" s="447"/>
      <c r="FP28" s="447"/>
      <c r="FQ28" s="447"/>
      <c r="FR28" s="447"/>
      <c r="FS28" s="447"/>
      <c r="FT28" s="447"/>
      <c r="FU28" s="447"/>
      <c r="FV28" s="447"/>
      <c r="FW28" s="447"/>
      <c r="FX28" s="447"/>
      <c r="FY28" s="447"/>
      <c r="FZ28" s="447"/>
      <c r="GA28" s="447"/>
      <c r="GB28" s="447"/>
      <c r="GC28" s="447"/>
      <c r="GD28" s="447"/>
      <c r="GE28" s="447"/>
      <c r="GF28" s="447"/>
      <c r="GG28" s="447"/>
      <c r="GH28" s="447"/>
      <c r="GI28" s="447"/>
      <c r="GJ28" s="447"/>
      <c r="GK28" s="447"/>
      <c r="GL28" s="447"/>
      <c r="GM28" s="447"/>
      <c r="GN28" s="447"/>
      <c r="GO28" s="447"/>
      <c r="GP28" s="447"/>
      <c r="GQ28" s="447"/>
      <c r="GR28" s="447"/>
      <c r="GS28" s="447"/>
      <c r="GT28" s="447"/>
      <c r="GU28" s="447"/>
      <c r="GV28" s="447"/>
      <c r="GW28" s="447"/>
      <c r="GX28" s="447"/>
      <c r="GY28" s="447"/>
      <c r="GZ28" s="447"/>
      <c r="HA28" s="447"/>
      <c r="HB28" s="447"/>
      <c r="HC28" s="447"/>
      <c r="HD28" s="447"/>
      <c r="HE28" s="447"/>
      <c r="HF28" s="447"/>
      <c r="HG28" s="447"/>
      <c r="HH28" s="447"/>
      <c r="HI28" s="447"/>
      <c r="HJ28" s="447"/>
      <c r="HK28" s="447"/>
      <c r="HL28" s="447"/>
      <c r="HM28" s="447"/>
      <c r="HN28" s="447"/>
      <c r="HO28" s="447"/>
      <c r="HP28" s="447"/>
      <c r="HQ28" s="447"/>
      <c r="HR28" s="447"/>
      <c r="HS28" s="447"/>
      <c r="HT28" s="447"/>
      <c r="HU28" s="447"/>
      <c r="HV28" s="447"/>
      <c r="HW28" s="447"/>
      <c r="HX28" s="447"/>
      <c r="HY28" s="447"/>
      <c r="HZ28" s="447"/>
      <c r="IA28" s="447"/>
      <c r="IB28" s="447"/>
      <c r="IC28" s="447"/>
      <c r="ID28" s="447"/>
      <c r="IE28" s="447"/>
      <c r="IF28" s="447"/>
      <c r="IG28" s="447"/>
      <c r="IH28" s="447"/>
      <c r="II28" s="447"/>
      <c r="IJ28" s="447"/>
      <c r="IK28" s="447"/>
      <c r="IL28" s="447"/>
      <c r="IM28" s="447"/>
      <c r="IN28" s="447"/>
      <c r="IO28" s="447"/>
      <c r="IP28" s="447"/>
      <c r="IQ28" s="447"/>
      <c r="IR28" s="447"/>
    </row>
    <row r="29" spans="1:252" ht="31.5">
      <c r="A29" s="561">
        <v>17</v>
      </c>
      <c r="B29" s="562" t="s">
        <v>1427</v>
      </c>
      <c r="C29" s="563" t="s">
        <v>109</v>
      </c>
      <c r="D29" s="564">
        <v>11.25</v>
      </c>
      <c r="E29" s="564">
        <v>11.25</v>
      </c>
      <c r="F29" s="569">
        <f t="shared" si="0"/>
        <v>0</v>
      </c>
      <c r="G29" s="446"/>
      <c r="H29" s="447"/>
      <c r="I29" s="447"/>
      <c r="J29" s="449"/>
      <c r="K29" s="447"/>
      <c r="L29" s="447"/>
      <c r="M29" s="447"/>
      <c r="N29" s="447"/>
      <c r="O29" s="447"/>
      <c r="P29" s="447"/>
      <c r="Q29" s="447"/>
      <c r="R29" s="447"/>
      <c r="S29" s="447"/>
      <c r="T29" s="447"/>
      <c r="U29" s="447"/>
      <c r="V29" s="447"/>
      <c r="W29" s="447"/>
      <c r="X29" s="447"/>
      <c r="Y29" s="447"/>
      <c r="Z29" s="447"/>
      <c r="AA29" s="447"/>
      <c r="AB29" s="447"/>
      <c r="AC29" s="447"/>
      <c r="AD29" s="447"/>
      <c r="AE29" s="447"/>
      <c r="AF29" s="447"/>
      <c r="AG29" s="447"/>
      <c r="AH29" s="447"/>
      <c r="AI29" s="447"/>
      <c r="AJ29" s="447"/>
      <c r="AK29" s="447"/>
      <c r="AL29" s="447"/>
      <c r="AM29" s="447"/>
      <c r="AN29" s="447"/>
      <c r="AO29" s="447"/>
      <c r="AP29" s="447"/>
      <c r="AQ29" s="447"/>
      <c r="AR29" s="447"/>
      <c r="AS29" s="447"/>
      <c r="AT29" s="447"/>
      <c r="AU29" s="447"/>
      <c r="AV29" s="447"/>
      <c r="AW29" s="447"/>
      <c r="AX29" s="447"/>
      <c r="AY29" s="447"/>
      <c r="AZ29" s="447"/>
      <c r="BA29" s="447"/>
      <c r="BB29" s="447"/>
      <c r="BC29" s="447"/>
      <c r="BD29" s="447"/>
      <c r="BE29" s="447"/>
      <c r="BF29" s="447"/>
      <c r="BG29" s="447"/>
      <c r="BH29" s="447"/>
      <c r="BI29" s="447"/>
      <c r="BJ29" s="447"/>
      <c r="BK29" s="447"/>
      <c r="BL29" s="447"/>
      <c r="BM29" s="447"/>
      <c r="BN29" s="447"/>
      <c r="BO29" s="447"/>
      <c r="BP29" s="447"/>
      <c r="BQ29" s="447"/>
      <c r="BR29" s="447"/>
      <c r="BS29" s="447"/>
      <c r="BT29" s="447"/>
      <c r="BU29" s="447"/>
      <c r="BV29" s="447"/>
      <c r="BW29" s="447"/>
      <c r="BX29" s="447"/>
      <c r="BY29" s="447"/>
      <c r="BZ29" s="447"/>
      <c r="CA29" s="447"/>
      <c r="CB29" s="447"/>
      <c r="CC29" s="447"/>
      <c r="CD29" s="447"/>
      <c r="CE29" s="447"/>
      <c r="CF29" s="447"/>
      <c r="CG29" s="447"/>
      <c r="CH29" s="447"/>
      <c r="CI29" s="447"/>
      <c r="CJ29" s="447"/>
      <c r="CK29" s="447"/>
      <c r="CL29" s="447"/>
      <c r="CM29" s="447"/>
      <c r="CN29" s="447"/>
      <c r="CO29" s="447"/>
      <c r="CP29" s="447"/>
      <c r="CQ29" s="447"/>
      <c r="CR29" s="447"/>
      <c r="CS29" s="447"/>
      <c r="CT29" s="447"/>
      <c r="CU29" s="447"/>
      <c r="CV29" s="447"/>
      <c r="CW29" s="447"/>
      <c r="CX29" s="447"/>
      <c r="CY29" s="447"/>
      <c r="CZ29" s="447"/>
      <c r="DA29" s="447"/>
      <c r="DB29" s="447"/>
      <c r="DC29" s="447"/>
      <c r="DD29" s="447"/>
      <c r="DE29" s="447"/>
      <c r="DF29" s="447"/>
      <c r="DG29" s="447"/>
      <c r="DH29" s="447"/>
      <c r="DI29" s="447"/>
      <c r="DJ29" s="447"/>
      <c r="DK29" s="447"/>
      <c r="DL29" s="447"/>
      <c r="DM29" s="447"/>
      <c r="DN29" s="447"/>
      <c r="DO29" s="447"/>
      <c r="DP29" s="447"/>
      <c r="DQ29" s="447"/>
      <c r="DR29" s="447"/>
      <c r="DS29" s="447"/>
      <c r="DT29" s="447"/>
      <c r="DU29" s="447"/>
      <c r="DV29" s="447"/>
      <c r="DW29" s="447"/>
      <c r="DX29" s="447"/>
      <c r="DY29" s="447"/>
      <c r="DZ29" s="447"/>
      <c r="EA29" s="447"/>
      <c r="EB29" s="447"/>
      <c r="EC29" s="447"/>
      <c r="ED29" s="447"/>
      <c r="EE29" s="447"/>
      <c r="EF29" s="447"/>
      <c r="EG29" s="447"/>
      <c r="EH29" s="447"/>
      <c r="EI29" s="447"/>
      <c r="EJ29" s="447"/>
      <c r="EK29" s="447"/>
      <c r="EL29" s="447"/>
      <c r="EM29" s="447"/>
      <c r="EN29" s="447"/>
      <c r="EO29" s="447"/>
      <c r="EP29" s="447"/>
      <c r="EQ29" s="447"/>
      <c r="ER29" s="447"/>
      <c r="ES29" s="447"/>
      <c r="ET29" s="447"/>
      <c r="EU29" s="447"/>
      <c r="EV29" s="447"/>
      <c r="EW29" s="447"/>
      <c r="EX29" s="447"/>
      <c r="EY29" s="447"/>
      <c r="EZ29" s="447"/>
      <c r="FA29" s="447"/>
      <c r="FB29" s="447"/>
      <c r="FC29" s="447"/>
      <c r="FD29" s="447"/>
      <c r="FE29" s="447"/>
      <c r="FF29" s="447"/>
      <c r="FG29" s="447"/>
      <c r="FH29" s="447"/>
      <c r="FI29" s="447"/>
      <c r="FJ29" s="447"/>
      <c r="FK29" s="447"/>
      <c r="FL29" s="447"/>
      <c r="FM29" s="447"/>
      <c r="FN29" s="447"/>
      <c r="FO29" s="447"/>
      <c r="FP29" s="447"/>
      <c r="FQ29" s="447"/>
      <c r="FR29" s="447"/>
      <c r="FS29" s="447"/>
      <c r="FT29" s="447"/>
      <c r="FU29" s="447"/>
      <c r="FV29" s="447"/>
      <c r="FW29" s="447"/>
      <c r="FX29" s="447"/>
      <c r="FY29" s="447"/>
      <c r="FZ29" s="447"/>
      <c r="GA29" s="447"/>
      <c r="GB29" s="447"/>
      <c r="GC29" s="447"/>
      <c r="GD29" s="447"/>
      <c r="GE29" s="447"/>
      <c r="GF29" s="447"/>
      <c r="GG29" s="447"/>
      <c r="GH29" s="447"/>
      <c r="GI29" s="447"/>
      <c r="GJ29" s="447"/>
      <c r="GK29" s="447"/>
      <c r="GL29" s="447"/>
      <c r="GM29" s="447"/>
      <c r="GN29" s="447"/>
      <c r="GO29" s="447"/>
      <c r="GP29" s="447"/>
      <c r="GQ29" s="447"/>
      <c r="GR29" s="447"/>
      <c r="GS29" s="447"/>
      <c r="GT29" s="447"/>
      <c r="GU29" s="447"/>
      <c r="GV29" s="447"/>
      <c r="GW29" s="447"/>
      <c r="GX29" s="447"/>
      <c r="GY29" s="447"/>
      <c r="GZ29" s="447"/>
      <c r="HA29" s="447"/>
      <c r="HB29" s="447"/>
      <c r="HC29" s="447"/>
      <c r="HD29" s="447"/>
      <c r="HE29" s="447"/>
      <c r="HF29" s="447"/>
      <c r="HG29" s="447"/>
      <c r="HH29" s="447"/>
      <c r="HI29" s="447"/>
      <c r="HJ29" s="447"/>
      <c r="HK29" s="447"/>
      <c r="HL29" s="447"/>
      <c r="HM29" s="447"/>
      <c r="HN29" s="447"/>
      <c r="HO29" s="447"/>
      <c r="HP29" s="447"/>
      <c r="HQ29" s="447"/>
      <c r="HR29" s="447"/>
      <c r="HS29" s="447"/>
      <c r="HT29" s="447"/>
      <c r="HU29" s="447"/>
      <c r="HV29" s="447"/>
      <c r="HW29" s="447"/>
      <c r="HX29" s="447"/>
      <c r="HY29" s="447"/>
      <c r="HZ29" s="447"/>
      <c r="IA29" s="447"/>
      <c r="IB29" s="447"/>
      <c r="IC29" s="447"/>
      <c r="ID29" s="447"/>
      <c r="IE29" s="447"/>
      <c r="IF29" s="447"/>
      <c r="IG29" s="447"/>
      <c r="IH29" s="447"/>
      <c r="II29" s="447"/>
      <c r="IJ29" s="447"/>
      <c r="IK29" s="447"/>
      <c r="IL29" s="447"/>
      <c r="IM29" s="447"/>
      <c r="IN29" s="447"/>
      <c r="IO29" s="447"/>
      <c r="IP29" s="447"/>
      <c r="IQ29" s="447"/>
      <c r="IR29" s="447"/>
    </row>
    <row r="30" spans="1:252" ht="31.5">
      <c r="A30" s="561">
        <v>18</v>
      </c>
      <c r="B30" s="562" t="s">
        <v>1428</v>
      </c>
      <c r="C30" s="563" t="s">
        <v>109</v>
      </c>
      <c r="D30" s="564">
        <v>1.391</v>
      </c>
      <c r="E30" s="564">
        <v>1.391</v>
      </c>
      <c r="F30" s="569">
        <f t="shared" si="0"/>
        <v>0</v>
      </c>
      <c r="G30" s="446"/>
      <c r="H30" s="447"/>
      <c r="I30" s="447"/>
      <c r="J30" s="449"/>
      <c r="K30" s="447"/>
      <c r="L30" s="447"/>
      <c r="M30" s="447"/>
      <c r="N30" s="447"/>
      <c r="O30" s="447"/>
      <c r="P30" s="447"/>
      <c r="Q30" s="447"/>
      <c r="R30" s="447"/>
      <c r="S30" s="447"/>
      <c r="T30" s="447"/>
      <c r="U30" s="447"/>
      <c r="V30" s="447"/>
      <c r="W30" s="447"/>
      <c r="X30" s="447"/>
      <c r="Y30" s="447"/>
      <c r="Z30" s="447"/>
      <c r="AA30" s="447"/>
      <c r="AB30" s="447"/>
      <c r="AC30" s="447"/>
      <c r="AD30" s="447"/>
      <c r="AE30" s="447"/>
      <c r="AF30" s="447"/>
      <c r="AG30" s="447"/>
      <c r="AH30" s="447"/>
      <c r="AI30" s="447"/>
      <c r="AJ30" s="447"/>
      <c r="AK30" s="447"/>
      <c r="AL30" s="447"/>
      <c r="AM30" s="447"/>
      <c r="AN30" s="447"/>
      <c r="AO30" s="447"/>
      <c r="AP30" s="447"/>
      <c r="AQ30" s="447"/>
      <c r="AR30" s="447"/>
      <c r="AS30" s="447"/>
      <c r="AT30" s="447"/>
      <c r="AU30" s="447"/>
      <c r="AV30" s="447"/>
      <c r="AW30" s="447"/>
      <c r="AX30" s="447"/>
      <c r="AY30" s="447"/>
      <c r="AZ30" s="447"/>
      <c r="BA30" s="447"/>
      <c r="BB30" s="447"/>
      <c r="BC30" s="447"/>
      <c r="BD30" s="447"/>
      <c r="BE30" s="447"/>
      <c r="BF30" s="447"/>
      <c r="BG30" s="447"/>
      <c r="BH30" s="447"/>
      <c r="BI30" s="447"/>
      <c r="BJ30" s="447"/>
      <c r="BK30" s="447"/>
      <c r="BL30" s="447"/>
      <c r="BM30" s="447"/>
      <c r="BN30" s="447"/>
      <c r="BO30" s="447"/>
      <c r="BP30" s="447"/>
      <c r="BQ30" s="447"/>
      <c r="BR30" s="447"/>
      <c r="BS30" s="447"/>
      <c r="BT30" s="447"/>
      <c r="BU30" s="447"/>
      <c r="BV30" s="447"/>
      <c r="BW30" s="447"/>
      <c r="BX30" s="447"/>
      <c r="BY30" s="447"/>
      <c r="BZ30" s="447"/>
      <c r="CA30" s="447"/>
      <c r="CB30" s="447"/>
      <c r="CC30" s="447"/>
      <c r="CD30" s="447"/>
      <c r="CE30" s="447"/>
      <c r="CF30" s="447"/>
      <c r="CG30" s="447"/>
      <c r="CH30" s="447"/>
      <c r="CI30" s="447"/>
      <c r="CJ30" s="447"/>
      <c r="CK30" s="447"/>
      <c r="CL30" s="447"/>
      <c r="CM30" s="447"/>
      <c r="CN30" s="447"/>
      <c r="CO30" s="447"/>
      <c r="CP30" s="447"/>
      <c r="CQ30" s="447"/>
      <c r="CR30" s="447"/>
      <c r="CS30" s="447"/>
      <c r="CT30" s="447"/>
      <c r="CU30" s="447"/>
      <c r="CV30" s="447"/>
      <c r="CW30" s="447"/>
      <c r="CX30" s="447"/>
      <c r="CY30" s="447"/>
      <c r="CZ30" s="447"/>
      <c r="DA30" s="447"/>
      <c r="DB30" s="447"/>
      <c r="DC30" s="447"/>
      <c r="DD30" s="447"/>
      <c r="DE30" s="447"/>
      <c r="DF30" s="447"/>
      <c r="DG30" s="447"/>
      <c r="DH30" s="447"/>
      <c r="DI30" s="447"/>
      <c r="DJ30" s="447"/>
      <c r="DK30" s="447"/>
      <c r="DL30" s="447"/>
      <c r="DM30" s="447"/>
      <c r="DN30" s="447"/>
      <c r="DO30" s="447"/>
      <c r="DP30" s="447"/>
      <c r="DQ30" s="447"/>
      <c r="DR30" s="447"/>
      <c r="DS30" s="447"/>
      <c r="DT30" s="447"/>
      <c r="DU30" s="447"/>
      <c r="DV30" s="447"/>
      <c r="DW30" s="447"/>
      <c r="DX30" s="447"/>
      <c r="DY30" s="447"/>
      <c r="DZ30" s="447"/>
      <c r="EA30" s="447"/>
      <c r="EB30" s="447"/>
      <c r="EC30" s="447"/>
      <c r="ED30" s="447"/>
      <c r="EE30" s="447"/>
      <c r="EF30" s="447"/>
      <c r="EG30" s="447"/>
      <c r="EH30" s="447"/>
      <c r="EI30" s="447"/>
      <c r="EJ30" s="447"/>
      <c r="EK30" s="447"/>
      <c r="EL30" s="447"/>
      <c r="EM30" s="447"/>
      <c r="EN30" s="447"/>
      <c r="EO30" s="447"/>
      <c r="EP30" s="447"/>
      <c r="EQ30" s="447"/>
      <c r="ER30" s="447"/>
      <c r="ES30" s="447"/>
      <c r="ET30" s="447"/>
      <c r="EU30" s="447"/>
      <c r="EV30" s="447"/>
      <c r="EW30" s="447"/>
      <c r="EX30" s="447"/>
      <c r="EY30" s="447"/>
      <c r="EZ30" s="447"/>
      <c r="FA30" s="447"/>
      <c r="FB30" s="447"/>
      <c r="FC30" s="447"/>
      <c r="FD30" s="447"/>
      <c r="FE30" s="447"/>
      <c r="FF30" s="447"/>
      <c r="FG30" s="447"/>
      <c r="FH30" s="447"/>
      <c r="FI30" s="447"/>
      <c r="FJ30" s="447"/>
      <c r="FK30" s="447"/>
      <c r="FL30" s="447"/>
      <c r="FM30" s="447"/>
      <c r="FN30" s="447"/>
      <c r="FO30" s="447"/>
      <c r="FP30" s="447"/>
      <c r="FQ30" s="447"/>
      <c r="FR30" s="447"/>
      <c r="FS30" s="447"/>
      <c r="FT30" s="447"/>
      <c r="FU30" s="447"/>
      <c r="FV30" s="447"/>
      <c r="FW30" s="447"/>
      <c r="FX30" s="447"/>
      <c r="FY30" s="447"/>
      <c r="FZ30" s="447"/>
      <c r="GA30" s="447"/>
      <c r="GB30" s="447"/>
      <c r="GC30" s="447"/>
      <c r="GD30" s="447"/>
      <c r="GE30" s="447"/>
      <c r="GF30" s="447"/>
      <c r="GG30" s="447"/>
      <c r="GH30" s="447"/>
      <c r="GI30" s="447"/>
      <c r="GJ30" s="447"/>
      <c r="GK30" s="447"/>
      <c r="GL30" s="447"/>
      <c r="GM30" s="447"/>
      <c r="GN30" s="447"/>
      <c r="GO30" s="447"/>
      <c r="GP30" s="447"/>
      <c r="GQ30" s="447"/>
      <c r="GR30" s="447"/>
      <c r="GS30" s="447"/>
      <c r="GT30" s="447"/>
      <c r="GU30" s="447"/>
      <c r="GV30" s="447"/>
      <c r="GW30" s="447"/>
      <c r="GX30" s="447"/>
      <c r="GY30" s="447"/>
      <c r="GZ30" s="447"/>
      <c r="HA30" s="447"/>
      <c r="HB30" s="447"/>
      <c r="HC30" s="447"/>
      <c r="HD30" s="447"/>
      <c r="HE30" s="447"/>
      <c r="HF30" s="447"/>
      <c r="HG30" s="447"/>
      <c r="HH30" s="447"/>
      <c r="HI30" s="447"/>
      <c r="HJ30" s="447"/>
      <c r="HK30" s="447"/>
      <c r="HL30" s="447"/>
      <c r="HM30" s="447"/>
      <c r="HN30" s="447"/>
      <c r="HO30" s="447"/>
      <c r="HP30" s="447"/>
      <c r="HQ30" s="447"/>
      <c r="HR30" s="447"/>
      <c r="HS30" s="447"/>
      <c r="HT30" s="447"/>
      <c r="HU30" s="447"/>
      <c r="HV30" s="447"/>
      <c r="HW30" s="447"/>
      <c r="HX30" s="447"/>
      <c r="HY30" s="447"/>
      <c r="HZ30" s="447"/>
      <c r="IA30" s="447"/>
      <c r="IB30" s="447"/>
      <c r="IC30" s="447"/>
      <c r="ID30" s="447"/>
      <c r="IE30" s="447"/>
      <c r="IF30" s="447"/>
      <c r="IG30" s="447"/>
      <c r="IH30" s="447"/>
      <c r="II30" s="447"/>
      <c r="IJ30" s="447"/>
      <c r="IK30" s="447"/>
      <c r="IL30" s="447"/>
      <c r="IM30" s="447"/>
      <c r="IN30" s="447"/>
      <c r="IO30" s="447"/>
      <c r="IP30" s="447"/>
      <c r="IQ30" s="447"/>
      <c r="IR30" s="447"/>
    </row>
    <row r="31" spans="1:252" ht="31.5">
      <c r="A31" s="561">
        <v>19</v>
      </c>
      <c r="B31" s="562" t="s">
        <v>1429</v>
      </c>
      <c r="C31" s="563" t="s">
        <v>116</v>
      </c>
      <c r="D31" s="564">
        <v>20</v>
      </c>
      <c r="E31" s="564">
        <v>20</v>
      </c>
      <c r="F31" s="569">
        <f t="shared" si="0"/>
        <v>0</v>
      </c>
      <c r="G31" s="446"/>
      <c r="H31" s="447"/>
      <c r="I31" s="447"/>
      <c r="J31" s="449"/>
      <c r="K31" s="447"/>
      <c r="L31" s="447"/>
      <c r="M31" s="447"/>
      <c r="N31" s="447"/>
      <c r="O31" s="447"/>
      <c r="P31" s="447"/>
      <c r="Q31" s="447"/>
      <c r="R31" s="447"/>
      <c r="S31" s="447"/>
      <c r="T31" s="447"/>
      <c r="U31" s="447"/>
      <c r="V31" s="447"/>
      <c r="W31" s="447"/>
      <c r="X31" s="447"/>
      <c r="Y31" s="447"/>
      <c r="Z31" s="447"/>
      <c r="AA31" s="447"/>
      <c r="AB31" s="447"/>
      <c r="AC31" s="447"/>
      <c r="AD31" s="447"/>
      <c r="AE31" s="447"/>
      <c r="AF31" s="447"/>
      <c r="AG31" s="447"/>
      <c r="AH31" s="447"/>
      <c r="AI31" s="447"/>
      <c r="AJ31" s="447"/>
      <c r="AK31" s="447"/>
      <c r="AL31" s="447"/>
      <c r="AM31" s="447"/>
      <c r="AN31" s="447"/>
      <c r="AO31" s="447"/>
      <c r="AP31" s="447"/>
      <c r="AQ31" s="447"/>
      <c r="AR31" s="447"/>
      <c r="AS31" s="447"/>
      <c r="AT31" s="447"/>
      <c r="AU31" s="447"/>
      <c r="AV31" s="447"/>
      <c r="AW31" s="447"/>
      <c r="AX31" s="447"/>
      <c r="AY31" s="447"/>
      <c r="AZ31" s="447"/>
      <c r="BA31" s="447"/>
      <c r="BB31" s="447"/>
      <c r="BC31" s="447"/>
      <c r="BD31" s="447"/>
      <c r="BE31" s="447"/>
      <c r="BF31" s="447"/>
      <c r="BG31" s="447"/>
      <c r="BH31" s="447"/>
      <c r="BI31" s="447"/>
      <c r="BJ31" s="447"/>
      <c r="BK31" s="447"/>
      <c r="BL31" s="447"/>
      <c r="BM31" s="447"/>
      <c r="BN31" s="447"/>
      <c r="BO31" s="447"/>
      <c r="BP31" s="447"/>
      <c r="BQ31" s="447"/>
      <c r="BR31" s="447"/>
      <c r="BS31" s="447"/>
      <c r="BT31" s="447"/>
      <c r="BU31" s="447"/>
      <c r="BV31" s="447"/>
      <c r="BW31" s="447"/>
      <c r="BX31" s="447"/>
      <c r="BY31" s="447"/>
      <c r="BZ31" s="447"/>
      <c r="CA31" s="447"/>
      <c r="CB31" s="447"/>
      <c r="CC31" s="447"/>
      <c r="CD31" s="447"/>
      <c r="CE31" s="447"/>
      <c r="CF31" s="447"/>
      <c r="CG31" s="447"/>
      <c r="CH31" s="447"/>
      <c r="CI31" s="447"/>
      <c r="CJ31" s="447"/>
      <c r="CK31" s="447"/>
      <c r="CL31" s="447"/>
      <c r="CM31" s="447"/>
      <c r="CN31" s="447"/>
      <c r="CO31" s="447"/>
      <c r="CP31" s="447"/>
      <c r="CQ31" s="447"/>
      <c r="CR31" s="447"/>
      <c r="CS31" s="447"/>
      <c r="CT31" s="447"/>
      <c r="CU31" s="447"/>
      <c r="CV31" s="447"/>
      <c r="CW31" s="447"/>
      <c r="CX31" s="447"/>
      <c r="CY31" s="447"/>
      <c r="CZ31" s="447"/>
      <c r="DA31" s="447"/>
      <c r="DB31" s="447"/>
      <c r="DC31" s="447"/>
      <c r="DD31" s="447"/>
      <c r="DE31" s="447"/>
      <c r="DF31" s="447"/>
      <c r="DG31" s="447"/>
      <c r="DH31" s="447"/>
      <c r="DI31" s="447"/>
      <c r="DJ31" s="447"/>
      <c r="DK31" s="447"/>
      <c r="DL31" s="447"/>
      <c r="DM31" s="447"/>
      <c r="DN31" s="447"/>
      <c r="DO31" s="447"/>
      <c r="DP31" s="447"/>
      <c r="DQ31" s="447"/>
      <c r="DR31" s="447"/>
      <c r="DS31" s="447"/>
      <c r="DT31" s="447"/>
      <c r="DU31" s="447"/>
      <c r="DV31" s="447"/>
      <c r="DW31" s="447"/>
      <c r="DX31" s="447"/>
      <c r="DY31" s="447"/>
      <c r="DZ31" s="447"/>
      <c r="EA31" s="447"/>
      <c r="EB31" s="447"/>
      <c r="EC31" s="447"/>
      <c r="ED31" s="447"/>
      <c r="EE31" s="447"/>
      <c r="EF31" s="447"/>
      <c r="EG31" s="447"/>
      <c r="EH31" s="447"/>
      <c r="EI31" s="447"/>
      <c r="EJ31" s="447"/>
      <c r="EK31" s="447"/>
      <c r="EL31" s="447"/>
      <c r="EM31" s="447"/>
      <c r="EN31" s="447"/>
      <c r="EO31" s="447"/>
      <c r="EP31" s="447"/>
      <c r="EQ31" s="447"/>
      <c r="ER31" s="447"/>
      <c r="ES31" s="447"/>
      <c r="ET31" s="447"/>
      <c r="EU31" s="447"/>
      <c r="EV31" s="447"/>
      <c r="EW31" s="447"/>
      <c r="EX31" s="447"/>
      <c r="EY31" s="447"/>
      <c r="EZ31" s="447"/>
      <c r="FA31" s="447"/>
      <c r="FB31" s="447"/>
      <c r="FC31" s="447"/>
      <c r="FD31" s="447"/>
      <c r="FE31" s="447"/>
      <c r="FF31" s="447"/>
      <c r="FG31" s="447"/>
      <c r="FH31" s="447"/>
      <c r="FI31" s="447"/>
      <c r="FJ31" s="447"/>
      <c r="FK31" s="447"/>
      <c r="FL31" s="447"/>
      <c r="FM31" s="447"/>
      <c r="FN31" s="447"/>
      <c r="FO31" s="447"/>
      <c r="FP31" s="447"/>
      <c r="FQ31" s="447"/>
      <c r="FR31" s="447"/>
      <c r="FS31" s="447"/>
      <c r="FT31" s="447"/>
      <c r="FU31" s="447"/>
      <c r="FV31" s="447"/>
      <c r="FW31" s="447"/>
      <c r="FX31" s="447"/>
      <c r="FY31" s="447"/>
      <c r="FZ31" s="447"/>
      <c r="GA31" s="447"/>
      <c r="GB31" s="447"/>
      <c r="GC31" s="447"/>
      <c r="GD31" s="447"/>
      <c r="GE31" s="447"/>
      <c r="GF31" s="447"/>
      <c r="GG31" s="447"/>
      <c r="GH31" s="447"/>
      <c r="GI31" s="447"/>
      <c r="GJ31" s="447"/>
      <c r="GK31" s="447"/>
      <c r="GL31" s="447"/>
      <c r="GM31" s="447"/>
      <c r="GN31" s="447"/>
      <c r="GO31" s="447"/>
      <c r="GP31" s="447"/>
      <c r="GQ31" s="447"/>
      <c r="GR31" s="447"/>
      <c r="GS31" s="447"/>
      <c r="GT31" s="447"/>
      <c r="GU31" s="447"/>
      <c r="GV31" s="447"/>
      <c r="GW31" s="447"/>
      <c r="GX31" s="447"/>
      <c r="GY31" s="447"/>
      <c r="GZ31" s="447"/>
      <c r="HA31" s="447"/>
      <c r="HB31" s="447"/>
      <c r="HC31" s="447"/>
      <c r="HD31" s="447"/>
      <c r="HE31" s="447"/>
      <c r="HF31" s="447"/>
      <c r="HG31" s="447"/>
      <c r="HH31" s="447"/>
      <c r="HI31" s="447"/>
      <c r="HJ31" s="447"/>
      <c r="HK31" s="447"/>
      <c r="HL31" s="447"/>
      <c r="HM31" s="447"/>
      <c r="HN31" s="447"/>
      <c r="HO31" s="447"/>
      <c r="HP31" s="447"/>
      <c r="HQ31" s="447"/>
      <c r="HR31" s="447"/>
      <c r="HS31" s="447"/>
      <c r="HT31" s="447"/>
      <c r="HU31" s="447"/>
      <c r="HV31" s="447"/>
      <c r="HW31" s="447"/>
      <c r="HX31" s="447"/>
      <c r="HY31" s="447"/>
      <c r="HZ31" s="447"/>
      <c r="IA31" s="447"/>
      <c r="IB31" s="447"/>
      <c r="IC31" s="447"/>
      <c r="ID31" s="447"/>
      <c r="IE31" s="447"/>
      <c r="IF31" s="447"/>
      <c r="IG31" s="447"/>
      <c r="IH31" s="447"/>
      <c r="II31" s="447"/>
      <c r="IJ31" s="447"/>
      <c r="IK31" s="447"/>
      <c r="IL31" s="447"/>
      <c r="IM31" s="447"/>
      <c r="IN31" s="447"/>
      <c r="IO31" s="447"/>
      <c r="IP31" s="447"/>
      <c r="IQ31" s="447"/>
      <c r="IR31" s="447"/>
    </row>
    <row r="32" spans="1:252" ht="19.899999999999999" customHeight="1">
      <c r="A32" s="561">
        <v>20</v>
      </c>
      <c r="B32" s="562" t="s">
        <v>1430</v>
      </c>
      <c r="C32" s="563" t="s">
        <v>116</v>
      </c>
      <c r="D32" s="564">
        <v>20</v>
      </c>
      <c r="E32" s="564">
        <v>20</v>
      </c>
      <c r="F32" s="569">
        <f t="shared" si="0"/>
        <v>0</v>
      </c>
      <c r="G32" s="446"/>
      <c r="H32" s="447"/>
      <c r="I32" s="447"/>
      <c r="J32" s="449"/>
      <c r="K32" s="447"/>
      <c r="L32" s="447"/>
      <c r="M32" s="447"/>
      <c r="N32" s="447"/>
      <c r="O32" s="447"/>
      <c r="P32" s="447"/>
      <c r="Q32" s="447"/>
      <c r="R32" s="447"/>
      <c r="S32" s="447"/>
      <c r="T32" s="447"/>
      <c r="U32" s="447"/>
      <c r="V32" s="447"/>
      <c r="W32" s="447"/>
      <c r="X32" s="447"/>
      <c r="Y32" s="447"/>
      <c r="Z32" s="447"/>
      <c r="AA32" s="447"/>
      <c r="AB32" s="447"/>
      <c r="AC32" s="447"/>
      <c r="AD32" s="447"/>
      <c r="AE32" s="447"/>
      <c r="AF32" s="447"/>
      <c r="AG32" s="447"/>
      <c r="AH32" s="447"/>
      <c r="AI32" s="447"/>
      <c r="AJ32" s="447"/>
      <c r="AK32" s="447"/>
      <c r="AL32" s="447"/>
      <c r="AM32" s="447"/>
      <c r="AN32" s="447"/>
      <c r="AO32" s="447"/>
      <c r="AP32" s="447"/>
      <c r="AQ32" s="447"/>
      <c r="AR32" s="447"/>
      <c r="AS32" s="447"/>
      <c r="AT32" s="447"/>
      <c r="AU32" s="447"/>
      <c r="AV32" s="447"/>
      <c r="AW32" s="447"/>
      <c r="AX32" s="447"/>
      <c r="AY32" s="447"/>
      <c r="AZ32" s="447"/>
      <c r="BA32" s="447"/>
      <c r="BB32" s="447"/>
      <c r="BC32" s="447"/>
      <c r="BD32" s="447"/>
      <c r="BE32" s="447"/>
      <c r="BF32" s="447"/>
      <c r="BG32" s="447"/>
      <c r="BH32" s="447"/>
      <c r="BI32" s="447"/>
      <c r="BJ32" s="447"/>
      <c r="BK32" s="447"/>
      <c r="BL32" s="447"/>
      <c r="BM32" s="447"/>
      <c r="BN32" s="447"/>
      <c r="BO32" s="447"/>
      <c r="BP32" s="447"/>
      <c r="BQ32" s="447"/>
      <c r="BR32" s="447"/>
      <c r="BS32" s="447"/>
      <c r="BT32" s="447"/>
      <c r="BU32" s="447"/>
      <c r="BV32" s="447"/>
      <c r="BW32" s="447"/>
      <c r="BX32" s="447"/>
      <c r="BY32" s="447"/>
      <c r="BZ32" s="447"/>
      <c r="CA32" s="447"/>
      <c r="CB32" s="447"/>
      <c r="CC32" s="447"/>
      <c r="CD32" s="447"/>
      <c r="CE32" s="447"/>
      <c r="CF32" s="447"/>
      <c r="CG32" s="447"/>
      <c r="CH32" s="447"/>
      <c r="CI32" s="447"/>
      <c r="CJ32" s="447"/>
      <c r="CK32" s="447"/>
      <c r="CL32" s="447"/>
      <c r="CM32" s="447"/>
      <c r="CN32" s="447"/>
      <c r="CO32" s="447"/>
      <c r="CP32" s="447"/>
      <c r="CQ32" s="447"/>
      <c r="CR32" s="447"/>
      <c r="CS32" s="447"/>
      <c r="CT32" s="447"/>
      <c r="CU32" s="447"/>
      <c r="CV32" s="447"/>
      <c r="CW32" s="447"/>
      <c r="CX32" s="447"/>
      <c r="CY32" s="447"/>
      <c r="CZ32" s="447"/>
      <c r="DA32" s="447"/>
      <c r="DB32" s="447"/>
      <c r="DC32" s="447"/>
      <c r="DD32" s="447"/>
      <c r="DE32" s="447"/>
      <c r="DF32" s="447"/>
      <c r="DG32" s="447"/>
      <c r="DH32" s="447"/>
      <c r="DI32" s="447"/>
      <c r="DJ32" s="447"/>
      <c r="DK32" s="447"/>
      <c r="DL32" s="447"/>
      <c r="DM32" s="447"/>
      <c r="DN32" s="447"/>
      <c r="DO32" s="447"/>
      <c r="DP32" s="447"/>
      <c r="DQ32" s="447"/>
      <c r="DR32" s="447"/>
      <c r="DS32" s="447"/>
      <c r="DT32" s="447"/>
      <c r="DU32" s="447"/>
      <c r="DV32" s="447"/>
      <c r="DW32" s="447"/>
      <c r="DX32" s="447"/>
      <c r="DY32" s="447"/>
      <c r="DZ32" s="447"/>
      <c r="EA32" s="447"/>
      <c r="EB32" s="447"/>
      <c r="EC32" s="447"/>
      <c r="ED32" s="447"/>
      <c r="EE32" s="447"/>
      <c r="EF32" s="447"/>
      <c r="EG32" s="447"/>
      <c r="EH32" s="447"/>
      <c r="EI32" s="447"/>
      <c r="EJ32" s="447"/>
      <c r="EK32" s="447"/>
      <c r="EL32" s="447"/>
      <c r="EM32" s="447"/>
      <c r="EN32" s="447"/>
      <c r="EO32" s="447"/>
      <c r="EP32" s="447"/>
      <c r="EQ32" s="447"/>
      <c r="ER32" s="447"/>
      <c r="ES32" s="447"/>
      <c r="ET32" s="447"/>
      <c r="EU32" s="447"/>
      <c r="EV32" s="447"/>
      <c r="EW32" s="447"/>
      <c r="EX32" s="447"/>
      <c r="EY32" s="447"/>
      <c r="EZ32" s="447"/>
      <c r="FA32" s="447"/>
      <c r="FB32" s="447"/>
      <c r="FC32" s="447"/>
      <c r="FD32" s="447"/>
      <c r="FE32" s="447"/>
      <c r="FF32" s="447"/>
      <c r="FG32" s="447"/>
      <c r="FH32" s="447"/>
      <c r="FI32" s="447"/>
      <c r="FJ32" s="447"/>
      <c r="FK32" s="447"/>
      <c r="FL32" s="447"/>
      <c r="FM32" s="447"/>
      <c r="FN32" s="447"/>
      <c r="FO32" s="447"/>
      <c r="FP32" s="447"/>
      <c r="FQ32" s="447"/>
      <c r="FR32" s="447"/>
      <c r="FS32" s="447"/>
      <c r="FT32" s="447"/>
      <c r="FU32" s="447"/>
      <c r="FV32" s="447"/>
      <c r="FW32" s="447"/>
      <c r="FX32" s="447"/>
      <c r="FY32" s="447"/>
      <c r="FZ32" s="447"/>
      <c r="GA32" s="447"/>
      <c r="GB32" s="447"/>
      <c r="GC32" s="447"/>
      <c r="GD32" s="447"/>
      <c r="GE32" s="447"/>
      <c r="GF32" s="447"/>
      <c r="GG32" s="447"/>
      <c r="GH32" s="447"/>
      <c r="GI32" s="447"/>
      <c r="GJ32" s="447"/>
      <c r="GK32" s="447"/>
      <c r="GL32" s="447"/>
      <c r="GM32" s="447"/>
      <c r="GN32" s="447"/>
      <c r="GO32" s="447"/>
      <c r="GP32" s="447"/>
      <c r="GQ32" s="447"/>
      <c r="GR32" s="447"/>
      <c r="GS32" s="447"/>
      <c r="GT32" s="447"/>
      <c r="GU32" s="447"/>
      <c r="GV32" s="447"/>
      <c r="GW32" s="447"/>
      <c r="GX32" s="447"/>
      <c r="GY32" s="447"/>
      <c r="GZ32" s="447"/>
      <c r="HA32" s="447"/>
      <c r="HB32" s="447"/>
      <c r="HC32" s="447"/>
      <c r="HD32" s="447"/>
      <c r="HE32" s="447"/>
      <c r="HF32" s="447"/>
      <c r="HG32" s="447"/>
      <c r="HH32" s="447"/>
      <c r="HI32" s="447"/>
      <c r="HJ32" s="447"/>
      <c r="HK32" s="447"/>
      <c r="HL32" s="447"/>
      <c r="HM32" s="447"/>
      <c r="HN32" s="447"/>
      <c r="HO32" s="447"/>
      <c r="HP32" s="447"/>
      <c r="HQ32" s="447"/>
      <c r="HR32" s="447"/>
      <c r="HS32" s="447"/>
      <c r="HT32" s="447"/>
      <c r="HU32" s="447"/>
      <c r="HV32" s="447"/>
      <c r="HW32" s="447"/>
      <c r="HX32" s="447"/>
      <c r="HY32" s="447"/>
      <c r="HZ32" s="447"/>
      <c r="IA32" s="447"/>
      <c r="IB32" s="447"/>
      <c r="IC32" s="447"/>
      <c r="ID32" s="447"/>
      <c r="IE32" s="447"/>
      <c r="IF32" s="447"/>
      <c r="IG32" s="447"/>
      <c r="IH32" s="447"/>
      <c r="II32" s="447"/>
      <c r="IJ32" s="447"/>
      <c r="IK32" s="447"/>
      <c r="IL32" s="447"/>
      <c r="IM32" s="447"/>
      <c r="IN32" s="447"/>
      <c r="IO32" s="447"/>
      <c r="IP32" s="447"/>
      <c r="IQ32" s="447"/>
      <c r="IR32" s="447"/>
    </row>
    <row r="33" spans="1:252" ht="19.899999999999999" customHeight="1">
      <c r="A33" s="561">
        <v>21</v>
      </c>
      <c r="B33" s="562" t="s">
        <v>1431</v>
      </c>
      <c r="C33" s="563" t="s">
        <v>427</v>
      </c>
      <c r="D33" s="564">
        <v>1</v>
      </c>
      <c r="E33" s="564">
        <v>1</v>
      </c>
      <c r="F33" s="569">
        <f t="shared" si="0"/>
        <v>0</v>
      </c>
      <c r="G33" s="446"/>
      <c r="H33" s="447"/>
      <c r="I33" s="447"/>
      <c r="J33" s="449"/>
      <c r="K33" s="447"/>
      <c r="L33" s="447"/>
      <c r="M33" s="447"/>
      <c r="N33" s="447"/>
      <c r="O33" s="447"/>
      <c r="P33" s="447"/>
      <c r="Q33" s="447"/>
      <c r="R33" s="447"/>
      <c r="S33" s="447"/>
      <c r="T33" s="447"/>
      <c r="U33" s="447"/>
      <c r="V33" s="447"/>
      <c r="W33" s="447"/>
      <c r="X33" s="447"/>
      <c r="Y33" s="447"/>
      <c r="Z33" s="447"/>
      <c r="AA33" s="447"/>
      <c r="AB33" s="447"/>
      <c r="AC33" s="447"/>
      <c r="AD33" s="447"/>
      <c r="AE33" s="447"/>
      <c r="AF33" s="447"/>
      <c r="AG33" s="447"/>
      <c r="AH33" s="447"/>
      <c r="AI33" s="447"/>
      <c r="AJ33" s="447"/>
      <c r="AK33" s="447"/>
      <c r="AL33" s="447"/>
      <c r="AM33" s="447"/>
      <c r="AN33" s="447"/>
      <c r="AO33" s="447"/>
      <c r="AP33" s="447"/>
      <c r="AQ33" s="447"/>
      <c r="AR33" s="447"/>
      <c r="AS33" s="447"/>
      <c r="AT33" s="447"/>
      <c r="AU33" s="447"/>
      <c r="AV33" s="447"/>
      <c r="AW33" s="447"/>
      <c r="AX33" s="447"/>
      <c r="AY33" s="447"/>
      <c r="AZ33" s="447"/>
      <c r="BA33" s="447"/>
      <c r="BB33" s="447"/>
      <c r="BC33" s="447"/>
      <c r="BD33" s="447"/>
      <c r="BE33" s="447"/>
      <c r="BF33" s="447"/>
      <c r="BG33" s="447"/>
      <c r="BH33" s="447"/>
      <c r="BI33" s="447"/>
      <c r="BJ33" s="447"/>
      <c r="BK33" s="447"/>
      <c r="BL33" s="447"/>
      <c r="BM33" s="447"/>
      <c r="BN33" s="447"/>
      <c r="BO33" s="447"/>
      <c r="BP33" s="447"/>
      <c r="BQ33" s="447"/>
      <c r="BR33" s="447"/>
      <c r="BS33" s="447"/>
      <c r="BT33" s="447"/>
      <c r="BU33" s="447"/>
      <c r="BV33" s="447"/>
      <c r="BW33" s="447"/>
      <c r="BX33" s="447"/>
      <c r="BY33" s="447"/>
      <c r="BZ33" s="447"/>
      <c r="CA33" s="447"/>
      <c r="CB33" s="447"/>
      <c r="CC33" s="447"/>
      <c r="CD33" s="447"/>
      <c r="CE33" s="447"/>
      <c r="CF33" s="447"/>
      <c r="CG33" s="447"/>
      <c r="CH33" s="447"/>
      <c r="CI33" s="447"/>
      <c r="CJ33" s="447"/>
      <c r="CK33" s="447"/>
      <c r="CL33" s="447"/>
      <c r="CM33" s="447"/>
      <c r="CN33" s="447"/>
      <c r="CO33" s="447"/>
      <c r="CP33" s="447"/>
      <c r="CQ33" s="447"/>
      <c r="CR33" s="447"/>
      <c r="CS33" s="447"/>
      <c r="CT33" s="447"/>
      <c r="CU33" s="447"/>
      <c r="CV33" s="447"/>
      <c r="CW33" s="447"/>
      <c r="CX33" s="447"/>
      <c r="CY33" s="447"/>
      <c r="CZ33" s="447"/>
      <c r="DA33" s="447"/>
      <c r="DB33" s="447"/>
      <c r="DC33" s="447"/>
      <c r="DD33" s="447"/>
      <c r="DE33" s="447"/>
      <c r="DF33" s="447"/>
      <c r="DG33" s="447"/>
      <c r="DH33" s="447"/>
      <c r="DI33" s="447"/>
      <c r="DJ33" s="447"/>
      <c r="DK33" s="447"/>
      <c r="DL33" s="447"/>
      <c r="DM33" s="447"/>
      <c r="DN33" s="447"/>
      <c r="DO33" s="447"/>
      <c r="DP33" s="447"/>
      <c r="DQ33" s="447"/>
      <c r="DR33" s="447"/>
      <c r="DS33" s="447"/>
      <c r="DT33" s="447"/>
      <c r="DU33" s="447"/>
      <c r="DV33" s="447"/>
      <c r="DW33" s="447"/>
      <c r="DX33" s="447"/>
      <c r="DY33" s="447"/>
      <c r="DZ33" s="447"/>
      <c r="EA33" s="447"/>
      <c r="EB33" s="447"/>
      <c r="EC33" s="447"/>
      <c r="ED33" s="447"/>
      <c r="EE33" s="447"/>
      <c r="EF33" s="447"/>
      <c r="EG33" s="447"/>
      <c r="EH33" s="447"/>
      <c r="EI33" s="447"/>
      <c r="EJ33" s="447"/>
      <c r="EK33" s="447"/>
      <c r="EL33" s="447"/>
      <c r="EM33" s="447"/>
      <c r="EN33" s="447"/>
      <c r="EO33" s="447"/>
      <c r="EP33" s="447"/>
      <c r="EQ33" s="447"/>
      <c r="ER33" s="447"/>
      <c r="ES33" s="447"/>
      <c r="ET33" s="447"/>
      <c r="EU33" s="447"/>
      <c r="EV33" s="447"/>
      <c r="EW33" s="447"/>
      <c r="EX33" s="447"/>
      <c r="EY33" s="447"/>
      <c r="EZ33" s="447"/>
      <c r="FA33" s="447"/>
      <c r="FB33" s="447"/>
      <c r="FC33" s="447"/>
      <c r="FD33" s="447"/>
      <c r="FE33" s="447"/>
      <c r="FF33" s="447"/>
      <c r="FG33" s="447"/>
      <c r="FH33" s="447"/>
      <c r="FI33" s="447"/>
      <c r="FJ33" s="447"/>
      <c r="FK33" s="447"/>
      <c r="FL33" s="447"/>
      <c r="FM33" s="447"/>
      <c r="FN33" s="447"/>
      <c r="FO33" s="447"/>
      <c r="FP33" s="447"/>
      <c r="FQ33" s="447"/>
      <c r="FR33" s="447"/>
      <c r="FS33" s="447"/>
      <c r="FT33" s="447"/>
      <c r="FU33" s="447"/>
      <c r="FV33" s="447"/>
      <c r="FW33" s="447"/>
      <c r="FX33" s="447"/>
      <c r="FY33" s="447"/>
      <c r="FZ33" s="447"/>
      <c r="GA33" s="447"/>
      <c r="GB33" s="447"/>
      <c r="GC33" s="447"/>
      <c r="GD33" s="447"/>
      <c r="GE33" s="447"/>
      <c r="GF33" s="447"/>
      <c r="GG33" s="447"/>
      <c r="GH33" s="447"/>
      <c r="GI33" s="447"/>
      <c r="GJ33" s="447"/>
      <c r="GK33" s="447"/>
      <c r="GL33" s="447"/>
      <c r="GM33" s="447"/>
      <c r="GN33" s="447"/>
      <c r="GO33" s="447"/>
      <c r="GP33" s="447"/>
      <c r="GQ33" s="447"/>
      <c r="GR33" s="447"/>
      <c r="GS33" s="447"/>
      <c r="GT33" s="447"/>
      <c r="GU33" s="447"/>
      <c r="GV33" s="447"/>
      <c r="GW33" s="447"/>
      <c r="GX33" s="447"/>
      <c r="GY33" s="447"/>
      <c r="GZ33" s="447"/>
      <c r="HA33" s="447"/>
      <c r="HB33" s="447"/>
      <c r="HC33" s="447"/>
      <c r="HD33" s="447"/>
      <c r="HE33" s="447"/>
      <c r="HF33" s="447"/>
      <c r="HG33" s="447"/>
      <c r="HH33" s="447"/>
      <c r="HI33" s="447"/>
      <c r="HJ33" s="447"/>
      <c r="HK33" s="447"/>
      <c r="HL33" s="447"/>
      <c r="HM33" s="447"/>
      <c r="HN33" s="447"/>
      <c r="HO33" s="447"/>
      <c r="HP33" s="447"/>
      <c r="HQ33" s="447"/>
      <c r="HR33" s="447"/>
      <c r="HS33" s="447"/>
      <c r="HT33" s="447"/>
      <c r="HU33" s="447"/>
      <c r="HV33" s="447"/>
      <c r="HW33" s="447"/>
      <c r="HX33" s="447"/>
      <c r="HY33" s="447"/>
      <c r="HZ33" s="447"/>
      <c r="IA33" s="447"/>
      <c r="IB33" s="447"/>
      <c r="IC33" s="447"/>
      <c r="ID33" s="447"/>
      <c r="IE33" s="447"/>
      <c r="IF33" s="447"/>
      <c r="IG33" s="447"/>
      <c r="IH33" s="447"/>
      <c r="II33" s="447"/>
      <c r="IJ33" s="447"/>
      <c r="IK33" s="447"/>
      <c r="IL33" s="447"/>
      <c r="IM33" s="447"/>
      <c r="IN33" s="447"/>
      <c r="IO33" s="447"/>
      <c r="IP33" s="447"/>
      <c r="IQ33" s="447"/>
      <c r="IR33" s="447"/>
    </row>
    <row r="34" spans="1:252" ht="19.899999999999999" customHeight="1">
      <c r="A34" s="561">
        <v>22</v>
      </c>
      <c r="B34" s="562" t="s">
        <v>1432</v>
      </c>
      <c r="C34" s="563" t="s">
        <v>427</v>
      </c>
      <c r="D34" s="564">
        <v>1</v>
      </c>
      <c r="E34" s="564">
        <v>1</v>
      </c>
      <c r="F34" s="569">
        <f t="shared" si="0"/>
        <v>0</v>
      </c>
      <c r="G34" s="446"/>
      <c r="H34" s="447"/>
      <c r="I34" s="447"/>
      <c r="J34" s="449"/>
      <c r="K34" s="447"/>
      <c r="L34" s="447"/>
      <c r="M34" s="447"/>
      <c r="N34" s="447"/>
      <c r="O34" s="447"/>
      <c r="P34" s="447"/>
      <c r="Q34" s="447"/>
      <c r="R34" s="447"/>
      <c r="S34" s="447"/>
      <c r="T34" s="447"/>
      <c r="U34" s="447"/>
      <c r="V34" s="447"/>
      <c r="W34" s="447"/>
      <c r="X34" s="447"/>
      <c r="Y34" s="447"/>
      <c r="Z34" s="447"/>
      <c r="AA34" s="447"/>
      <c r="AB34" s="447"/>
      <c r="AC34" s="447"/>
      <c r="AD34" s="447"/>
      <c r="AE34" s="447"/>
      <c r="AF34" s="447"/>
      <c r="AG34" s="447"/>
      <c r="AH34" s="447"/>
      <c r="AI34" s="447"/>
      <c r="AJ34" s="447"/>
      <c r="AK34" s="447"/>
      <c r="AL34" s="447"/>
      <c r="AM34" s="447"/>
      <c r="AN34" s="447"/>
      <c r="AO34" s="447"/>
      <c r="AP34" s="447"/>
      <c r="AQ34" s="447"/>
      <c r="AR34" s="447"/>
      <c r="AS34" s="447"/>
      <c r="AT34" s="447"/>
      <c r="AU34" s="447"/>
      <c r="AV34" s="447"/>
      <c r="AW34" s="447"/>
      <c r="AX34" s="447"/>
      <c r="AY34" s="447"/>
      <c r="AZ34" s="447"/>
      <c r="BA34" s="447"/>
      <c r="BB34" s="447"/>
      <c r="BC34" s="447"/>
      <c r="BD34" s="447"/>
      <c r="BE34" s="447"/>
      <c r="BF34" s="447"/>
      <c r="BG34" s="447"/>
      <c r="BH34" s="447"/>
      <c r="BI34" s="447"/>
      <c r="BJ34" s="447"/>
      <c r="BK34" s="447"/>
      <c r="BL34" s="447"/>
      <c r="BM34" s="447"/>
      <c r="BN34" s="447"/>
      <c r="BO34" s="447"/>
      <c r="BP34" s="447"/>
      <c r="BQ34" s="447"/>
      <c r="BR34" s="447"/>
      <c r="BS34" s="447"/>
      <c r="BT34" s="447"/>
      <c r="BU34" s="447"/>
      <c r="BV34" s="447"/>
      <c r="BW34" s="447"/>
      <c r="BX34" s="447"/>
      <c r="BY34" s="447"/>
      <c r="BZ34" s="447"/>
      <c r="CA34" s="447"/>
      <c r="CB34" s="447"/>
      <c r="CC34" s="447"/>
      <c r="CD34" s="447"/>
      <c r="CE34" s="447"/>
      <c r="CF34" s="447"/>
      <c r="CG34" s="447"/>
      <c r="CH34" s="447"/>
      <c r="CI34" s="447"/>
      <c r="CJ34" s="447"/>
      <c r="CK34" s="447"/>
      <c r="CL34" s="447"/>
      <c r="CM34" s="447"/>
      <c r="CN34" s="447"/>
      <c r="CO34" s="447"/>
      <c r="CP34" s="447"/>
      <c r="CQ34" s="447"/>
      <c r="CR34" s="447"/>
      <c r="CS34" s="447"/>
      <c r="CT34" s="447"/>
      <c r="CU34" s="447"/>
      <c r="CV34" s="447"/>
      <c r="CW34" s="447"/>
      <c r="CX34" s="447"/>
      <c r="CY34" s="447"/>
      <c r="CZ34" s="447"/>
      <c r="DA34" s="447"/>
      <c r="DB34" s="447"/>
      <c r="DC34" s="447"/>
      <c r="DD34" s="447"/>
      <c r="DE34" s="447"/>
      <c r="DF34" s="447"/>
      <c r="DG34" s="447"/>
      <c r="DH34" s="447"/>
      <c r="DI34" s="447"/>
      <c r="DJ34" s="447"/>
      <c r="DK34" s="447"/>
      <c r="DL34" s="447"/>
      <c r="DM34" s="447"/>
      <c r="DN34" s="447"/>
      <c r="DO34" s="447"/>
      <c r="DP34" s="447"/>
      <c r="DQ34" s="447"/>
      <c r="DR34" s="447"/>
      <c r="DS34" s="447"/>
      <c r="DT34" s="447"/>
      <c r="DU34" s="447"/>
      <c r="DV34" s="447"/>
      <c r="DW34" s="447"/>
      <c r="DX34" s="447"/>
      <c r="DY34" s="447"/>
      <c r="DZ34" s="447"/>
      <c r="EA34" s="447"/>
      <c r="EB34" s="447"/>
      <c r="EC34" s="447"/>
      <c r="ED34" s="447"/>
      <c r="EE34" s="447"/>
      <c r="EF34" s="447"/>
      <c r="EG34" s="447"/>
      <c r="EH34" s="447"/>
      <c r="EI34" s="447"/>
      <c r="EJ34" s="447"/>
      <c r="EK34" s="447"/>
      <c r="EL34" s="447"/>
      <c r="EM34" s="447"/>
      <c r="EN34" s="447"/>
      <c r="EO34" s="447"/>
      <c r="EP34" s="447"/>
      <c r="EQ34" s="447"/>
      <c r="ER34" s="447"/>
      <c r="ES34" s="447"/>
      <c r="ET34" s="447"/>
      <c r="EU34" s="447"/>
      <c r="EV34" s="447"/>
      <c r="EW34" s="447"/>
      <c r="EX34" s="447"/>
      <c r="EY34" s="447"/>
      <c r="EZ34" s="447"/>
      <c r="FA34" s="447"/>
      <c r="FB34" s="447"/>
      <c r="FC34" s="447"/>
      <c r="FD34" s="447"/>
      <c r="FE34" s="447"/>
      <c r="FF34" s="447"/>
      <c r="FG34" s="447"/>
      <c r="FH34" s="447"/>
      <c r="FI34" s="447"/>
      <c r="FJ34" s="447"/>
      <c r="FK34" s="447"/>
      <c r="FL34" s="447"/>
      <c r="FM34" s="447"/>
      <c r="FN34" s="447"/>
      <c r="FO34" s="447"/>
      <c r="FP34" s="447"/>
      <c r="FQ34" s="447"/>
      <c r="FR34" s="447"/>
      <c r="FS34" s="447"/>
      <c r="FT34" s="447"/>
      <c r="FU34" s="447"/>
      <c r="FV34" s="447"/>
      <c r="FW34" s="447"/>
      <c r="FX34" s="447"/>
      <c r="FY34" s="447"/>
      <c r="FZ34" s="447"/>
      <c r="GA34" s="447"/>
      <c r="GB34" s="447"/>
      <c r="GC34" s="447"/>
      <c r="GD34" s="447"/>
      <c r="GE34" s="447"/>
      <c r="GF34" s="447"/>
      <c r="GG34" s="447"/>
      <c r="GH34" s="447"/>
      <c r="GI34" s="447"/>
      <c r="GJ34" s="447"/>
      <c r="GK34" s="447"/>
      <c r="GL34" s="447"/>
      <c r="GM34" s="447"/>
      <c r="GN34" s="447"/>
      <c r="GO34" s="447"/>
      <c r="GP34" s="447"/>
      <c r="GQ34" s="447"/>
      <c r="GR34" s="447"/>
      <c r="GS34" s="447"/>
      <c r="GT34" s="447"/>
      <c r="GU34" s="447"/>
      <c r="GV34" s="447"/>
      <c r="GW34" s="447"/>
      <c r="GX34" s="447"/>
      <c r="GY34" s="447"/>
      <c r="GZ34" s="447"/>
      <c r="HA34" s="447"/>
      <c r="HB34" s="447"/>
      <c r="HC34" s="447"/>
      <c r="HD34" s="447"/>
      <c r="HE34" s="447"/>
      <c r="HF34" s="447"/>
      <c r="HG34" s="447"/>
      <c r="HH34" s="447"/>
      <c r="HI34" s="447"/>
      <c r="HJ34" s="447"/>
      <c r="HK34" s="447"/>
      <c r="HL34" s="447"/>
      <c r="HM34" s="447"/>
      <c r="HN34" s="447"/>
      <c r="HO34" s="447"/>
      <c r="HP34" s="447"/>
      <c r="HQ34" s="447"/>
      <c r="HR34" s="447"/>
      <c r="HS34" s="447"/>
      <c r="HT34" s="447"/>
      <c r="HU34" s="447"/>
      <c r="HV34" s="447"/>
      <c r="HW34" s="447"/>
      <c r="HX34" s="447"/>
      <c r="HY34" s="447"/>
      <c r="HZ34" s="447"/>
      <c r="IA34" s="447"/>
      <c r="IB34" s="447"/>
      <c r="IC34" s="447"/>
      <c r="ID34" s="447"/>
      <c r="IE34" s="447"/>
      <c r="IF34" s="447"/>
      <c r="IG34" s="447"/>
      <c r="IH34" s="447"/>
      <c r="II34" s="447"/>
      <c r="IJ34" s="447"/>
      <c r="IK34" s="447"/>
      <c r="IL34" s="447"/>
      <c r="IM34" s="447"/>
      <c r="IN34" s="447"/>
      <c r="IO34" s="447"/>
      <c r="IP34" s="447"/>
      <c r="IQ34" s="447"/>
      <c r="IR34" s="447"/>
    </row>
    <row r="35" spans="1:252" ht="19.899999999999999" customHeight="1">
      <c r="A35" s="561">
        <v>23</v>
      </c>
      <c r="B35" s="562" t="s">
        <v>1433</v>
      </c>
      <c r="C35" s="563" t="s">
        <v>427</v>
      </c>
      <c r="D35" s="564">
        <v>1</v>
      </c>
      <c r="E35" s="571">
        <f>D35</f>
        <v>1</v>
      </c>
      <c r="F35" s="569">
        <f t="shared" si="0"/>
        <v>0</v>
      </c>
      <c r="G35" s="446"/>
      <c r="H35" s="447"/>
      <c r="I35" s="447"/>
      <c r="J35" s="449"/>
      <c r="K35" s="447"/>
      <c r="L35" s="447"/>
      <c r="M35" s="447"/>
      <c r="N35" s="447"/>
      <c r="O35" s="447"/>
      <c r="P35" s="447"/>
      <c r="Q35" s="447"/>
      <c r="R35" s="447"/>
      <c r="S35" s="447"/>
      <c r="T35" s="447"/>
      <c r="U35" s="447"/>
      <c r="V35" s="447"/>
      <c r="W35" s="447"/>
      <c r="X35" s="447"/>
      <c r="Y35" s="447"/>
      <c r="Z35" s="447"/>
      <c r="AA35" s="447"/>
      <c r="AB35" s="447"/>
      <c r="AC35" s="447"/>
      <c r="AD35" s="447"/>
      <c r="AE35" s="447"/>
      <c r="AF35" s="447"/>
      <c r="AG35" s="447"/>
      <c r="AH35" s="447"/>
      <c r="AI35" s="447"/>
      <c r="AJ35" s="447"/>
      <c r="AK35" s="447"/>
      <c r="AL35" s="447"/>
      <c r="AM35" s="447"/>
      <c r="AN35" s="447"/>
      <c r="AO35" s="447"/>
      <c r="AP35" s="447"/>
      <c r="AQ35" s="447"/>
      <c r="AR35" s="447"/>
      <c r="AS35" s="447"/>
      <c r="AT35" s="447"/>
      <c r="AU35" s="447"/>
      <c r="AV35" s="447"/>
      <c r="AW35" s="447"/>
      <c r="AX35" s="447"/>
      <c r="AY35" s="447"/>
      <c r="AZ35" s="447"/>
      <c r="BA35" s="447"/>
      <c r="BB35" s="447"/>
      <c r="BC35" s="447"/>
      <c r="BD35" s="447"/>
      <c r="BE35" s="447"/>
      <c r="BF35" s="447"/>
      <c r="BG35" s="447"/>
      <c r="BH35" s="447"/>
      <c r="BI35" s="447"/>
      <c r="BJ35" s="447"/>
      <c r="BK35" s="447"/>
      <c r="BL35" s="447"/>
      <c r="BM35" s="447"/>
      <c r="BN35" s="447"/>
      <c r="BO35" s="447"/>
      <c r="BP35" s="447"/>
      <c r="BQ35" s="447"/>
      <c r="BR35" s="447"/>
      <c r="BS35" s="447"/>
      <c r="BT35" s="447"/>
      <c r="BU35" s="447"/>
      <c r="BV35" s="447"/>
      <c r="BW35" s="447"/>
      <c r="BX35" s="447"/>
      <c r="BY35" s="447"/>
      <c r="BZ35" s="447"/>
      <c r="CA35" s="447"/>
      <c r="CB35" s="447"/>
      <c r="CC35" s="447"/>
      <c r="CD35" s="447"/>
      <c r="CE35" s="447"/>
      <c r="CF35" s="447"/>
      <c r="CG35" s="447"/>
      <c r="CH35" s="447"/>
      <c r="CI35" s="447"/>
      <c r="CJ35" s="447"/>
      <c r="CK35" s="447"/>
      <c r="CL35" s="447"/>
      <c r="CM35" s="447"/>
      <c r="CN35" s="447"/>
      <c r="CO35" s="447"/>
      <c r="CP35" s="447"/>
      <c r="CQ35" s="447"/>
      <c r="CR35" s="447"/>
      <c r="CS35" s="447"/>
      <c r="CT35" s="447"/>
      <c r="CU35" s="447"/>
      <c r="CV35" s="447"/>
      <c r="CW35" s="447"/>
      <c r="CX35" s="447"/>
      <c r="CY35" s="447"/>
      <c r="CZ35" s="447"/>
      <c r="DA35" s="447"/>
      <c r="DB35" s="447"/>
      <c r="DC35" s="447"/>
      <c r="DD35" s="447"/>
      <c r="DE35" s="447"/>
      <c r="DF35" s="447"/>
      <c r="DG35" s="447"/>
      <c r="DH35" s="447"/>
      <c r="DI35" s="447"/>
      <c r="DJ35" s="447"/>
      <c r="DK35" s="447"/>
      <c r="DL35" s="447"/>
      <c r="DM35" s="447"/>
      <c r="DN35" s="447"/>
      <c r="DO35" s="447"/>
      <c r="DP35" s="447"/>
      <c r="DQ35" s="447"/>
      <c r="DR35" s="447"/>
      <c r="DS35" s="447"/>
      <c r="DT35" s="447"/>
      <c r="DU35" s="447"/>
      <c r="DV35" s="447"/>
      <c r="DW35" s="447"/>
      <c r="DX35" s="447"/>
      <c r="DY35" s="447"/>
      <c r="DZ35" s="447"/>
      <c r="EA35" s="447"/>
      <c r="EB35" s="447"/>
      <c r="EC35" s="447"/>
      <c r="ED35" s="447"/>
      <c r="EE35" s="447"/>
      <c r="EF35" s="447"/>
      <c r="EG35" s="447"/>
      <c r="EH35" s="447"/>
      <c r="EI35" s="447"/>
      <c r="EJ35" s="447"/>
      <c r="EK35" s="447"/>
      <c r="EL35" s="447"/>
      <c r="EM35" s="447"/>
      <c r="EN35" s="447"/>
      <c r="EO35" s="447"/>
      <c r="EP35" s="447"/>
      <c r="EQ35" s="447"/>
      <c r="ER35" s="447"/>
      <c r="ES35" s="447"/>
      <c r="ET35" s="447"/>
      <c r="EU35" s="447"/>
      <c r="EV35" s="447"/>
      <c r="EW35" s="447"/>
      <c r="EX35" s="447"/>
      <c r="EY35" s="447"/>
      <c r="EZ35" s="447"/>
      <c r="FA35" s="447"/>
      <c r="FB35" s="447"/>
      <c r="FC35" s="447"/>
      <c r="FD35" s="447"/>
      <c r="FE35" s="447"/>
      <c r="FF35" s="447"/>
      <c r="FG35" s="447"/>
      <c r="FH35" s="447"/>
      <c r="FI35" s="447"/>
      <c r="FJ35" s="447"/>
      <c r="FK35" s="447"/>
      <c r="FL35" s="447"/>
      <c r="FM35" s="447"/>
      <c r="FN35" s="447"/>
      <c r="FO35" s="447"/>
      <c r="FP35" s="447"/>
      <c r="FQ35" s="447"/>
      <c r="FR35" s="447"/>
      <c r="FS35" s="447"/>
      <c r="FT35" s="447"/>
      <c r="FU35" s="447"/>
      <c r="FV35" s="447"/>
      <c r="FW35" s="447"/>
      <c r="FX35" s="447"/>
      <c r="FY35" s="447"/>
      <c r="FZ35" s="447"/>
      <c r="GA35" s="447"/>
      <c r="GB35" s="447"/>
      <c r="GC35" s="447"/>
      <c r="GD35" s="447"/>
      <c r="GE35" s="447"/>
      <c r="GF35" s="447"/>
      <c r="GG35" s="447"/>
      <c r="GH35" s="447"/>
      <c r="GI35" s="447"/>
      <c r="GJ35" s="447"/>
      <c r="GK35" s="447"/>
      <c r="GL35" s="447"/>
      <c r="GM35" s="447"/>
      <c r="GN35" s="447"/>
      <c r="GO35" s="447"/>
      <c r="GP35" s="447"/>
      <c r="GQ35" s="447"/>
      <c r="GR35" s="447"/>
      <c r="GS35" s="447"/>
      <c r="GT35" s="447"/>
      <c r="GU35" s="447"/>
      <c r="GV35" s="447"/>
      <c r="GW35" s="447"/>
      <c r="GX35" s="447"/>
      <c r="GY35" s="447"/>
      <c r="GZ35" s="447"/>
      <c r="HA35" s="447"/>
      <c r="HB35" s="447"/>
      <c r="HC35" s="447"/>
      <c r="HD35" s="447"/>
      <c r="HE35" s="447"/>
      <c r="HF35" s="447"/>
      <c r="HG35" s="447"/>
      <c r="HH35" s="447"/>
      <c r="HI35" s="447"/>
      <c r="HJ35" s="447"/>
      <c r="HK35" s="447"/>
      <c r="HL35" s="447"/>
      <c r="HM35" s="447"/>
      <c r="HN35" s="447"/>
      <c r="HO35" s="447"/>
      <c r="HP35" s="447"/>
      <c r="HQ35" s="447"/>
      <c r="HR35" s="447"/>
      <c r="HS35" s="447"/>
      <c r="HT35" s="447"/>
      <c r="HU35" s="447"/>
      <c r="HV35" s="447"/>
      <c r="HW35" s="447"/>
      <c r="HX35" s="447"/>
      <c r="HY35" s="447"/>
      <c r="HZ35" s="447"/>
      <c r="IA35" s="447"/>
      <c r="IB35" s="447"/>
      <c r="IC35" s="447"/>
      <c r="ID35" s="447"/>
      <c r="IE35" s="447"/>
      <c r="IF35" s="447"/>
      <c r="IG35" s="447"/>
      <c r="IH35" s="447"/>
      <c r="II35" s="447"/>
      <c r="IJ35" s="447"/>
      <c r="IK35" s="447"/>
      <c r="IL35" s="447"/>
      <c r="IM35" s="447"/>
      <c r="IN35" s="447"/>
      <c r="IO35" s="447"/>
      <c r="IP35" s="447"/>
      <c r="IQ35" s="447"/>
      <c r="IR35" s="447"/>
    </row>
    <row r="36" spans="1:252" ht="19.899999999999999" customHeight="1">
      <c r="A36" s="561">
        <v>24</v>
      </c>
      <c r="B36" s="562" t="s">
        <v>1434</v>
      </c>
      <c r="C36" s="563" t="s">
        <v>116</v>
      </c>
      <c r="D36" s="564">
        <v>8</v>
      </c>
      <c r="E36" s="571">
        <f>D36</f>
        <v>8</v>
      </c>
      <c r="F36" s="569">
        <f t="shared" si="0"/>
        <v>0</v>
      </c>
      <c r="G36" s="446"/>
      <c r="H36" s="447"/>
      <c r="I36" s="447"/>
      <c r="J36" s="449"/>
      <c r="K36" s="447"/>
      <c r="L36" s="447"/>
      <c r="M36" s="447"/>
      <c r="N36" s="447"/>
      <c r="O36" s="447"/>
      <c r="P36" s="447"/>
      <c r="Q36" s="447"/>
      <c r="R36" s="447"/>
      <c r="S36" s="447"/>
      <c r="T36" s="447"/>
      <c r="U36" s="447"/>
      <c r="V36" s="447"/>
      <c r="W36" s="447"/>
      <c r="X36" s="447"/>
      <c r="Y36" s="447"/>
      <c r="Z36" s="447"/>
      <c r="AA36" s="447"/>
      <c r="AB36" s="447"/>
      <c r="AC36" s="447"/>
      <c r="AD36" s="447"/>
      <c r="AE36" s="447"/>
      <c r="AF36" s="447"/>
      <c r="AG36" s="447"/>
      <c r="AH36" s="447"/>
      <c r="AI36" s="447"/>
      <c r="AJ36" s="447"/>
      <c r="AK36" s="447"/>
      <c r="AL36" s="447"/>
      <c r="AM36" s="447"/>
      <c r="AN36" s="447"/>
      <c r="AO36" s="447"/>
      <c r="AP36" s="447"/>
      <c r="AQ36" s="447"/>
      <c r="AR36" s="447"/>
      <c r="AS36" s="447"/>
      <c r="AT36" s="447"/>
      <c r="AU36" s="447"/>
      <c r="AV36" s="447"/>
      <c r="AW36" s="447"/>
      <c r="AX36" s="447"/>
      <c r="AY36" s="447"/>
      <c r="AZ36" s="447"/>
      <c r="BA36" s="447"/>
      <c r="BB36" s="447"/>
      <c r="BC36" s="447"/>
      <c r="BD36" s="447"/>
      <c r="BE36" s="447"/>
      <c r="BF36" s="447"/>
      <c r="BG36" s="447"/>
      <c r="BH36" s="447"/>
      <c r="BI36" s="447"/>
      <c r="BJ36" s="447"/>
      <c r="BK36" s="447"/>
      <c r="BL36" s="447"/>
      <c r="BM36" s="447"/>
      <c r="BN36" s="447"/>
      <c r="BO36" s="447"/>
      <c r="BP36" s="447"/>
      <c r="BQ36" s="447"/>
      <c r="BR36" s="447"/>
      <c r="BS36" s="447"/>
      <c r="BT36" s="447"/>
      <c r="BU36" s="447"/>
      <c r="BV36" s="447"/>
      <c r="BW36" s="447"/>
      <c r="BX36" s="447"/>
      <c r="BY36" s="447"/>
      <c r="BZ36" s="447"/>
      <c r="CA36" s="447"/>
      <c r="CB36" s="447"/>
      <c r="CC36" s="447"/>
      <c r="CD36" s="447"/>
      <c r="CE36" s="447"/>
      <c r="CF36" s="447"/>
      <c r="CG36" s="447"/>
      <c r="CH36" s="447"/>
      <c r="CI36" s="447"/>
      <c r="CJ36" s="447"/>
      <c r="CK36" s="447"/>
      <c r="CL36" s="447"/>
      <c r="CM36" s="447"/>
      <c r="CN36" s="447"/>
      <c r="CO36" s="447"/>
      <c r="CP36" s="447"/>
      <c r="CQ36" s="447"/>
      <c r="CR36" s="447"/>
      <c r="CS36" s="447"/>
      <c r="CT36" s="447"/>
      <c r="CU36" s="447"/>
      <c r="CV36" s="447"/>
      <c r="CW36" s="447"/>
      <c r="CX36" s="447"/>
      <c r="CY36" s="447"/>
      <c r="CZ36" s="447"/>
      <c r="DA36" s="447"/>
      <c r="DB36" s="447"/>
      <c r="DC36" s="447"/>
      <c r="DD36" s="447"/>
      <c r="DE36" s="447"/>
      <c r="DF36" s="447"/>
      <c r="DG36" s="447"/>
      <c r="DH36" s="447"/>
      <c r="DI36" s="447"/>
      <c r="DJ36" s="447"/>
      <c r="DK36" s="447"/>
      <c r="DL36" s="447"/>
      <c r="DM36" s="447"/>
      <c r="DN36" s="447"/>
      <c r="DO36" s="447"/>
      <c r="DP36" s="447"/>
      <c r="DQ36" s="447"/>
      <c r="DR36" s="447"/>
      <c r="DS36" s="447"/>
      <c r="DT36" s="447"/>
      <c r="DU36" s="447"/>
      <c r="DV36" s="447"/>
      <c r="DW36" s="447"/>
      <c r="DX36" s="447"/>
      <c r="DY36" s="447"/>
      <c r="DZ36" s="447"/>
      <c r="EA36" s="447"/>
      <c r="EB36" s="447"/>
      <c r="EC36" s="447"/>
      <c r="ED36" s="447"/>
      <c r="EE36" s="447"/>
      <c r="EF36" s="447"/>
      <c r="EG36" s="447"/>
      <c r="EH36" s="447"/>
      <c r="EI36" s="447"/>
      <c r="EJ36" s="447"/>
      <c r="EK36" s="447"/>
      <c r="EL36" s="447"/>
      <c r="EM36" s="447"/>
      <c r="EN36" s="447"/>
      <c r="EO36" s="447"/>
      <c r="EP36" s="447"/>
      <c r="EQ36" s="447"/>
      <c r="ER36" s="447"/>
      <c r="ES36" s="447"/>
      <c r="ET36" s="447"/>
      <c r="EU36" s="447"/>
      <c r="EV36" s="447"/>
      <c r="EW36" s="447"/>
      <c r="EX36" s="447"/>
      <c r="EY36" s="447"/>
      <c r="EZ36" s="447"/>
      <c r="FA36" s="447"/>
      <c r="FB36" s="447"/>
      <c r="FC36" s="447"/>
      <c r="FD36" s="447"/>
      <c r="FE36" s="447"/>
      <c r="FF36" s="447"/>
      <c r="FG36" s="447"/>
      <c r="FH36" s="447"/>
      <c r="FI36" s="447"/>
      <c r="FJ36" s="447"/>
      <c r="FK36" s="447"/>
      <c r="FL36" s="447"/>
      <c r="FM36" s="447"/>
      <c r="FN36" s="447"/>
      <c r="FO36" s="447"/>
      <c r="FP36" s="447"/>
      <c r="FQ36" s="447"/>
      <c r="FR36" s="447"/>
      <c r="FS36" s="447"/>
      <c r="FT36" s="447"/>
      <c r="FU36" s="447"/>
      <c r="FV36" s="447"/>
      <c r="FW36" s="447"/>
      <c r="FX36" s="447"/>
      <c r="FY36" s="447"/>
      <c r="FZ36" s="447"/>
      <c r="GA36" s="447"/>
      <c r="GB36" s="447"/>
      <c r="GC36" s="447"/>
      <c r="GD36" s="447"/>
      <c r="GE36" s="447"/>
      <c r="GF36" s="447"/>
      <c r="GG36" s="447"/>
      <c r="GH36" s="447"/>
      <c r="GI36" s="447"/>
      <c r="GJ36" s="447"/>
      <c r="GK36" s="447"/>
      <c r="GL36" s="447"/>
      <c r="GM36" s="447"/>
      <c r="GN36" s="447"/>
      <c r="GO36" s="447"/>
      <c r="GP36" s="447"/>
      <c r="GQ36" s="447"/>
      <c r="GR36" s="447"/>
      <c r="GS36" s="447"/>
      <c r="GT36" s="447"/>
      <c r="GU36" s="447"/>
      <c r="GV36" s="447"/>
      <c r="GW36" s="447"/>
      <c r="GX36" s="447"/>
      <c r="GY36" s="447"/>
      <c r="GZ36" s="447"/>
      <c r="HA36" s="447"/>
      <c r="HB36" s="447"/>
      <c r="HC36" s="447"/>
      <c r="HD36" s="447"/>
      <c r="HE36" s="447"/>
      <c r="HF36" s="447"/>
      <c r="HG36" s="447"/>
      <c r="HH36" s="447"/>
      <c r="HI36" s="447"/>
      <c r="HJ36" s="447"/>
      <c r="HK36" s="447"/>
      <c r="HL36" s="447"/>
      <c r="HM36" s="447"/>
      <c r="HN36" s="447"/>
      <c r="HO36" s="447"/>
      <c r="HP36" s="447"/>
      <c r="HQ36" s="447"/>
      <c r="HR36" s="447"/>
      <c r="HS36" s="447"/>
      <c r="HT36" s="447"/>
      <c r="HU36" s="447"/>
      <c r="HV36" s="447"/>
      <c r="HW36" s="447"/>
      <c r="HX36" s="447"/>
      <c r="HY36" s="447"/>
      <c r="HZ36" s="447"/>
      <c r="IA36" s="447"/>
      <c r="IB36" s="447"/>
      <c r="IC36" s="447"/>
      <c r="ID36" s="447"/>
      <c r="IE36" s="447"/>
      <c r="IF36" s="447"/>
      <c r="IG36" s="447"/>
      <c r="IH36" s="447"/>
      <c r="II36" s="447"/>
      <c r="IJ36" s="447"/>
      <c r="IK36" s="447"/>
      <c r="IL36" s="447"/>
      <c r="IM36" s="447"/>
      <c r="IN36" s="447"/>
      <c r="IO36" s="447"/>
      <c r="IP36" s="447"/>
      <c r="IQ36" s="447"/>
      <c r="IR36" s="447"/>
    </row>
    <row r="37" spans="1:252" ht="19.899999999999999" customHeight="1">
      <c r="A37" s="561">
        <v>25</v>
      </c>
      <c r="B37" s="562" t="s">
        <v>1435</v>
      </c>
      <c r="C37" s="563" t="s">
        <v>1409</v>
      </c>
      <c r="D37" s="564">
        <v>7</v>
      </c>
      <c r="E37" s="571">
        <f>D37</f>
        <v>7</v>
      </c>
      <c r="F37" s="569">
        <f t="shared" si="0"/>
        <v>0</v>
      </c>
      <c r="G37" s="446"/>
      <c r="H37" s="447"/>
      <c r="I37" s="447"/>
      <c r="J37" s="449"/>
      <c r="K37" s="447"/>
      <c r="L37" s="447"/>
      <c r="M37" s="447"/>
      <c r="N37" s="447"/>
      <c r="O37" s="447"/>
      <c r="P37" s="447"/>
      <c r="Q37" s="447"/>
      <c r="R37" s="447"/>
      <c r="S37" s="447"/>
      <c r="T37" s="447"/>
      <c r="U37" s="447"/>
      <c r="V37" s="447"/>
      <c r="W37" s="447"/>
      <c r="X37" s="447"/>
      <c r="Y37" s="447"/>
      <c r="Z37" s="447"/>
      <c r="AA37" s="447"/>
      <c r="AB37" s="447"/>
      <c r="AC37" s="447"/>
      <c r="AD37" s="447"/>
      <c r="AE37" s="447"/>
      <c r="AF37" s="447"/>
      <c r="AG37" s="447"/>
      <c r="AH37" s="447"/>
      <c r="AI37" s="447"/>
      <c r="AJ37" s="447"/>
      <c r="AK37" s="447"/>
      <c r="AL37" s="447"/>
      <c r="AM37" s="447"/>
      <c r="AN37" s="447"/>
      <c r="AO37" s="447"/>
      <c r="AP37" s="447"/>
      <c r="AQ37" s="447"/>
      <c r="AR37" s="447"/>
      <c r="AS37" s="447"/>
      <c r="AT37" s="447"/>
      <c r="AU37" s="447"/>
      <c r="AV37" s="447"/>
      <c r="AW37" s="447"/>
      <c r="AX37" s="447"/>
      <c r="AY37" s="447"/>
      <c r="AZ37" s="447"/>
      <c r="BA37" s="447"/>
      <c r="BB37" s="447"/>
      <c r="BC37" s="447"/>
      <c r="BD37" s="447"/>
      <c r="BE37" s="447"/>
      <c r="BF37" s="447"/>
      <c r="BG37" s="447"/>
      <c r="BH37" s="447"/>
      <c r="BI37" s="447"/>
      <c r="BJ37" s="447"/>
      <c r="BK37" s="447"/>
      <c r="BL37" s="447"/>
      <c r="BM37" s="447"/>
      <c r="BN37" s="447"/>
      <c r="BO37" s="447"/>
      <c r="BP37" s="447"/>
      <c r="BQ37" s="447"/>
      <c r="BR37" s="447"/>
      <c r="BS37" s="447"/>
      <c r="BT37" s="447"/>
      <c r="BU37" s="447"/>
      <c r="BV37" s="447"/>
      <c r="BW37" s="447"/>
      <c r="BX37" s="447"/>
      <c r="BY37" s="447"/>
      <c r="BZ37" s="447"/>
      <c r="CA37" s="447"/>
      <c r="CB37" s="447"/>
      <c r="CC37" s="447"/>
      <c r="CD37" s="447"/>
      <c r="CE37" s="447"/>
      <c r="CF37" s="447"/>
      <c r="CG37" s="447"/>
      <c r="CH37" s="447"/>
      <c r="CI37" s="447"/>
      <c r="CJ37" s="447"/>
      <c r="CK37" s="447"/>
      <c r="CL37" s="447"/>
      <c r="CM37" s="447"/>
      <c r="CN37" s="447"/>
      <c r="CO37" s="447"/>
      <c r="CP37" s="447"/>
      <c r="CQ37" s="447"/>
      <c r="CR37" s="447"/>
      <c r="CS37" s="447"/>
      <c r="CT37" s="447"/>
      <c r="CU37" s="447"/>
      <c r="CV37" s="447"/>
      <c r="CW37" s="447"/>
      <c r="CX37" s="447"/>
      <c r="CY37" s="447"/>
      <c r="CZ37" s="447"/>
      <c r="DA37" s="447"/>
      <c r="DB37" s="447"/>
      <c r="DC37" s="447"/>
      <c r="DD37" s="447"/>
      <c r="DE37" s="447"/>
      <c r="DF37" s="447"/>
      <c r="DG37" s="447"/>
      <c r="DH37" s="447"/>
      <c r="DI37" s="447"/>
      <c r="DJ37" s="447"/>
      <c r="DK37" s="447"/>
      <c r="DL37" s="447"/>
      <c r="DM37" s="447"/>
      <c r="DN37" s="447"/>
      <c r="DO37" s="447"/>
      <c r="DP37" s="447"/>
      <c r="DQ37" s="447"/>
      <c r="DR37" s="447"/>
      <c r="DS37" s="447"/>
      <c r="DT37" s="447"/>
      <c r="DU37" s="447"/>
      <c r="DV37" s="447"/>
      <c r="DW37" s="447"/>
      <c r="DX37" s="447"/>
      <c r="DY37" s="447"/>
      <c r="DZ37" s="447"/>
      <c r="EA37" s="447"/>
      <c r="EB37" s="447"/>
      <c r="EC37" s="447"/>
      <c r="ED37" s="447"/>
      <c r="EE37" s="447"/>
      <c r="EF37" s="447"/>
      <c r="EG37" s="447"/>
      <c r="EH37" s="447"/>
      <c r="EI37" s="447"/>
      <c r="EJ37" s="447"/>
      <c r="EK37" s="447"/>
      <c r="EL37" s="447"/>
      <c r="EM37" s="447"/>
      <c r="EN37" s="447"/>
      <c r="EO37" s="447"/>
      <c r="EP37" s="447"/>
      <c r="EQ37" s="447"/>
      <c r="ER37" s="447"/>
      <c r="ES37" s="447"/>
      <c r="ET37" s="447"/>
      <c r="EU37" s="447"/>
      <c r="EV37" s="447"/>
      <c r="EW37" s="447"/>
      <c r="EX37" s="447"/>
      <c r="EY37" s="447"/>
      <c r="EZ37" s="447"/>
      <c r="FA37" s="447"/>
      <c r="FB37" s="447"/>
      <c r="FC37" s="447"/>
      <c r="FD37" s="447"/>
      <c r="FE37" s="447"/>
      <c r="FF37" s="447"/>
      <c r="FG37" s="447"/>
      <c r="FH37" s="447"/>
      <c r="FI37" s="447"/>
      <c r="FJ37" s="447"/>
      <c r="FK37" s="447"/>
      <c r="FL37" s="447"/>
      <c r="FM37" s="447"/>
      <c r="FN37" s="447"/>
      <c r="FO37" s="447"/>
      <c r="FP37" s="447"/>
      <c r="FQ37" s="447"/>
      <c r="FR37" s="447"/>
      <c r="FS37" s="447"/>
      <c r="FT37" s="447"/>
      <c r="FU37" s="447"/>
      <c r="FV37" s="447"/>
      <c r="FW37" s="447"/>
      <c r="FX37" s="447"/>
      <c r="FY37" s="447"/>
      <c r="FZ37" s="447"/>
      <c r="GA37" s="447"/>
      <c r="GB37" s="447"/>
      <c r="GC37" s="447"/>
      <c r="GD37" s="447"/>
      <c r="GE37" s="447"/>
      <c r="GF37" s="447"/>
      <c r="GG37" s="447"/>
      <c r="GH37" s="447"/>
      <c r="GI37" s="447"/>
      <c r="GJ37" s="447"/>
      <c r="GK37" s="447"/>
      <c r="GL37" s="447"/>
      <c r="GM37" s="447"/>
      <c r="GN37" s="447"/>
      <c r="GO37" s="447"/>
      <c r="GP37" s="447"/>
      <c r="GQ37" s="447"/>
      <c r="GR37" s="447"/>
      <c r="GS37" s="447"/>
      <c r="GT37" s="447"/>
      <c r="GU37" s="447"/>
      <c r="GV37" s="447"/>
      <c r="GW37" s="447"/>
      <c r="GX37" s="447"/>
      <c r="GY37" s="447"/>
      <c r="GZ37" s="447"/>
      <c r="HA37" s="447"/>
      <c r="HB37" s="447"/>
      <c r="HC37" s="447"/>
      <c r="HD37" s="447"/>
      <c r="HE37" s="447"/>
      <c r="HF37" s="447"/>
      <c r="HG37" s="447"/>
      <c r="HH37" s="447"/>
      <c r="HI37" s="447"/>
      <c r="HJ37" s="447"/>
      <c r="HK37" s="447"/>
      <c r="HL37" s="447"/>
      <c r="HM37" s="447"/>
      <c r="HN37" s="447"/>
      <c r="HO37" s="447"/>
      <c r="HP37" s="447"/>
      <c r="HQ37" s="447"/>
      <c r="HR37" s="447"/>
      <c r="HS37" s="447"/>
      <c r="HT37" s="447"/>
      <c r="HU37" s="447"/>
      <c r="HV37" s="447"/>
      <c r="HW37" s="447"/>
      <c r="HX37" s="447"/>
      <c r="HY37" s="447"/>
      <c r="HZ37" s="447"/>
      <c r="IA37" s="447"/>
      <c r="IB37" s="447"/>
      <c r="IC37" s="447"/>
      <c r="ID37" s="447"/>
      <c r="IE37" s="447"/>
      <c r="IF37" s="447"/>
      <c r="IG37" s="447"/>
      <c r="IH37" s="447"/>
      <c r="II37" s="447"/>
      <c r="IJ37" s="447"/>
      <c r="IK37" s="447"/>
      <c r="IL37" s="447"/>
      <c r="IM37" s="447"/>
      <c r="IN37" s="447"/>
      <c r="IO37" s="447"/>
      <c r="IP37" s="447"/>
      <c r="IQ37" s="447"/>
      <c r="IR37" s="447"/>
    </row>
    <row r="38" spans="1:252" ht="47.25">
      <c r="A38" s="561">
        <v>26</v>
      </c>
      <c r="B38" s="562" t="s">
        <v>1436</v>
      </c>
      <c r="C38" s="563" t="s">
        <v>1437</v>
      </c>
      <c r="D38" s="564">
        <v>7</v>
      </c>
      <c r="E38" s="571">
        <f>D38</f>
        <v>7</v>
      </c>
      <c r="F38" s="569">
        <f t="shared" si="0"/>
        <v>0</v>
      </c>
      <c r="G38" s="446"/>
      <c r="H38" s="447"/>
      <c r="I38" s="447"/>
      <c r="J38" s="449"/>
      <c r="K38" s="447"/>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47"/>
      <c r="AJ38" s="447"/>
      <c r="AK38" s="447"/>
      <c r="AL38" s="447"/>
      <c r="AM38" s="447"/>
      <c r="AN38" s="447"/>
      <c r="AO38" s="447"/>
      <c r="AP38" s="447"/>
      <c r="AQ38" s="447"/>
      <c r="AR38" s="447"/>
      <c r="AS38" s="447"/>
      <c r="AT38" s="447"/>
      <c r="AU38" s="447"/>
      <c r="AV38" s="447"/>
      <c r="AW38" s="447"/>
      <c r="AX38" s="447"/>
      <c r="AY38" s="447"/>
      <c r="AZ38" s="447"/>
      <c r="BA38" s="447"/>
      <c r="BB38" s="447"/>
      <c r="BC38" s="447"/>
      <c r="BD38" s="447"/>
      <c r="BE38" s="447"/>
      <c r="BF38" s="447"/>
      <c r="BG38" s="447"/>
      <c r="BH38" s="447"/>
      <c r="BI38" s="447"/>
      <c r="BJ38" s="447"/>
      <c r="BK38" s="447"/>
      <c r="BL38" s="447"/>
      <c r="BM38" s="447"/>
      <c r="BN38" s="447"/>
      <c r="BO38" s="447"/>
      <c r="BP38" s="447"/>
      <c r="BQ38" s="447"/>
      <c r="BR38" s="447"/>
      <c r="BS38" s="447"/>
      <c r="BT38" s="447"/>
      <c r="BU38" s="447"/>
      <c r="BV38" s="447"/>
      <c r="BW38" s="447"/>
      <c r="BX38" s="447"/>
      <c r="BY38" s="447"/>
      <c r="BZ38" s="447"/>
      <c r="CA38" s="447"/>
      <c r="CB38" s="447"/>
      <c r="CC38" s="447"/>
      <c r="CD38" s="447"/>
      <c r="CE38" s="447"/>
      <c r="CF38" s="447"/>
      <c r="CG38" s="447"/>
      <c r="CH38" s="447"/>
      <c r="CI38" s="447"/>
      <c r="CJ38" s="447"/>
      <c r="CK38" s="447"/>
      <c r="CL38" s="447"/>
      <c r="CM38" s="447"/>
      <c r="CN38" s="447"/>
      <c r="CO38" s="447"/>
      <c r="CP38" s="447"/>
      <c r="CQ38" s="447"/>
      <c r="CR38" s="447"/>
      <c r="CS38" s="447"/>
      <c r="CT38" s="447"/>
      <c r="CU38" s="447"/>
      <c r="CV38" s="447"/>
      <c r="CW38" s="447"/>
      <c r="CX38" s="447"/>
      <c r="CY38" s="447"/>
      <c r="CZ38" s="447"/>
      <c r="DA38" s="447"/>
      <c r="DB38" s="447"/>
      <c r="DC38" s="447"/>
      <c r="DD38" s="447"/>
      <c r="DE38" s="447"/>
      <c r="DF38" s="447"/>
      <c r="DG38" s="447"/>
      <c r="DH38" s="447"/>
      <c r="DI38" s="447"/>
      <c r="DJ38" s="447"/>
      <c r="DK38" s="447"/>
      <c r="DL38" s="447"/>
      <c r="DM38" s="447"/>
      <c r="DN38" s="447"/>
      <c r="DO38" s="447"/>
      <c r="DP38" s="447"/>
      <c r="DQ38" s="447"/>
      <c r="DR38" s="447"/>
      <c r="DS38" s="447"/>
      <c r="DT38" s="447"/>
      <c r="DU38" s="447"/>
      <c r="DV38" s="447"/>
      <c r="DW38" s="447"/>
      <c r="DX38" s="447"/>
      <c r="DY38" s="447"/>
      <c r="DZ38" s="447"/>
      <c r="EA38" s="447"/>
      <c r="EB38" s="447"/>
      <c r="EC38" s="447"/>
      <c r="ED38" s="447"/>
      <c r="EE38" s="447"/>
      <c r="EF38" s="447"/>
      <c r="EG38" s="447"/>
      <c r="EH38" s="447"/>
      <c r="EI38" s="447"/>
      <c r="EJ38" s="447"/>
      <c r="EK38" s="447"/>
      <c r="EL38" s="447"/>
      <c r="EM38" s="447"/>
      <c r="EN38" s="447"/>
      <c r="EO38" s="447"/>
      <c r="EP38" s="447"/>
      <c r="EQ38" s="447"/>
      <c r="ER38" s="447"/>
      <c r="ES38" s="447"/>
      <c r="ET38" s="447"/>
      <c r="EU38" s="447"/>
      <c r="EV38" s="447"/>
      <c r="EW38" s="447"/>
      <c r="EX38" s="447"/>
      <c r="EY38" s="447"/>
      <c r="EZ38" s="447"/>
      <c r="FA38" s="447"/>
      <c r="FB38" s="447"/>
      <c r="FC38" s="447"/>
      <c r="FD38" s="447"/>
      <c r="FE38" s="447"/>
      <c r="FF38" s="447"/>
      <c r="FG38" s="447"/>
      <c r="FH38" s="447"/>
      <c r="FI38" s="447"/>
      <c r="FJ38" s="447"/>
      <c r="FK38" s="447"/>
      <c r="FL38" s="447"/>
      <c r="FM38" s="447"/>
      <c r="FN38" s="447"/>
      <c r="FO38" s="447"/>
      <c r="FP38" s="447"/>
      <c r="FQ38" s="447"/>
      <c r="FR38" s="447"/>
      <c r="FS38" s="447"/>
      <c r="FT38" s="447"/>
      <c r="FU38" s="447"/>
      <c r="FV38" s="447"/>
      <c r="FW38" s="447"/>
      <c r="FX38" s="447"/>
      <c r="FY38" s="447"/>
      <c r="FZ38" s="447"/>
      <c r="GA38" s="447"/>
      <c r="GB38" s="447"/>
      <c r="GC38" s="447"/>
      <c r="GD38" s="447"/>
      <c r="GE38" s="447"/>
      <c r="GF38" s="447"/>
      <c r="GG38" s="447"/>
      <c r="GH38" s="447"/>
      <c r="GI38" s="447"/>
      <c r="GJ38" s="447"/>
      <c r="GK38" s="447"/>
      <c r="GL38" s="447"/>
      <c r="GM38" s="447"/>
      <c r="GN38" s="447"/>
      <c r="GO38" s="447"/>
      <c r="GP38" s="447"/>
      <c r="GQ38" s="447"/>
      <c r="GR38" s="447"/>
      <c r="GS38" s="447"/>
      <c r="GT38" s="447"/>
      <c r="GU38" s="447"/>
      <c r="GV38" s="447"/>
      <c r="GW38" s="447"/>
      <c r="GX38" s="447"/>
      <c r="GY38" s="447"/>
      <c r="GZ38" s="447"/>
      <c r="HA38" s="447"/>
      <c r="HB38" s="447"/>
      <c r="HC38" s="447"/>
      <c r="HD38" s="447"/>
      <c r="HE38" s="447"/>
      <c r="HF38" s="447"/>
      <c r="HG38" s="447"/>
      <c r="HH38" s="447"/>
      <c r="HI38" s="447"/>
      <c r="HJ38" s="447"/>
      <c r="HK38" s="447"/>
      <c r="HL38" s="447"/>
      <c r="HM38" s="447"/>
      <c r="HN38" s="447"/>
      <c r="HO38" s="447"/>
      <c r="HP38" s="447"/>
      <c r="HQ38" s="447"/>
      <c r="HR38" s="447"/>
      <c r="HS38" s="447"/>
      <c r="HT38" s="447"/>
      <c r="HU38" s="447"/>
      <c r="HV38" s="447"/>
      <c r="HW38" s="447"/>
      <c r="HX38" s="447"/>
      <c r="HY38" s="447"/>
      <c r="HZ38" s="447"/>
      <c r="IA38" s="447"/>
      <c r="IB38" s="447"/>
      <c r="IC38" s="447"/>
      <c r="ID38" s="447"/>
      <c r="IE38" s="447"/>
      <c r="IF38" s="447"/>
      <c r="IG38" s="447"/>
      <c r="IH38" s="447"/>
      <c r="II38" s="447"/>
      <c r="IJ38" s="447"/>
      <c r="IK38" s="447"/>
      <c r="IL38" s="447"/>
      <c r="IM38" s="447"/>
      <c r="IN38" s="447"/>
      <c r="IO38" s="447"/>
      <c r="IP38" s="447"/>
      <c r="IQ38" s="447"/>
      <c r="IR38" s="447"/>
    </row>
    <row r="39" spans="1:252" ht="31.5">
      <c r="A39" s="561">
        <v>27</v>
      </c>
      <c r="B39" s="562" t="s">
        <v>1438</v>
      </c>
      <c r="C39" s="563" t="s">
        <v>43</v>
      </c>
      <c r="D39" s="564">
        <v>4.633</v>
      </c>
      <c r="E39" s="564">
        <v>4.633</v>
      </c>
      <c r="F39" s="569">
        <f t="shared" si="0"/>
        <v>0</v>
      </c>
      <c r="G39" s="446"/>
      <c r="H39" s="447"/>
      <c r="I39" s="447"/>
      <c r="J39" s="449"/>
      <c r="K39" s="447"/>
      <c r="L39" s="447"/>
      <c r="M39" s="447"/>
      <c r="N39" s="447"/>
      <c r="O39" s="447"/>
      <c r="P39" s="447"/>
      <c r="Q39" s="447"/>
      <c r="R39" s="447"/>
      <c r="S39" s="447"/>
      <c r="T39" s="447"/>
      <c r="U39" s="447"/>
      <c r="V39" s="447"/>
      <c r="W39" s="447"/>
      <c r="X39" s="447"/>
      <c r="Y39" s="447"/>
      <c r="Z39" s="447"/>
      <c r="AA39" s="447"/>
      <c r="AB39" s="447"/>
      <c r="AC39" s="447"/>
      <c r="AD39" s="447"/>
      <c r="AE39" s="447"/>
      <c r="AF39" s="447"/>
      <c r="AG39" s="447"/>
      <c r="AH39" s="447"/>
      <c r="AI39" s="447"/>
      <c r="AJ39" s="447"/>
      <c r="AK39" s="447"/>
      <c r="AL39" s="447"/>
      <c r="AM39" s="447"/>
      <c r="AN39" s="447"/>
      <c r="AO39" s="447"/>
      <c r="AP39" s="447"/>
      <c r="AQ39" s="447"/>
      <c r="AR39" s="447"/>
      <c r="AS39" s="447"/>
      <c r="AT39" s="447"/>
      <c r="AU39" s="447"/>
      <c r="AV39" s="447"/>
      <c r="AW39" s="447"/>
      <c r="AX39" s="447"/>
      <c r="AY39" s="447"/>
      <c r="AZ39" s="447"/>
      <c r="BA39" s="447"/>
      <c r="BB39" s="447"/>
      <c r="BC39" s="447"/>
      <c r="BD39" s="447"/>
      <c r="BE39" s="447"/>
      <c r="BF39" s="447"/>
      <c r="BG39" s="447"/>
      <c r="BH39" s="447"/>
      <c r="BI39" s="447"/>
      <c r="BJ39" s="447"/>
      <c r="BK39" s="447"/>
      <c r="BL39" s="447"/>
      <c r="BM39" s="447"/>
      <c r="BN39" s="447"/>
      <c r="BO39" s="447"/>
      <c r="BP39" s="447"/>
      <c r="BQ39" s="447"/>
      <c r="BR39" s="447"/>
      <c r="BS39" s="447"/>
      <c r="BT39" s="447"/>
      <c r="BU39" s="447"/>
      <c r="BV39" s="447"/>
      <c r="BW39" s="447"/>
      <c r="BX39" s="447"/>
      <c r="BY39" s="447"/>
      <c r="BZ39" s="447"/>
      <c r="CA39" s="447"/>
      <c r="CB39" s="447"/>
      <c r="CC39" s="447"/>
      <c r="CD39" s="447"/>
      <c r="CE39" s="447"/>
      <c r="CF39" s="447"/>
      <c r="CG39" s="447"/>
      <c r="CH39" s="447"/>
      <c r="CI39" s="447"/>
      <c r="CJ39" s="447"/>
      <c r="CK39" s="447"/>
      <c r="CL39" s="447"/>
      <c r="CM39" s="447"/>
      <c r="CN39" s="447"/>
      <c r="CO39" s="447"/>
      <c r="CP39" s="447"/>
      <c r="CQ39" s="447"/>
      <c r="CR39" s="447"/>
      <c r="CS39" s="447"/>
      <c r="CT39" s="447"/>
      <c r="CU39" s="447"/>
      <c r="CV39" s="447"/>
      <c r="CW39" s="447"/>
      <c r="CX39" s="447"/>
      <c r="CY39" s="447"/>
      <c r="CZ39" s="447"/>
      <c r="DA39" s="447"/>
      <c r="DB39" s="447"/>
      <c r="DC39" s="447"/>
      <c r="DD39" s="447"/>
      <c r="DE39" s="447"/>
      <c r="DF39" s="447"/>
      <c r="DG39" s="447"/>
      <c r="DH39" s="447"/>
      <c r="DI39" s="447"/>
      <c r="DJ39" s="447"/>
      <c r="DK39" s="447"/>
      <c r="DL39" s="447"/>
      <c r="DM39" s="447"/>
      <c r="DN39" s="447"/>
      <c r="DO39" s="447"/>
      <c r="DP39" s="447"/>
      <c r="DQ39" s="447"/>
      <c r="DR39" s="447"/>
      <c r="DS39" s="447"/>
      <c r="DT39" s="447"/>
      <c r="DU39" s="447"/>
      <c r="DV39" s="447"/>
      <c r="DW39" s="447"/>
      <c r="DX39" s="447"/>
      <c r="DY39" s="447"/>
      <c r="DZ39" s="447"/>
      <c r="EA39" s="447"/>
      <c r="EB39" s="447"/>
      <c r="EC39" s="447"/>
      <c r="ED39" s="447"/>
      <c r="EE39" s="447"/>
      <c r="EF39" s="447"/>
      <c r="EG39" s="447"/>
      <c r="EH39" s="447"/>
      <c r="EI39" s="447"/>
      <c r="EJ39" s="447"/>
      <c r="EK39" s="447"/>
      <c r="EL39" s="447"/>
      <c r="EM39" s="447"/>
      <c r="EN39" s="447"/>
      <c r="EO39" s="447"/>
      <c r="EP39" s="447"/>
      <c r="EQ39" s="447"/>
      <c r="ER39" s="447"/>
      <c r="ES39" s="447"/>
      <c r="ET39" s="447"/>
      <c r="EU39" s="447"/>
      <c r="EV39" s="447"/>
      <c r="EW39" s="447"/>
      <c r="EX39" s="447"/>
      <c r="EY39" s="447"/>
      <c r="EZ39" s="447"/>
      <c r="FA39" s="447"/>
      <c r="FB39" s="447"/>
      <c r="FC39" s="447"/>
      <c r="FD39" s="447"/>
      <c r="FE39" s="447"/>
      <c r="FF39" s="447"/>
      <c r="FG39" s="447"/>
      <c r="FH39" s="447"/>
      <c r="FI39" s="447"/>
      <c r="FJ39" s="447"/>
      <c r="FK39" s="447"/>
      <c r="FL39" s="447"/>
      <c r="FM39" s="447"/>
      <c r="FN39" s="447"/>
      <c r="FO39" s="447"/>
      <c r="FP39" s="447"/>
      <c r="FQ39" s="447"/>
      <c r="FR39" s="447"/>
      <c r="FS39" s="447"/>
      <c r="FT39" s="447"/>
      <c r="FU39" s="447"/>
      <c r="FV39" s="447"/>
      <c r="FW39" s="447"/>
      <c r="FX39" s="447"/>
      <c r="FY39" s="447"/>
      <c r="FZ39" s="447"/>
      <c r="GA39" s="447"/>
      <c r="GB39" s="447"/>
      <c r="GC39" s="447"/>
      <c r="GD39" s="447"/>
      <c r="GE39" s="447"/>
      <c r="GF39" s="447"/>
      <c r="GG39" s="447"/>
      <c r="GH39" s="447"/>
      <c r="GI39" s="447"/>
      <c r="GJ39" s="447"/>
      <c r="GK39" s="447"/>
      <c r="GL39" s="447"/>
      <c r="GM39" s="447"/>
      <c r="GN39" s="447"/>
      <c r="GO39" s="447"/>
      <c r="GP39" s="447"/>
      <c r="GQ39" s="447"/>
      <c r="GR39" s="447"/>
      <c r="GS39" s="447"/>
      <c r="GT39" s="447"/>
      <c r="GU39" s="447"/>
      <c r="GV39" s="447"/>
      <c r="GW39" s="447"/>
      <c r="GX39" s="447"/>
      <c r="GY39" s="447"/>
      <c r="GZ39" s="447"/>
      <c r="HA39" s="447"/>
      <c r="HB39" s="447"/>
      <c r="HC39" s="447"/>
      <c r="HD39" s="447"/>
      <c r="HE39" s="447"/>
      <c r="HF39" s="447"/>
      <c r="HG39" s="447"/>
      <c r="HH39" s="447"/>
      <c r="HI39" s="447"/>
      <c r="HJ39" s="447"/>
      <c r="HK39" s="447"/>
      <c r="HL39" s="447"/>
      <c r="HM39" s="447"/>
      <c r="HN39" s="447"/>
      <c r="HO39" s="447"/>
      <c r="HP39" s="447"/>
      <c r="HQ39" s="447"/>
      <c r="HR39" s="447"/>
      <c r="HS39" s="447"/>
      <c r="HT39" s="447"/>
      <c r="HU39" s="447"/>
      <c r="HV39" s="447"/>
      <c r="HW39" s="447"/>
      <c r="HX39" s="447"/>
      <c r="HY39" s="447"/>
      <c r="HZ39" s="447"/>
      <c r="IA39" s="447"/>
      <c r="IB39" s="447"/>
      <c r="IC39" s="447"/>
      <c r="ID39" s="447"/>
      <c r="IE39" s="447"/>
      <c r="IF39" s="447"/>
      <c r="IG39" s="447"/>
      <c r="IH39" s="447"/>
      <c r="II39" s="447"/>
      <c r="IJ39" s="447"/>
      <c r="IK39" s="447"/>
      <c r="IL39" s="447"/>
      <c r="IM39" s="447"/>
      <c r="IN39" s="447"/>
      <c r="IO39" s="447"/>
      <c r="IP39" s="447"/>
      <c r="IQ39" s="447"/>
      <c r="IR39" s="447"/>
    </row>
    <row r="40" spans="1:252" ht="31.5">
      <c r="A40" s="561">
        <v>28</v>
      </c>
      <c r="B40" s="562" t="s">
        <v>1439</v>
      </c>
      <c r="C40" s="563" t="s">
        <v>43</v>
      </c>
      <c r="D40" s="564">
        <v>4.633</v>
      </c>
      <c r="E40" s="564">
        <v>4.633</v>
      </c>
      <c r="F40" s="569">
        <f t="shared" si="0"/>
        <v>0</v>
      </c>
      <c r="G40" s="446"/>
      <c r="H40" s="447"/>
      <c r="I40" s="447"/>
      <c r="J40" s="449"/>
      <c r="K40" s="447"/>
      <c r="L40" s="447"/>
      <c r="M40" s="447"/>
      <c r="N40" s="447"/>
      <c r="O40" s="447"/>
      <c r="P40" s="447"/>
      <c r="Q40" s="447"/>
      <c r="R40" s="447"/>
      <c r="S40" s="447"/>
      <c r="T40" s="447"/>
      <c r="U40" s="447"/>
      <c r="V40" s="447"/>
      <c r="W40" s="447"/>
      <c r="X40" s="447"/>
      <c r="Y40" s="447"/>
      <c r="Z40" s="447"/>
      <c r="AA40" s="447"/>
      <c r="AB40" s="447"/>
      <c r="AC40" s="447"/>
      <c r="AD40" s="447"/>
      <c r="AE40" s="447"/>
      <c r="AF40" s="447"/>
      <c r="AG40" s="447"/>
      <c r="AH40" s="447"/>
      <c r="AI40" s="447"/>
      <c r="AJ40" s="447"/>
      <c r="AK40" s="447"/>
      <c r="AL40" s="447"/>
      <c r="AM40" s="447"/>
      <c r="AN40" s="447"/>
      <c r="AO40" s="447"/>
      <c r="AP40" s="447"/>
      <c r="AQ40" s="447"/>
      <c r="AR40" s="447"/>
      <c r="AS40" s="447"/>
      <c r="AT40" s="447"/>
      <c r="AU40" s="447"/>
      <c r="AV40" s="447"/>
      <c r="AW40" s="447"/>
      <c r="AX40" s="447"/>
      <c r="AY40" s="447"/>
      <c r="AZ40" s="447"/>
      <c r="BA40" s="447"/>
      <c r="BB40" s="447"/>
      <c r="BC40" s="447"/>
      <c r="BD40" s="447"/>
      <c r="BE40" s="447"/>
      <c r="BF40" s="447"/>
      <c r="BG40" s="447"/>
      <c r="BH40" s="447"/>
      <c r="BI40" s="447"/>
      <c r="BJ40" s="447"/>
      <c r="BK40" s="447"/>
      <c r="BL40" s="447"/>
      <c r="BM40" s="447"/>
      <c r="BN40" s="447"/>
      <c r="BO40" s="447"/>
      <c r="BP40" s="447"/>
      <c r="BQ40" s="447"/>
      <c r="BR40" s="447"/>
      <c r="BS40" s="447"/>
      <c r="BT40" s="447"/>
      <c r="BU40" s="447"/>
      <c r="BV40" s="447"/>
      <c r="BW40" s="447"/>
      <c r="BX40" s="447"/>
      <c r="BY40" s="447"/>
      <c r="BZ40" s="447"/>
      <c r="CA40" s="447"/>
      <c r="CB40" s="447"/>
      <c r="CC40" s="447"/>
      <c r="CD40" s="447"/>
      <c r="CE40" s="447"/>
      <c r="CF40" s="447"/>
      <c r="CG40" s="447"/>
      <c r="CH40" s="447"/>
      <c r="CI40" s="447"/>
      <c r="CJ40" s="447"/>
      <c r="CK40" s="447"/>
      <c r="CL40" s="447"/>
      <c r="CM40" s="447"/>
      <c r="CN40" s="447"/>
      <c r="CO40" s="447"/>
      <c r="CP40" s="447"/>
      <c r="CQ40" s="447"/>
      <c r="CR40" s="447"/>
      <c r="CS40" s="447"/>
      <c r="CT40" s="447"/>
      <c r="CU40" s="447"/>
      <c r="CV40" s="447"/>
      <c r="CW40" s="447"/>
      <c r="CX40" s="447"/>
      <c r="CY40" s="447"/>
      <c r="CZ40" s="447"/>
      <c r="DA40" s="447"/>
      <c r="DB40" s="447"/>
      <c r="DC40" s="447"/>
      <c r="DD40" s="447"/>
      <c r="DE40" s="447"/>
      <c r="DF40" s="447"/>
      <c r="DG40" s="447"/>
      <c r="DH40" s="447"/>
      <c r="DI40" s="447"/>
      <c r="DJ40" s="447"/>
      <c r="DK40" s="447"/>
      <c r="DL40" s="447"/>
      <c r="DM40" s="447"/>
      <c r="DN40" s="447"/>
      <c r="DO40" s="447"/>
      <c r="DP40" s="447"/>
      <c r="DQ40" s="447"/>
      <c r="DR40" s="447"/>
      <c r="DS40" s="447"/>
      <c r="DT40" s="447"/>
      <c r="DU40" s="447"/>
      <c r="DV40" s="447"/>
      <c r="DW40" s="447"/>
      <c r="DX40" s="447"/>
      <c r="DY40" s="447"/>
      <c r="DZ40" s="447"/>
      <c r="EA40" s="447"/>
      <c r="EB40" s="447"/>
      <c r="EC40" s="447"/>
      <c r="ED40" s="447"/>
      <c r="EE40" s="447"/>
      <c r="EF40" s="447"/>
      <c r="EG40" s="447"/>
      <c r="EH40" s="447"/>
      <c r="EI40" s="447"/>
      <c r="EJ40" s="447"/>
      <c r="EK40" s="447"/>
      <c r="EL40" s="447"/>
      <c r="EM40" s="447"/>
      <c r="EN40" s="447"/>
      <c r="EO40" s="447"/>
      <c r="EP40" s="447"/>
      <c r="EQ40" s="447"/>
      <c r="ER40" s="447"/>
      <c r="ES40" s="447"/>
      <c r="ET40" s="447"/>
      <c r="EU40" s="447"/>
      <c r="EV40" s="447"/>
      <c r="EW40" s="447"/>
      <c r="EX40" s="447"/>
      <c r="EY40" s="447"/>
      <c r="EZ40" s="447"/>
      <c r="FA40" s="447"/>
      <c r="FB40" s="447"/>
      <c r="FC40" s="447"/>
      <c r="FD40" s="447"/>
      <c r="FE40" s="447"/>
      <c r="FF40" s="447"/>
      <c r="FG40" s="447"/>
      <c r="FH40" s="447"/>
      <c r="FI40" s="447"/>
      <c r="FJ40" s="447"/>
      <c r="FK40" s="447"/>
      <c r="FL40" s="447"/>
      <c r="FM40" s="447"/>
      <c r="FN40" s="447"/>
      <c r="FO40" s="447"/>
      <c r="FP40" s="447"/>
      <c r="FQ40" s="447"/>
      <c r="FR40" s="447"/>
      <c r="FS40" s="447"/>
      <c r="FT40" s="447"/>
      <c r="FU40" s="447"/>
      <c r="FV40" s="447"/>
      <c r="FW40" s="447"/>
      <c r="FX40" s="447"/>
      <c r="FY40" s="447"/>
      <c r="FZ40" s="447"/>
      <c r="GA40" s="447"/>
      <c r="GB40" s="447"/>
      <c r="GC40" s="447"/>
      <c r="GD40" s="447"/>
      <c r="GE40" s="447"/>
      <c r="GF40" s="447"/>
      <c r="GG40" s="447"/>
      <c r="GH40" s="447"/>
      <c r="GI40" s="447"/>
      <c r="GJ40" s="447"/>
      <c r="GK40" s="447"/>
      <c r="GL40" s="447"/>
      <c r="GM40" s="447"/>
      <c r="GN40" s="447"/>
      <c r="GO40" s="447"/>
      <c r="GP40" s="447"/>
      <c r="GQ40" s="447"/>
      <c r="GR40" s="447"/>
      <c r="GS40" s="447"/>
      <c r="GT40" s="447"/>
      <c r="GU40" s="447"/>
      <c r="GV40" s="447"/>
      <c r="GW40" s="447"/>
      <c r="GX40" s="447"/>
      <c r="GY40" s="447"/>
      <c r="GZ40" s="447"/>
      <c r="HA40" s="447"/>
      <c r="HB40" s="447"/>
      <c r="HC40" s="447"/>
      <c r="HD40" s="447"/>
      <c r="HE40" s="447"/>
      <c r="HF40" s="447"/>
      <c r="HG40" s="447"/>
      <c r="HH40" s="447"/>
      <c r="HI40" s="447"/>
      <c r="HJ40" s="447"/>
      <c r="HK40" s="447"/>
      <c r="HL40" s="447"/>
      <c r="HM40" s="447"/>
      <c r="HN40" s="447"/>
      <c r="HO40" s="447"/>
      <c r="HP40" s="447"/>
      <c r="HQ40" s="447"/>
      <c r="HR40" s="447"/>
      <c r="HS40" s="447"/>
      <c r="HT40" s="447"/>
      <c r="HU40" s="447"/>
      <c r="HV40" s="447"/>
      <c r="HW40" s="447"/>
      <c r="HX40" s="447"/>
      <c r="HY40" s="447"/>
      <c r="HZ40" s="447"/>
      <c r="IA40" s="447"/>
      <c r="IB40" s="447"/>
      <c r="IC40" s="447"/>
      <c r="ID40" s="447"/>
      <c r="IE40" s="447"/>
      <c r="IF40" s="447"/>
      <c r="IG40" s="447"/>
      <c r="IH40" s="447"/>
      <c r="II40" s="447"/>
      <c r="IJ40" s="447"/>
      <c r="IK40" s="447"/>
      <c r="IL40" s="447"/>
      <c r="IM40" s="447"/>
      <c r="IN40" s="447"/>
      <c r="IO40" s="447"/>
      <c r="IP40" s="447"/>
      <c r="IQ40" s="447"/>
      <c r="IR40" s="447"/>
    </row>
    <row r="41" spans="1:252" ht="19.899999999999999" customHeight="1">
      <c r="A41" s="561">
        <v>29</v>
      </c>
      <c r="B41" s="562" t="s">
        <v>1440</v>
      </c>
      <c r="C41" s="563" t="s">
        <v>43</v>
      </c>
      <c r="D41" s="564">
        <v>4.633</v>
      </c>
      <c r="E41" s="564">
        <v>4.633</v>
      </c>
      <c r="F41" s="569">
        <f t="shared" si="0"/>
        <v>0</v>
      </c>
      <c r="G41" s="446"/>
      <c r="H41" s="447"/>
      <c r="I41" s="447"/>
      <c r="J41" s="449"/>
      <c r="K41" s="447"/>
      <c r="L41" s="447"/>
      <c r="M41" s="447"/>
      <c r="N41" s="447"/>
      <c r="O41" s="447"/>
      <c r="P41" s="447"/>
      <c r="Q41" s="447"/>
      <c r="R41" s="447"/>
      <c r="S41" s="447"/>
      <c r="T41" s="447"/>
      <c r="U41" s="447"/>
      <c r="V41" s="447"/>
      <c r="W41" s="447"/>
      <c r="X41" s="447"/>
      <c r="Y41" s="447"/>
      <c r="Z41" s="447"/>
      <c r="AA41" s="447"/>
      <c r="AB41" s="447"/>
      <c r="AC41" s="447"/>
      <c r="AD41" s="447"/>
      <c r="AE41" s="447"/>
      <c r="AF41" s="447"/>
      <c r="AG41" s="447"/>
      <c r="AH41" s="447"/>
      <c r="AI41" s="447"/>
      <c r="AJ41" s="447"/>
      <c r="AK41" s="447"/>
      <c r="AL41" s="447"/>
      <c r="AM41" s="447"/>
      <c r="AN41" s="447"/>
      <c r="AO41" s="447"/>
      <c r="AP41" s="447"/>
      <c r="AQ41" s="447"/>
      <c r="AR41" s="447"/>
      <c r="AS41" s="447"/>
      <c r="AT41" s="447"/>
      <c r="AU41" s="447"/>
      <c r="AV41" s="447"/>
      <c r="AW41" s="447"/>
      <c r="AX41" s="447"/>
      <c r="AY41" s="447"/>
      <c r="AZ41" s="447"/>
      <c r="BA41" s="447"/>
      <c r="BB41" s="447"/>
      <c r="BC41" s="447"/>
      <c r="BD41" s="447"/>
      <c r="BE41" s="447"/>
      <c r="BF41" s="447"/>
      <c r="BG41" s="447"/>
      <c r="BH41" s="447"/>
      <c r="BI41" s="447"/>
      <c r="BJ41" s="447"/>
      <c r="BK41" s="447"/>
      <c r="BL41" s="447"/>
      <c r="BM41" s="447"/>
      <c r="BN41" s="447"/>
      <c r="BO41" s="447"/>
      <c r="BP41" s="447"/>
      <c r="BQ41" s="447"/>
      <c r="BR41" s="447"/>
      <c r="BS41" s="447"/>
      <c r="BT41" s="447"/>
      <c r="BU41" s="447"/>
      <c r="BV41" s="447"/>
      <c r="BW41" s="447"/>
      <c r="BX41" s="447"/>
      <c r="BY41" s="447"/>
      <c r="BZ41" s="447"/>
      <c r="CA41" s="447"/>
      <c r="CB41" s="447"/>
      <c r="CC41" s="447"/>
      <c r="CD41" s="447"/>
      <c r="CE41" s="447"/>
      <c r="CF41" s="447"/>
      <c r="CG41" s="447"/>
      <c r="CH41" s="447"/>
      <c r="CI41" s="447"/>
      <c r="CJ41" s="447"/>
      <c r="CK41" s="447"/>
      <c r="CL41" s="447"/>
      <c r="CM41" s="447"/>
      <c r="CN41" s="447"/>
      <c r="CO41" s="447"/>
      <c r="CP41" s="447"/>
      <c r="CQ41" s="447"/>
      <c r="CR41" s="447"/>
      <c r="CS41" s="447"/>
      <c r="CT41" s="447"/>
      <c r="CU41" s="447"/>
      <c r="CV41" s="447"/>
      <c r="CW41" s="447"/>
      <c r="CX41" s="447"/>
      <c r="CY41" s="447"/>
      <c r="CZ41" s="447"/>
      <c r="DA41" s="447"/>
      <c r="DB41" s="447"/>
      <c r="DC41" s="447"/>
      <c r="DD41" s="447"/>
      <c r="DE41" s="447"/>
      <c r="DF41" s="447"/>
      <c r="DG41" s="447"/>
      <c r="DH41" s="447"/>
      <c r="DI41" s="447"/>
      <c r="DJ41" s="447"/>
      <c r="DK41" s="447"/>
      <c r="DL41" s="447"/>
      <c r="DM41" s="447"/>
      <c r="DN41" s="447"/>
      <c r="DO41" s="447"/>
      <c r="DP41" s="447"/>
      <c r="DQ41" s="447"/>
      <c r="DR41" s="447"/>
      <c r="DS41" s="447"/>
      <c r="DT41" s="447"/>
      <c r="DU41" s="447"/>
      <c r="DV41" s="447"/>
      <c r="DW41" s="447"/>
      <c r="DX41" s="447"/>
      <c r="DY41" s="447"/>
      <c r="DZ41" s="447"/>
      <c r="EA41" s="447"/>
      <c r="EB41" s="447"/>
      <c r="EC41" s="447"/>
      <c r="ED41" s="447"/>
      <c r="EE41" s="447"/>
      <c r="EF41" s="447"/>
      <c r="EG41" s="447"/>
      <c r="EH41" s="447"/>
      <c r="EI41" s="447"/>
      <c r="EJ41" s="447"/>
      <c r="EK41" s="447"/>
      <c r="EL41" s="447"/>
      <c r="EM41" s="447"/>
      <c r="EN41" s="447"/>
      <c r="EO41" s="447"/>
      <c r="EP41" s="447"/>
      <c r="EQ41" s="447"/>
      <c r="ER41" s="447"/>
      <c r="ES41" s="447"/>
      <c r="ET41" s="447"/>
      <c r="EU41" s="447"/>
      <c r="EV41" s="447"/>
      <c r="EW41" s="447"/>
      <c r="EX41" s="447"/>
      <c r="EY41" s="447"/>
      <c r="EZ41" s="447"/>
      <c r="FA41" s="447"/>
      <c r="FB41" s="447"/>
      <c r="FC41" s="447"/>
      <c r="FD41" s="447"/>
      <c r="FE41" s="447"/>
      <c r="FF41" s="447"/>
      <c r="FG41" s="447"/>
      <c r="FH41" s="447"/>
      <c r="FI41" s="447"/>
      <c r="FJ41" s="447"/>
      <c r="FK41" s="447"/>
      <c r="FL41" s="447"/>
      <c r="FM41" s="447"/>
      <c r="FN41" s="447"/>
      <c r="FO41" s="447"/>
      <c r="FP41" s="447"/>
      <c r="FQ41" s="447"/>
      <c r="FR41" s="447"/>
      <c r="FS41" s="447"/>
      <c r="FT41" s="447"/>
      <c r="FU41" s="447"/>
      <c r="FV41" s="447"/>
      <c r="FW41" s="447"/>
      <c r="FX41" s="447"/>
      <c r="FY41" s="447"/>
      <c r="FZ41" s="447"/>
      <c r="GA41" s="447"/>
      <c r="GB41" s="447"/>
      <c r="GC41" s="447"/>
      <c r="GD41" s="447"/>
      <c r="GE41" s="447"/>
      <c r="GF41" s="447"/>
      <c r="GG41" s="447"/>
      <c r="GH41" s="447"/>
      <c r="GI41" s="447"/>
      <c r="GJ41" s="447"/>
      <c r="GK41" s="447"/>
      <c r="GL41" s="447"/>
      <c r="GM41" s="447"/>
      <c r="GN41" s="447"/>
      <c r="GO41" s="447"/>
      <c r="GP41" s="447"/>
      <c r="GQ41" s="447"/>
      <c r="GR41" s="447"/>
      <c r="GS41" s="447"/>
      <c r="GT41" s="447"/>
      <c r="GU41" s="447"/>
      <c r="GV41" s="447"/>
      <c r="GW41" s="447"/>
      <c r="GX41" s="447"/>
      <c r="GY41" s="447"/>
      <c r="GZ41" s="447"/>
      <c r="HA41" s="447"/>
      <c r="HB41" s="447"/>
      <c r="HC41" s="447"/>
      <c r="HD41" s="447"/>
      <c r="HE41" s="447"/>
      <c r="HF41" s="447"/>
      <c r="HG41" s="447"/>
      <c r="HH41" s="447"/>
      <c r="HI41" s="447"/>
      <c r="HJ41" s="447"/>
      <c r="HK41" s="447"/>
      <c r="HL41" s="447"/>
      <c r="HM41" s="447"/>
      <c r="HN41" s="447"/>
      <c r="HO41" s="447"/>
      <c r="HP41" s="447"/>
      <c r="HQ41" s="447"/>
      <c r="HR41" s="447"/>
      <c r="HS41" s="447"/>
      <c r="HT41" s="447"/>
      <c r="HU41" s="447"/>
      <c r="HV41" s="447"/>
      <c r="HW41" s="447"/>
      <c r="HX41" s="447"/>
      <c r="HY41" s="447"/>
      <c r="HZ41" s="447"/>
      <c r="IA41" s="447"/>
      <c r="IB41" s="447"/>
      <c r="IC41" s="447"/>
      <c r="ID41" s="447"/>
      <c r="IE41" s="447"/>
      <c r="IF41" s="447"/>
      <c r="IG41" s="447"/>
      <c r="IH41" s="447"/>
      <c r="II41" s="447"/>
      <c r="IJ41" s="447"/>
      <c r="IK41" s="447"/>
      <c r="IL41" s="447"/>
      <c r="IM41" s="447"/>
      <c r="IN41" s="447"/>
      <c r="IO41" s="447"/>
      <c r="IP41" s="447"/>
      <c r="IQ41" s="447"/>
      <c r="IR41" s="447"/>
    </row>
    <row r="42" spans="1:252" ht="19.899999999999999" customHeight="1">
      <c r="A42" s="565" t="s">
        <v>39</v>
      </c>
      <c r="B42" s="566" t="s">
        <v>1441</v>
      </c>
      <c r="C42" s="562"/>
      <c r="D42" s="567"/>
      <c r="E42" s="567"/>
      <c r="F42" s="569">
        <f t="shared" si="0"/>
        <v>0</v>
      </c>
      <c r="G42" s="446"/>
      <c r="H42" s="447"/>
      <c r="I42" s="447"/>
      <c r="J42" s="449"/>
      <c r="K42" s="447"/>
      <c r="L42" s="447"/>
      <c r="M42" s="447"/>
      <c r="N42" s="447"/>
      <c r="O42" s="447"/>
      <c r="P42" s="447"/>
      <c r="Q42" s="447"/>
      <c r="R42" s="447"/>
      <c r="S42" s="447"/>
      <c r="T42" s="447"/>
      <c r="U42" s="447"/>
      <c r="V42" s="447"/>
      <c r="W42" s="447"/>
      <c r="X42" s="447"/>
      <c r="Y42" s="447"/>
      <c r="Z42" s="447"/>
      <c r="AA42" s="447"/>
      <c r="AB42" s="447"/>
      <c r="AC42" s="447"/>
      <c r="AD42" s="447"/>
      <c r="AE42" s="447"/>
      <c r="AF42" s="447"/>
      <c r="AG42" s="447"/>
      <c r="AH42" s="447"/>
      <c r="AI42" s="447"/>
      <c r="AJ42" s="447"/>
      <c r="AK42" s="447"/>
      <c r="AL42" s="447"/>
      <c r="AM42" s="447"/>
      <c r="AN42" s="447"/>
      <c r="AO42" s="447"/>
      <c r="AP42" s="447"/>
      <c r="AQ42" s="447"/>
      <c r="AR42" s="447"/>
      <c r="AS42" s="447"/>
      <c r="AT42" s="447"/>
      <c r="AU42" s="447"/>
      <c r="AV42" s="447"/>
      <c r="AW42" s="447"/>
      <c r="AX42" s="447"/>
      <c r="AY42" s="447"/>
      <c r="AZ42" s="447"/>
      <c r="BA42" s="447"/>
      <c r="BB42" s="447"/>
      <c r="BC42" s="447"/>
      <c r="BD42" s="447"/>
      <c r="BE42" s="447"/>
      <c r="BF42" s="447"/>
      <c r="BG42" s="447"/>
      <c r="BH42" s="447"/>
      <c r="BI42" s="447"/>
      <c r="BJ42" s="447"/>
      <c r="BK42" s="447"/>
      <c r="BL42" s="447"/>
      <c r="BM42" s="447"/>
      <c r="BN42" s="447"/>
      <c r="BO42" s="447"/>
      <c r="BP42" s="447"/>
      <c r="BQ42" s="447"/>
      <c r="BR42" s="447"/>
      <c r="BS42" s="447"/>
      <c r="BT42" s="447"/>
      <c r="BU42" s="447"/>
      <c r="BV42" s="447"/>
      <c r="BW42" s="447"/>
      <c r="BX42" s="447"/>
      <c r="BY42" s="447"/>
      <c r="BZ42" s="447"/>
      <c r="CA42" s="447"/>
      <c r="CB42" s="447"/>
      <c r="CC42" s="447"/>
      <c r="CD42" s="447"/>
      <c r="CE42" s="447"/>
      <c r="CF42" s="447"/>
      <c r="CG42" s="447"/>
      <c r="CH42" s="447"/>
      <c r="CI42" s="447"/>
      <c r="CJ42" s="447"/>
      <c r="CK42" s="447"/>
      <c r="CL42" s="447"/>
      <c r="CM42" s="447"/>
      <c r="CN42" s="447"/>
      <c r="CO42" s="447"/>
      <c r="CP42" s="447"/>
      <c r="CQ42" s="447"/>
      <c r="CR42" s="447"/>
      <c r="CS42" s="447"/>
      <c r="CT42" s="447"/>
      <c r="CU42" s="447"/>
      <c r="CV42" s="447"/>
      <c r="CW42" s="447"/>
      <c r="CX42" s="447"/>
      <c r="CY42" s="447"/>
      <c r="CZ42" s="447"/>
      <c r="DA42" s="447"/>
      <c r="DB42" s="447"/>
      <c r="DC42" s="447"/>
      <c r="DD42" s="447"/>
      <c r="DE42" s="447"/>
      <c r="DF42" s="447"/>
      <c r="DG42" s="447"/>
      <c r="DH42" s="447"/>
      <c r="DI42" s="447"/>
      <c r="DJ42" s="447"/>
      <c r="DK42" s="447"/>
      <c r="DL42" s="447"/>
      <c r="DM42" s="447"/>
      <c r="DN42" s="447"/>
      <c r="DO42" s="447"/>
      <c r="DP42" s="447"/>
      <c r="DQ42" s="447"/>
      <c r="DR42" s="447"/>
      <c r="DS42" s="447"/>
      <c r="DT42" s="447"/>
      <c r="DU42" s="447"/>
      <c r="DV42" s="447"/>
      <c r="DW42" s="447"/>
      <c r="DX42" s="447"/>
      <c r="DY42" s="447"/>
      <c r="DZ42" s="447"/>
      <c r="EA42" s="447"/>
      <c r="EB42" s="447"/>
      <c r="EC42" s="447"/>
      <c r="ED42" s="447"/>
      <c r="EE42" s="447"/>
      <c r="EF42" s="447"/>
      <c r="EG42" s="447"/>
      <c r="EH42" s="447"/>
      <c r="EI42" s="447"/>
      <c r="EJ42" s="447"/>
      <c r="EK42" s="447"/>
      <c r="EL42" s="447"/>
      <c r="EM42" s="447"/>
      <c r="EN42" s="447"/>
      <c r="EO42" s="447"/>
      <c r="EP42" s="447"/>
      <c r="EQ42" s="447"/>
      <c r="ER42" s="447"/>
      <c r="ES42" s="447"/>
      <c r="ET42" s="447"/>
      <c r="EU42" s="447"/>
      <c r="EV42" s="447"/>
      <c r="EW42" s="447"/>
      <c r="EX42" s="447"/>
      <c r="EY42" s="447"/>
      <c r="EZ42" s="447"/>
      <c r="FA42" s="447"/>
      <c r="FB42" s="447"/>
      <c r="FC42" s="447"/>
      <c r="FD42" s="447"/>
      <c r="FE42" s="447"/>
      <c r="FF42" s="447"/>
      <c r="FG42" s="447"/>
      <c r="FH42" s="447"/>
      <c r="FI42" s="447"/>
      <c r="FJ42" s="447"/>
      <c r="FK42" s="447"/>
      <c r="FL42" s="447"/>
      <c r="FM42" s="447"/>
      <c r="FN42" s="447"/>
      <c r="FO42" s="447"/>
      <c r="FP42" s="447"/>
      <c r="FQ42" s="447"/>
      <c r="FR42" s="447"/>
      <c r="FS42" s="447"/>
      <c r="FT42" s="447"/>
      <c r="FU42" s="447"/>
      <c r="FV42" s="447"/>
      <c r="FW42" s="447"/>
      <c r="FX42" s="447"/>
      <c r="FY42" s="447"/>
      <c r="FZ42" s="447"/>
      <c r="GA42" s="447"/>
      <c r="GB42" s="447"/>
      <c r="GC42" s="447"/>
      <c r="GD42" s="447"/>
      <c r="GE42" s="447"/>
      <c r="GF42" s="447"/>
      <c r="GG42" s="447"/>
      <c r="GH42" s="447"/>
      <c r="GI42" s="447"/>
      <c r="GJ42" s="447"/>
      <c r="GK42" s="447"/>
      <c r="GL42" s="447"/>
      <c r="GM42" s="447"/>
      <c r="GN42" s="447"/>
      <c r="GO42" s="447"/>
      <c r="GP42" s="447"/>
      <c r="GQ42" s="447"/>
      <c r="GR42" s="447"/>
      <c r="GS42" s="447"/>
      <c r="GT42" s="447"/>
      <c r="GU42" s="447"/>
      <c r="GV42" s="447"/>
      <c r="GW42" s="447"/>
      <c r="GX42" s="447"/>
      <c r="GY42" s="447"/>
      <c r="GZ42" s="447"/>
      <c r="HA42" s="447"/>
      <c r="HB42" s="447"/>
      <c r="HC42" s="447"/>
      <c r="HD42" s="447"/>
      <c r="HE42" s="447"/>
      <c r="HF42" s="447"/>
      <c r="HG42" s="447"/>
      <c r="HH42" s="447"/>
      <c r="HI42" s="447"/>
      <c r="HJ42" s="447"/>
      <c r="HK42" s="447"/>
      <c r="HL42" s="447"/>
      <c r="HM42" s="447"/>
      <c r="HN42" s="447"/>
      <c r="HO42" s="447"/>
      <c r="HP42" s="447"/>
      <c r="HQ42" s="447"/>
      <c r="HR42" s="447"/>
      <c r="HS42" s="447"/>
      <c r="HT42" s="447"/>
      <c r="HU42" s="447"/>
      <c r="HV42" s="447"/>
      <c r="HW42" s="447"/>
      <c r="HX42" s="447"/>
      <c r="HY42" s="447"/>
      <c r="HZ42" s="447"/>
      <c r="IA42" s="447"/>
      <c r="IB42" s="447"/>
      <c r="IC42" s="447"/>
      <c r="ID42" s="447"/>
      <c r="IE42" s="447"/>
      <c r="IF42" s="447"/>
      <c r="IG42" s="447"/>
      <c r="IH42" s="447"/>
      <c r="II42" s="447"/>
      <c r="IJ42" s="447"/>
      <c r="IK42" s="447"/>
      <c r="IL42" s="447"/>
      <c r="IM42" s="447"/>
      <c r="IN42" s="447"/>
      <c r="IO42" s="447"/>
      <c r="IP42" s="447"/>
      <c r="IQ42" s="447"/>
      <c r="IR42" s="447"/>
    </row>
    <row r="43" spans="1:252" ht="19.899999999999999" customHeight="1">
      <c r="A43" s="561">
        <v>30</v>
      </c>
      <c r="B43" s="562" t="s">
        <v>1410</v>
      </c>
      <c r="C43" s="563" t="s">
        <v>109</v>
      </c>
      <c r="D43" s="564">
        <v>72.141000000000005</v>
      </c>
      <c r="E43" s="564">
        <v>72.141000000000005</v>
      </c>
      <c r="F43" s="569">
        <f t="shared" si="0"/>
        <v>0</v>
      </c>
      <c r="G43" s="446"/>
      <c r="H43" s="447"/>
      <c r="I43" s="447"/>
      <c r="J43" s="449"/>
      <c r="K43" s="447"/>
      <c r="L43" s="447"/>
      <c r="M43" s="447"/>
      <c r="N43" s="447"/>
      <c r="O43" s="447"/>
      <c r="P43" s="447"/>
      <c r="Q43" s="447"/>
      <c r="R43" s="447"/>
      <c r="S43" s="447"/>
      <c r="T43" s="447"/>
      <c r="U43" s="447"/>
      <c r="V43" s="447"/>
      <c r="W43" s="447"/>
      <c r="X43" s="447"/>
      <c r="Y43" s="447"/>
      <c r="Z43" s="447"/>
      <c r="AA43" s="447"/>
      <c r="AB43" s="447"/>
      <c r="AC43" s="447"/>
      <c r="AD43" s="447"/>
      <c r="AE43" s="447"/>
      <c r="AF43" s="447"/>
      <c r="AG43" s="447"/>
      <c r="AH43" s="447"/>
      <c r="AI43" s="447"/>
      <c r="AJ43" s="447"/>
      <c r="AK43" s="447"/>
      <c r="AL43" s="447"/>
      <c r="AM43" s="447"/>
      <c r="AN43" s="447"/>
      <c r="AO43" s="447"/>
      <c r="AP43" s="447"/>
      <c r="AQ43" s="447"/>
      <c r="AR43" s="447"/>
      <c r="AS43" s="447"/>
      <c r="AT43" s="447"/>
      <c r="AU43" s="447"/>
      <c r="AV43" s="447"/>
      <c r="AW43" s="447"/>
      <c r="AX43" s="447"/>
      <c r="AY43" s="447"/>
      <c r="AZ43" s="447"/>
      <c r="BA43" s="447"/>
      <c r="BB43" s="447"/>
      <c r="BC43" s="447"/>
      <c r="BD43" s="447"/>
      <c r="BE43" s="447"/>
      <c r="BF43" s="447"/>
      <c r="BG43" s="447"/>
      <c r="BH43" s="447"/>
      <c r="BI43" s="447"/>
      <c r="BJ43" s="447"/>
      <c r="BK43" s="447"/>
      <c r="BL43" s="447"/>
      <c r="BM43" s="447"/>
      <c r="BN43" s="447"/>
      <c r="BO43" s="447"/>
      <c r="BP43" s="447"/>
      <c r="BQ43" s="447"/>
      <c r="BR43" s="447"/>
      <c r="BS43" s="447"/>
      <c r="BT43" s="447"/>
      <c r="BU43" s="447"/>
      <c r="BV43" s="447"/>
      <c r="BW43" s="447"/>
      <c r="BX43" s="447"/>
      <c r="BY43" s="447"/>
      <c r="BZ43" s="447"/>
      <c r="CA43" s="447"/>
      <c r="CB43" s="447"/>
      <c r="CC43" s="447"/>
      <c r="CD43" s="447"/>
      <c r="CE43" s="447"/>
      <c r="CF43" s="447"/>
      <c r="CG43" s="447"/>
      <c r="CH43" s="447"/>
      <c r="CI43" s="447"/>
      <c r="CJ43" s="447"/>
      <c r="CK43" s="447"/>
      <c r="CL43" s="447"/>
      <c r="CM43" s="447"/>
      <c r="CN43" s="447"/>
      <c r="CO43" s="447"/>
      <c r="CP43" s="447"/>
      <c r="CQ43" s="447"/>
      <c r="CR43" s="447"/>
      <c r="CS43" s="447"/>
      <c r="CT43" s="447"/>
      <c r="CU43" s="447"/>
      <c r="CV43" s="447"/>
      <c r="CW43" s="447"/>
      <c r="CX43" s="447"/>
      <c r="CY43" s="447"/>
      <c r="CZ43" s="447"/>
      <c r="DA43" s="447"/>
      <c r="DB43" s="447"/>
      <c r="DC43" s="447"/>
      <c r="DD43" s="447"/>
      <c r="DE43" s="447"/>
      <c r="DF43" s="447"/>
      <c r="DG43" s="447"/>
      <c r="DH43" s="447"/>
      <c r="DI43" s="447"/>
      <c r="DJ43" s="447"/>
      <c r="DK43" s="447"/>
      <c r="DL43" s="447"/>
      <c r="DM43" s="447"/>
      <c r="DN43" s="447"/>
      <c r="DO43" s="447"/>
      <c r="DP43" s="447"/>
      <c r="DQ43" s="447"/>
      <c r="DR43" s="447"/>
      <c r="DS43" s="447"/>
      <c r="DT43" s="447"/>
      <c r="DU43" s="447"/>
      <c r="DV43" s="447"/>
      <c r="DW43" s="447"/>
      <c r="DX43" s="447"/>
      <c r="DY43" s="447"/>
      <c r="DZ43" s="447"/>
      <c r="EA43" s="447"/>
      <c r="EB43" s="447"/>
      <c r="EC43" s="447"/>
      <c r="ED43" s="447"/>
      <c r="EE43" s="447"/>
      <c r="EF43" s="447"/>
      <c r="EG43" s="447"/>
      <c r="EH43" s="447"/>
      <c r="EI43" s="447"/>
      <c r="EJ43" s="447"/>
      <c r="EK43" s="447"/>
      <c r="EL43" s="447"/>
      <c r="EM43" s="447"/>
      <c r="EN43" s="447"/>
      <c r="EO43" s="447"/>
      <c r="EP43" s="447"/>
      <c r="EQ43" s="447"/>
      <c r="ER43" s="447"/>
      <c r="ES43" s="447"/>
      <c r="ET43" s="447"/>
      <c r="EU43" s="447"/>
      <c r="EV43" s="447"/>
      <c r="EW43" s="447"/>
      <c r="EX43" s="447"/>
      <c r="EY43" s="447"/>
      <c r="EZ43" s="447"/>
      <c r="FA43" s="447"/>
      <c r="FB43" s="447"/>
      <c r="FC43" s="447"/>
      <c r="FD43" s="447"/>
      <c r="FE43" s="447"/>
      <c r="FF43" s="447"/>
      <c r="FG43" s="447"/>
      <c r="FH43" s="447"/>
      <c r="FI43" s="447"/>
      <c r="FJ43" s="447"/>
      <c r="FK43" s="447"/>
      <c r="FL43" s="447"/>
      <c r="FM43" s="447"/>
      <c r="FN43" s="447"/>
      <c r="FO43" s="447"/>
      <c r="FP43" s="447"/>
      <c r="FQ43" s="447"/>
      <c r="FR43" s="447"/>
      <c r="FS43" s="447"/>
      <c r="FT43" s="447"/>
      <c r="FU43" s="447"/>
      <c r="FV43" s="447"/>
      <c r="FW43" s="447"/>
      <c r="FX43" s="447"/>
      <c r="FY43" s="447"/>
      <c r="FZ43" s="447"/>
      <c r="GA43" s="447"/>
      <c r="GB43" s="447"/>
      <c r="GC43" s="447"/>
      <c r="GD43" s="447"/>
      <c r="GE43" s="447"/>
      <c r="GF43" s="447"/>
      <c r="GG43" s="447"/>
      <c r="GH43" s="447"/>
      <c r="GI43" s="447"/>
      <c r="GJ43" s="447"/>
      <c r="GK43" s="447"/>
      <c r="GL43" s="447"/>
      <c r="GM43" s="447"/>
      <c r="GN43" s="447"/>
      <c r="GO43" s="447"/>
      <c r="GP43" s="447"/>
      <c r="GQ43" s="447"/>
      <c r="GR43" s="447"/>
      <c r="GS43" s="447"/>
      <c r="GT43" s="447"/>
      <c r="GU43" s="447"/>
      <c r="GV43" s="447"/>
      <c r="GW43" s="447"/>
      <c r="GX43" s="447"/>
      <c r="GY43" s="447"/>
      <c r="GZ43" s="447"/>
      <c r="HA43" s="447"/>
      <c r="HB43" s="447"/>
      <c r="HC43" s="447"/>
      <c r="HD43" s="447"/>
      <c r="HE43" s="447"/>
      <c r="HF43" s="447"/>
      <c r="HG43" s="447"/>
      <c r="HH43" s="447"/>
      <c r="HI43" s="447"/>
      <c r="HJ43" s="447"/>
      <c r="HK43" s="447"/>
      <c r="HL43" s="447"/>
      <c r="HM43" s="447"/>
      <c r="HN43" s="447"/>
      <c r="HO43" s="447"/>
      <c r="HP43" s="447"/>
      <c r="HQ43" s="447"/>
      <c r="HR43" s="447"/>
      <c r="HS43" s="447"/>
      <c r="HT43" s="447"/>
      <c r="HU43" s="447"/>
      <c r="HV43" s="447"/>
      <c r="HW43" s="447"/>
      <c r="HX43" s="447"/>
      <c r="HY43" s="447"/>
      <c r="HZ43" s="447"/>
      <c r="IA43" s="447"/>
      <c r="IB43" s="447"/>
      <c r="IC43" s="447"/>
      <c r="ID43" s="447"/>
      <c r="IE43" s="447"/>
      <c r="IF43" s="447"/>
      <c r="IG43" s="447"/>
      <c r="IH43" s="447"/>
      <c r="II43" s="447"/>
      <c r="IJ43" s="447"/>
      <c r="IK43" s="447"/>
      <c r="IL43" s="447"/>
      <c r="IM43" s="447"/>
      <c r="IN43" s="447"/>
      <c r="IO43" s="447"/>
      <c r="IP43" s="447"/>
      <c r="IQ43" s="447"/>
      <c r="IR43" s="447"/>
    </row>
    <row r="44" spans="1:252" ht="19.899999999999999" customHeight="1">
      <c r="A44" s="561">
        <v>31</v>
      </c>
      <c r="B44" s="562" t="s">
        <v>1413</v>
      </c>
      <c r="C44" s="563" t="s">
        <v>116</v>
      </c>
      <c r="D44" s="564">
        <v>135.69</v>
      </c>
      <c r="E44" s="564">
        <v>135.69</v>
      </c>
      <c r="F44" s="569">
        <f t="shared" si="0"/>
        <v>0</v>
      </c>
      <c r="G44" s="446"/>
      <c r="H44" s="447"/>
      <c r="I44" s="447"/>
      <c r="J44" s="449"/>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47"/>
      <c r="AS44" s="447"/>
      <c r="AT44" s="447"/>
      <c r="AU44" s="447"/>
      <c r="AV44" s="447"/>
      <c r="AW44" s="447"/>
      <c r="AX44" s="447"/>
      <c r="AY44" s="447"/>
      <c r="AZ44" s="447"/>
      <c r="BA44" s="447"/>
      <c r="BB44" s="447"/>
      <c r="BC44" s="447"/>
      <c r="BD44" s="447"/>
      <c r="BE44" s="447"/>
      <c r="BF44" s="447"/>
      <c r="BG44" s="447"/>
      <c r="BH44" s="447"/>
      <c r="BI44" s="447"/>
      <c r="BJ44" s="447"/>
      <c r="BK44" s="447"/>
      <c r="BL44" s="447"/>
      <c r="BM44" s="447"/>
      <c r="BN44" s="447"/>
      <c r="BO44" s="447"/>
      <c r="BP44" s="447"/>
      <c r="BQ44" s="447"/>
      <c r="BR44" s="447"/>
      <c r="BS44" s="447"/>
      <c r="BT44" s="447"/>
      <c r="BU44" s="447"/>
      <c r="BV44" s="447"/>
      <c r="BW44" s="447"/>
      <c r="BX44" s="447"/>
      <c r="BY44" s="447"/>
      <c r="BZ44" s="447"/>
      <c r="CA44" s="447"/>
      <c r="CB44" s="447"/>
      <c r="CC44" s="447"/>
      <c r="CD44" s="447"/>
      <c r="CE44" s="447"/>
      <c r="CF44" s="447"/>
      <c r="CG44" s="447"/>
      <c r="CH44" s="447"/>
      <c r="CI44" s="447"/>
      <c r="CJ44" s="447"/>
      <c r="CK44" s="447"/>
      <c r="CL44" s="447"/>
      <c r="CM44" s="447"/>
      <c r="CN44" s="447"/>
      <c r="CO44" s="447"/>
      <c r="CP44" s="447"/>
      <c r="CQ44" s="447"/>
      <c r="CR44" s="447"/>
      <c r="CS44" s="447"/>
      <c r="CT44" s="447"/>
      <c r="CU44" s="447"/>
      <c r="CV44" s="447"/>
      <c r="CW44" s="447"/>
      <c r="CX44" s="447"/>
      <c r="CY44" s="447"/>
      <c r="CZ44" s="447"/>
      <c r="DA44" s="447"/>
      <c r="DB44" s="447"/>
      <c r="DC44" s="447"/>
      <c r="DD44" s="447"/>
      <c r="DE44" s="447"/>
      <c r="DF44" s="447"/>
      <c r="DG44" s="447"/>
      <c r="DH44" s="447"/>
      <c r="DI44" s="447"/>
      <c r="DJ44" s="447"/>
      <c r="DK44" s="447"/>
      <c r="DL44" s="447"/>
      <c r="DM44" s="447"/>
      <c r="DN44" s="447"/>
      <c r="DO44" s="447"/>
      <c r="DP44" s="447"/>
      <c r="DQ44" s="447"/>
      <c r="DR44" s="447"/>
      <c r="DS44" s="447"/>
      <c r="DT44" s="447"/>
      <c r="DU44" s="447"/>
      <c r="DV44" s="447"/>
      <c r="DW44" s="447"/>
      <c r="DX44" s="447"/>
      <c r="DY44" s="447"/>
      <c r="DZ44" s="447"/>
      <c r="EA44" s="447"/>
      <c r="EB44" s="447"/>
      <c r="EC44" s="447"/>
      <c r="ED44" s="447"/>
      <c r="EE44" s="447"/>
      <c r="EF44" s="447"/>
      <c r="EG44" s="447"/>
      <c r="EH44" s="447"/>
      <c r="EI44" s="447"/>
      <c r="EJ44" s="447"/>
      <c r="EK44" s="447"/>
      <c r="EL44" s="447"/>
      <c r="EM44" s="447"/>
      <c r="EN44" s="447"/>
      <c r="EO44" s="447"/>
      <c r="EP44" s="447"/>
      <c r="EQ44" s="447"/>
      <c r="ER44" s="447"/>
      <c r="ES44" s="447"/>
      <c r="ET44" s="447"/>
      <c r="EU44" s="447"/>
      <c r="EV44" s="447"/>
      <c r="EW44" s="447"/>
      <c r="EX44" s="447"/>
      <c r="EY44" s="447"/>
      <c r="EZ44" s="447"/>
      <c r="FA44" s="447"/>
      <c r="FB44" s="447"/>
      <c r="FC44" s="447"/>
      <c r="FD44" s="447"/>
      <c r="FE44" s="447"/>
      <c r="FF44" s="447"/>
      <c r="FG44" s="447"/>
      <c r="FH44" s="447"/>
      <c r="FI44" s="447"/>
      <c r="FJ44" s="447"/>
      <c r="FK44" s="447"/>
      <c r="FL44" s="447"/>
      <c r="FM44" s="447"/>
      <c r="FN44" s="447"/>
      <c r="FO44" s="447"/>
      <c r="FP44" s="447"/>
      <c r="FQ44" s="447"/>
      <c r="FR44" s="447"/>
      <c r="FS44" s="447"/>
      <c r="FT44" s="447"/>
      <c r="FU44" s="447"/>
      <c r="FV44" s="447"/>
      <c r="FW44" s="447"/>
      <c r="FX44" s="447"/>
      <c r="FY44" s="447"/>
      <c r="FZ44" s="447"/>
      <c r="GA44" s="447"/>
      <c r="GB44" s="447"/>
      <c r="GC44" s="447"/>
      <c r="GD44" s="447"/>
      <c r="GE44" s="447"/>
      <c r="GF44" s="447"/>
      <c r="GG44" s="447"/>
      <c r="GH44" s="447"/>
      <c r="GI44" s="447"/>
      <c r="GJ44" s="447"/>
      <c r="GK44" s="447"/>
      <c r="GL44" s="447"/>
      <c r="GM44" s="447"/>
      <c r="GN44" s="447"/>
      <c r="GO44" s="447"/>
      <c r="GP44" s="447"/>
      <c r="GQ44" s="447"/>
      <c r="GR44" s="447"/>
      <c r="GS44" s="447"/>
      <c r="GT44" s="447"/>
      <c r="GU44" s="447"/>
      <c r="GV44" s="447"/>
      <c r="GW44" s="447"/>
      <c r="GX44" s="447"/>
      <c r="GY44" s="447"/>
      <c r="GZ44" s="447"/>
      <c r="HA44" s="447"/>
      <c r="HB44" s="447"/>
      <c r="HC44" s="447"/>
      <c r="HD44" s="447"/>
      <c r="HE44" s="447"/>
      <c r="HF44" s="447"/>
      <c r="HG44" s="447"/>
      <c r="HH44" s="447"/>
      <c r="HI44" s="447"/>
      <c r="HJ44" s="447"/>
      <c r="HK44" s="447"/>
      <c r="HL44" s="447"/>
      <c r="HM44" s="447"/>
      <c r="HN44" s="447"/>
      <c r="HO44" s="447"/>
      <c r="HP44" s="447"/>
      <c r="HQ44" s="447"/>
      <c r="HR44" s="447"/>
      <c r="HS44" s="447"/>
      <c r="HT44" s="447"/>
      <c r="HU44" s="447"/>
      <c r="HV44" s="447"/>
      <c r="HW44" s="447"/>
      <c r="HX44" s="447"/>
      <c r="HY44" s="447"/>
      <c r="HZ44" s="447"/>
      <c r="IA44" s="447"/>
      <c r="IB44" s="447"/>
      <c r="IC44" s="447"/>
      <c r="ID44" s="447"/>
      <c r="IE44" s="447"/>
      <c r="IF44" s="447"/>
      <c r="IG44" s="447"/>
      <c r="IH44" s="447"/>
      <c r="II44" s="447"/>
      <c r="IJ44" s="447"/>
      <c r="IK44" s="447"/>
      <c r="IL44" s="447"/>
      <c r="IM44" s="447"/>
      <c r="IN44" s="447"/>
      <c r="IO44" s="447"/>
      <c r="IP44" s="447"/>
      <c r="IQ44" s="447"/>
      <c r="IR44" s="447"/>
    </row>
    <row r="45" spans="1:252" ht="19.899999999999999" customHeight="1">
      <c r="A45" s="561">
        <v>32</v>
      </c>
      <c r="B45" s="562" t="s">
        <v>1414</v>
      </c>
      <c r="C45" s="563" t="s">
        <v>109</v>
      </c>
      <c r="D45" s="564">
        <v>30.24</v>
      </c>
      <c r="E45" s="564">
        <v>30.24</v>
      </c>
      <c r="F45" s="569">
        <f t="shared" si="0"/>
        <v>0</v>
      </c>
      <c r="G45" s="446"/>
      <c r="H45" s="447"/>
      <c r="I45" s="447"/>
      <c r="J45" s="449"/>
      <c r="K45" s="447"/>
      <c r="L45" s="447"/>
      <c r="M45" s="447"/>
      <c r="N45" s="447"/>
      <c r="O45" s="447"/>
      <c r="P45" s="447"/>
      <c r="Q45" s="447"/>
      <c r="R45" s="447"/>
      <c r="S45" s="447"/>
      <c r="T45" s="447"/>
      <c r="U45" s="447"/>
      <c r="V45" s="447"/>
      <c r="W45" s="447"/>
      <c r="X45" s="447"/>
      <c r="Y45" s="447"/>
      <c r="Z45" s="447"/>
      <c r="AA45" s="447"/>
      <c r="AB45" s="447"/>
      <c r="AC45" s="447"/>
      <c r="AD45" s="447"/>
      <c r="AE45" s="447"/>
      <c r="AF45" s="447"/>
      <c r="AG45" s="447"/>
      <c r="AH45" s="447"/>
      <c r="AI45" s="447"/>
      <c r="AJ45" s="447"/>
      <c r="AK45" s="447"/>
      <c r="AL45" s="447"/>
      <c r="AM45" s="447"/>
      <c r="AN45" s="447"/>
      <c r="AO45" s="447"/>
      <c r="AP45" s="447"/>
      <c r="AQ45" s="447"/>
      <c r="AR45" s="447"/>
      <c r="AS45" s="447"/>
      <c r="AT45" s="447"/>
      <c r="AU45" s="447"/>
      <c r="AV45" s="447"/>
      <c r="AW45" s="447"/>
      <c r="AX45" s="447"/>
      <c r="AY45" s="447"/>
      <c r="AZ45" s="447"/>
      <c r="BA45" s="447"/>
      <c r="BB45" s="447"/>
      <c r="BC45" s="447"/>
      <c r="BD45" s="447"/>
      <c r="BE45" s="447"/>
      <c r="BF45" s="447"/>
      <c r="BG45" s="447"/>
      <c r="BH45" s="447"/>
      <c r="BI45" s="447"/>
      <c r="BJ45" s="447"/>
      <c r="BK45" s="447"/>
      <c r="BL45" s="447"/>
      <c r="BM45" s="447"/>
      <c r="BN45" s="447"/>
      <c r="BO45" s="447"/>
      <c r="BP45" s="447"/>
      <c r="BQ45" s="447"/>
      <c r="BR45" s="447"/>
      <c r="BS45" s="447"/>
      <c r="BT45" s="447"/>
      <c r="BU45" s="447"/>
      <c r="BV45" s="447"/>
      <c r="BW45" s="447"/>
      <c r="BX45" s="447"/>
      <c r="BY45" s="447"/>
      <c r="BZ45" s="447"/>
      <c r="CA45" s="447"/>
      <c r="CB45" s="447"/>
      <c r="CC45" s="447"/>
      <c r="CD45" s="447"/>
      <c r="CE45" s="447"/>
      <c r="CF45" s="447"/>
      <c r="CG45" s="447"/>
      <c r="CH45" s="447"/>
      <c r="CI45" s="447"/>
      <c r="CJ45" s="447"/>
      <c r="CK45" s="447"/>
      <c r="CL45" s="447"/>
      <c r="CM45" s="447"/>
      <c r="CN45" s="447"/>
      <c r="CO45" s="447"/>
      <c r="CP45" s="447"/>
      <c r="CQ45" s="447"/>
      <c r="CR45" s="447"/>
      <c r="CS45" s="447"/>
      <c r="CT45" s="447"/>
      <c r="CU45" s="447"/>
      <c r="CV45" s="447"/>
      <c r="CW45" s="447"/>
      <c r="CX45" s="447"/>
      <c r="CY45" s="447"/>
      <c r="CZ45" s="447"/>
      <c r="DA45" s="447"/>
      <c r="DB45" s="447"/>
      <c r="DC45" s="447"/>
      <c r="DD45" s="447"/>
      <c r="DE45" s="447"/>
      <c r="DF45" s="447"/>
      <c r="DG45" s="447"/>
      <c r="DH45" s="447"/>
      <c r="DI45" s="447"/>
      <c r="DJ45" s="447"/>
      <c r="DK45" s="447"/>
      <c r="DL45" s="447"/>
      <c r="DM45" s="447"/>
      <c r="DN45" s="447"/>
      <c r="DO45" s="447"/>
      <c r="DP45" s="447"/>
      <c r="DQ45" s="447"/>
      <c r="DR45" s="447"/>
      <c r="DS45" s="447"/>
      <c r="DT45" s="447"/>
      <c r="DU45" s="447"/>
      <c r="DV45" s="447"/>
      <c r="DW45" s="447"/>
      <c r="DX45" s="447"/>
      <c r="DY45" s="447"/>
      <c r="DZ45" s="447"/>
      <c r="EA45" s="447"/>
      <c r="EB45" s="447"/>
      <c r="EC45" s="447"/>
      <c r="ED45" s="447"/>
      <c r="EE45" s="447"/>
      <c r="EF45" s="447"/>
      <c r="EG45" s="447"/>
      <c r="EH45" s="447"/>
      <c r="EI45" s="447"/>
      <c r="EJ45" s="447"/>
      <c r="EK45" s="447"/>
      <c r="EL45" s="447"/>
      <c r="EM45" s="447"/>
      <c r="EN45" s="447"/>
      <c r="EO45" s="447"/>
      <c r="EP45" s="447"/>
      <c r="EQ45" s="447"/>
      <c r="ER45" s="447"/>
      <c r="ES45" s="447"/>
      <c r="ET45" s="447"/>
      <c r="EU45" s="447"/>
      <c r="EV45" s="447"/>
      <c r="EW45" s="447"/>
      <c r="EX45" s="447"/>
      <c r="EY45" s="447"/>
      <c r="EZ45" s="447"/>
      <c r="FA45" s="447"/>
      <c r="FB45" s="447"/>
      <c r="FC45" s="447"/>
      <c r="FD45" s="447"/>
      <c r="FE45" s="447"/>
      <c r="FF45" s="447"/>
      <c r="FG45" s="447"/>
      <c r="FH45" s="447"/>
      <c r="FI45" s="447"/>
      <c r="FJ45" s="447"/>
      <c r="FK45" s="447"/>
      <c r="FL45" s="447"/>
      <c r="FM45" s="447"/>
      <c r="FN45" s="447"/>
      <c r="FO45" s="447"/>
      <c r="FP45" s="447"/>
      <c r="FQ45" s="447"/>
      <c r="FR45" s="447"/>
      <c r="FS45" s="447"/>
      <c r="FT45" s="447"/>
      <c r="FU45" s="447"/>
      <c r="FV45" s="447"/>
      <c r="FW45" s="447"/>
      <c r="FX45" s="447"/>
      <c r="FY45" s="447"/>
      <c r="FZ45" s="447"/>
      <c r="GA45" s="447"/>
      <c r="GB45" s="447"/>
      <c r="GC45" s="447"/>
      <c r="GD45" s="447"/>
      <c r="GE45" s="447"/>
      <c r="GF45" s="447"/>
      <c r="GG45" s="447"/>
      <c r="GH45" s="447"/>
      <c r="GI45" s="447"/>
      <c r="GJ45" s="447"/>
      <c r="GK45" s="447"/>
      <c r="GL45" s="447"/>
      <c r="GM45" s="447"/>
      <c r="GN45" s="447"/>
      <c r="GO45" s="447"/>
      <c r="GP45" s="447"/>
      <c r="GQ45" s="447"/>
      <c r="GR45" s="447"/>
      <c r="GS45" s="447"/>
      <c r="GT45" s="447"/>
      <c r="GU45" s="447"/>
      <c r="GV45" s="447"/>
      <c r="GW45" s="447"/>
      <c r="GX45" s="447"/>
      <c r="GY45" s="447"/>
      <c r="GZ45" s="447"/>
      <c r="HA45" s="447"/>
      <c r="HB45" s="447"/>
      <c r="HC45" s="447"/>
      <c r="HD45" s="447"/>
      <c r="HE45" s="447"/>
      <c r="HF45" s="447"/>
      <c r="HG45" s="447"/>
      <c r="HH45" s="447"/>
      <c r="HI45" s="447"/>
      <c r="HJ45" s="447"/>
      <c r="HK45" s="447"/>
      <c r="HL45" s="447"/>
      <c r="HM45" s="447"/>
      <c r="HN45" s="447"/>
      <c r="HO45" s="447"/>
      <c r="HP45" s="447"/>
      <c r="HQ45" s="447"/>
      <c r="HR45" s="447"/>
      <c r="HS45" s="447"/>
      <c r="HT45" s="447"/>
      <c r="HU45" s="447"/>
      <c r="HV45" s="447"/>
      <c r="HW45" s="447"/>
      <c r="HX45" s="447"/>
      <c r="HY45" s="447"/>
      <c r="HZ45" s="447"/>
      <c r="IA45" s="447"/>
      <c r="IB45" s="447"/>
      <c r="IC45" s="447"/>
      <c r="ID45" s="447"/>
      <c r="IE45" s="447"/>
      <c r="IF45" s="447"/>
      <c r="IG45" s="447"/>
      <c r="IH45" s="447"/>
      <c r="II45" s="447"/>
      <c r="IJ45" s="447"/>
      <c r="IK45" s="447"/>
      <c r="IL45" s="447"/>
      <c r="IM45" s="447"/>
      <c r="IN45" s="447"/>
      <c r="IO45" s="447"/>
      <c r="IP45" s="447"/>
      <c r="IQ45" s="447"/>
      <c r="IR45" s="447"/>
    </row>
    <row r="46" spans="1:252" ht="19.899999999999999" customHeight="1">
      <c r="A46" s="561">
        <v>33</v>
      </c>
      <c r="B46" s="562" t="s">
        <v>1442</v>
      </c>
      <c r="C46" s="563" t="s">
        <v>109</v>
      </c>
      <c r="D46" s="564">
        <v>14.651999999999999</v>
      </c>
      <c r="E46" s="564">
        <v>14.651999999999999</v>
      </c>
      <c r="F46" s="569">
        <f t="shared" si="0"/>
        <v>0</v>
      </c>
      <c r="G46" s="446"/>
      <c r="H46" s="447"/>
      <c r="I46" s="447"/>
      <c r="J46" s="449"/>
      <c r="K46" s="447"/>
      <c r="L46" s="447"/>
      <c r="M46" s="447"/>
      <c r="N46" s="447"/>
      <c r="O46" s="447"/>
      <c r="P46" s="447"/>
      <c r="Q46" s="447"/>
      <c r="R46" s="447"/>
      <c r="S46" s="447"/>
      <c r="T46" s="447"/>
      <c r="U46" s="447"/>
      <c r="V46" s="447"/>
      <c r="W46" s="447"/>
      <c r="X46" s="447"/>
      <c r="Y46" s="447"/>
      <c r="Z46" s="447"/>
      <c r="AA46" s="447"/>
      <c r="AB46" s="447"/>
      <c r="AC46" s="447"/>
      <c r="AD46" s="447"/>
      <c r="AE46" s="447"/>
      <c r="AF46" s="447"/>
      <c r="AG46" s="447"/>
      <c r="AH46" s="447"/>
      <c r="AI46" s="447"/>
      <c r="AJ46" s="447"/>
      <c r="AK46" s="447"/>
      <c r="AL46" s="447"/>
      <c r="AM46" s="447"/>
      <c r="AN46" s="447"/>
      <c r="AO46" s="447"/>
      <c r="AP46" s="447"/>
      <c r="AQ46" s="447"/>
      <c r="AR46" s="447"/>
      <c r="AS46" s="447"/>
      <c r="AT46" s="447"/>
      <c r="AU46" s="447"/>
      <c r="AV46" s="447"/>
      <c r="AW46" s="447"/>
      <c r="AX46" s="447"/>
      <c r="AY46" s="447"/>
      <c r="AZ46" s="447"/>
      <c r="BA46" s="447"/>
      <c r="BB46" s="447"/>
      <c r="BC46" s="447"/>
      <c r="BD46" s="447"/>
      <c r="BE46" s="447"/>
      <c r="BF46" s="447"/>
      <c r="BG46" s="447"/>
      <c r="BH46" s="447"/>
      <c r="BI46" s="447"/>
      <c r="BJ46" s="447"/>
      <c r="BK46" s="447"/>
      <c r="BL46" s="447"/>
      <c r="BM46" s="447"/>
      <c r="BN46" s="447"/>
      <c r="BO46" s="447"/>
      <c r="BP46" s="447"/>
      <c r="BQ46" s="447"/>
      <c r="BR46" s="447"/>
      <c r="BS46" s="447"/>
      <c r="BT46" s="447"/>
      <c r="BU46" s="447"/>
      <c r="BV46" s="447"/>
      <c r="BW46" s="447"/>
      <c r="BX46" s="447"/>
      <c r="BY46" s="447"/>
      <c r="BZ46" s="447"/>
      <c r="CA46" s="447"/>
      <c r="CB46" s="447"/>
      <c r="CC46" s="447"/>
      <c r="CD46" s="447"/>
      <c r="CE46" s="447"/>
      <c r="CF46" s="447"/>
      <c r="CG46" s="447"/>
      <c r="CH46" s="447"/>
      <c r="CI46" s="447"/>
      <c r="CJ46" s="447"/>
      <c r="CK46" s="447"/>
      <c r="CL46" s="447"/>
      <c r="CM46" s="447"/>
      <c r="CN46" s="447"/>
      <c r="CO46" s="447"/>
      <c r="CP46" s="447"/>
      <c r="CQ46" s="447"/>
      <c r="CR46" s="447"/>
      <c r="CS46" s="447"/>
      <c r="CT46" s="447"/>
      <c r="CU46" s="447"/>
      <c r="CV46" s="447"/>
      <c r="CW46" s="447"/>
      <c r="CX46" s="447"/>
      <c r="CY46" s="447"/>
      <c r="CZ46" s="447"/>
      <c r="DA46" s="447"/>
      <c r="DB46" s="447"/>
      <c r="DC46" s="447"/>
      <c r="DD46" s="447"/>
      <c r="DE46" s="447"/>
      <c r="DF46" s="447"/>
      <c r="DG46" s="447"/>
      <c r="DH46" s="447"/>
      <c r="DI46" s="447"/>
      <c r="DJ46" s="447"/>
      <c r="DK46" s="447"/>
      <c r="DL46" s="447"/>
      <c r="DM46" s="447"/>
      <c r="DN46" s="447"/>
      <c r="DO46" s="447"/>
      <c r="DP46" s="447"/>
      <c r="DQ46" s="447"/>
      <c r="DR46" s="447"/>
      <c r="DS46" s="447"/>
      <c r="DT46" s="447"/>
      <c r="DU46" s="447"/>
      <c r="DV46" s="447"/>
      <c r="DW46" s="447"/>
      <c r="DX46" s="447"/>
      <c r="DY46" s="447"/>
      <c r="DZ46" s="447"/>
      <c r="EA46" s="447"/>
      <c r="EB46" s="447"/>
      <c r="EC46" s="447"/>
      <c r="ED46" s="447"/>
      <c r="EE46" s="447"/>
      <c r="EF46" s="447"/>
      <c r="EG46" s="447"/>
      <c r="EH46" s="447"/>
      <c r="EI46" s="447"/>
      <c r="EJ46" s="447"/>
      <c r="EK46" s="447"/>
      <c r="EL46" s="447"/>
      <c r="EM46" s="447"/>
      <c r="EN46" s="447"/>
      <c r="EO46" s="447"/>
      <c r="EP46" s="447"/>
      <c r="EQ46" s="447"/>
      <c r="ER46" s="447"/>
      <c r="ES46" s="447"/>
      <c r="ET46" s="447"/>
      <c r="EU46" s="447"/>
      <c r="EV46" s="447"/>
      <c r="EW46" s="447"/>
      <c r="EX46" s="447"/>
      <c r="EY46" s="447"/>
      <c r="EZ46" s="447"/>
      <c r="FA46" s="447"/>
      <c r="FB46" s="447"/>
      <c r="FC46" s="447"/>
      <c r="FD46" s="447"/>
      <c r="FE46" s="447"/>
      <c r="FF46" s="447"/>
      <c r="FG46" s="447"/>
      <c r="FH46" s="447"/>
      <c r="FI46" s="447"/>
      <c r="FJ46" s="447"/>
      <c r="FK46" s="447"/>
      <c r="FL46" s="447"/>
      <c r="FM46" s="447"/>
      <c r="FN46" s="447"/>
      <c r="FO46" s="447"/>
      <c r="FP46" s="447"/>
      <c r="FQ46" s="447"/>
      <c r="FR46" s="447"/>
      <c r="FS46" s="447"/>
      <c r="FT46" s="447"/>
      <c r="FU46" s="447"/>
      <c r="FV46" s="447"/>
      <c r="FW46" s="447"/>
      <c r="FX46" s="447"/>
      <c r="FY46" s="447"/>
      <c r="FZ46" s="447"/>
      <c r="GA46" s="447"/>
      <c r="GB46" s="447"/>
      <c r="GC46" s="447"/>
      <c r="GD46" s="447"/>
      <c r="GE46" s="447"/>
      <c r="GF46" s="447"/>
      <c r="GG46" s="447"/>
      <c r="GH46" s="447"/>
      <c r="GI46" s="447"/>
      <c r="GJ46" s="447"/>
      <c r="GK46" s="447"/>
      <c r="GL46" s="447"/>
      <c r="GM46" s="447"/>
      <c r="GN46" s="447"/>
      <c r="GO46" s="447"/>
      <c r="GP46" s="447"/>
      <c r="GQ46" s="447"/>
      <c r="GR46" s="447"/>
      <c r="GS46" s="447"/>
      <c r="GT46" s="447"/>
      <c r="GU46" s="447"/>
      <c r="GV46" s="447"/>
      <c r="GW46" s="447"/>
      <c r="GX46" s="447"/>
      <c r="GY46" s="447"/>
      <c r="GZ46" s="447"/>
      <c r="HA46" s="447"/>
      <c r="HB46" s="447"/>
      <c r="HC46" s="447"/>
      <c r="HD46" s="447"/>
      <c r="HE46" s="447"/>
      <c r="HF46" s="447"/>
      <c r="HG46" s="447"/>
      <c r="HH46" s="447"/>
      <c r="HI46" s="447"/>
      <c r="HJ46" s="447"/>
      <c r="HK46" s="447"/>
      <c r="HL46" s="447"/>
      <c r="HM46" s="447"/>
      <c r="HN46" s="447"/>
      <c r="HO46" s="447"/>
      <c r="HP46" s="447"/>
      <c r="HQ46" s="447"/>
      <c r="HR46" s="447"/>
      <c r="HS46" s="447"/>
      <c r="HT46" s="447"/>
      <c r="HU46" s="447"/>
      <c r="HV46" s="447"/>
      <c r="HW46" s="447"/>
      <c r="HX46" s="447"/>
      <c r="HY46" s="447"/>
      <c r="HZ46" s="447"/>
      <c r="IA46" s="447"/>
      <c r="IB46" s="447"/>
      <c r="IC46" s="447"/>
      <c r="ID46" s="447"/>
      <c r="IE46" s="447"/>
      <c r="IF46" s="447"/>
      <c r="IG46" s="447"/>
      <c r="IH46" s="447"/>
      <c r="II46" s="447"/>
      <c r="IJ46" s="447"/>
      <c r="IK46" s="447"/>
      <c r="IL46" s="447"/>
      <c r="IM46" s="447"/>
      <c r="IN46" s="447"/>
      <c r="IO46" s="447"/>
      <c r="IP46" s="447"/>
      <c r="IQ46" s="447"/>
      <c r="IR46" s="447"/>
    </row>
    <row r="47" spans="1:252" ht="19.899999999999999" customHeight="1">
      <c r="A47" s="561">
        <v>34</v>
      </c>
      <c r="B47" s="562" t="s">
        <v>1423</v>
      </c>
      <c r="C47" s="563" t="s">
        <v>109</v>
      </c>
      <c r="D47" s="564">
        <v>30.24</v>
      </c>
      <c r="E47" s="564">
        <v>30.24</v>
      </c>
      <c r="F47" s="569">
        <f t="shared" si="0"/>
        <v>0</v>
      </c>
      <c r="G47" s="446"/>
      <c r="H47" s="447"/>
      <c r="I47" s="447"/>
      <c r="J47" s="449"/>
      <c r="K47" s="447"/>
      <c r="L47" s="447"/>
      <c r="M47" s="447"/>
      <c r="N47" s="447"/>
      <c r="O47" s="447"/>
      <c r="P47" s="447"/>
      <c r="Q47" s="447"/>
      <c r="R47" s="447"/>
      <c r="S47" s="447"/>
      <c r="T47" s="447"/>
      <c r="U47" s="447"/>
      <c r="V47" s="447"/>
      <c r="W47" s="447"/>
      <c r="X47" s="447"/>
      <c r="Y47" s="447"/>
      <c r="Z47" s="447"/>
      <c r="AA47" s="447"/>
      <c r="AB47" s="447"/>
      <c r="AC47" s="447"/>
      <c r="AD47" s="447"/>
      <c r="AE47" s="447"/>
      <c r="AF47" s="447"/>
      <c r="AG47" s="447"/>
      <c r="AH47" s="447"/>
      <c r="AI47" s="447"/>
      <c r="AJ47" s="447"/>
      <c r="AK47" s="447"/>
      <c r="AL47" s="447"/>
      <c r="AM47" s="447"/>
      <c r="AN47" s="447"/>
      <c r="AO47" s="447"/>
      <c r="AP47" s="447"/>
      <c r="AQ47" s="447"/>
      <c r="AR47" s="447"/>
      <c r="AS47" s="447"/>
      <c r="AT47" s="447"/>
      <c r="AU47" s="447"/>
      <c r="AV47" s="447"/>
      <c r="AW47" s="447"/>
      <c r="AX47" s="447"/>
      <c r="AY47" s="447"/>
      <c r="AZ47" s="447"/>
      <c r="BA47" s="447"/>
      <c r="BB47" s="447"/>
      <c r="BC47" s="447"/>
      <c r="BD47" s="447"/>
      <c r="BE47" s="447"/>
      <c r="BF47" s="447"/>
      <c r="BG47" s="447"/>
      <c r="BH47" s="447"/>
      <c r="BI47" s="447"/>
      <c r="BJ47" s="447"/>
      <c r="BK47" s="447"/>
      <c r="BL47" s="447"/>
      <c r="BM47" s="447"/>
      <c r="BN47" s="447"/>
      <c r="BO47" s="447"/>
      <c r="BP47" s="447"/>
      <c r="BQ47" s="447"/>
      <c r="BR47" s="447"/>
      <c r="BS47" s="447"/>
      <c r="BT47" s="447"/>
      <c r="BU47" s="447"/>
      <c r="BV47" s="447"/>
      <c r="BW47" s="447"/>
      <c r="BX47" s="447"/>
      <c r="BY47" s="447"/>
      <c r="BZ47" s="447"/>
      <c r="CA47" s="447"/>
      <c r="CB47" s="447"/>
      <c r="CC47" s="447"/>
      <c r="CD47" s="447"/>
      <c r="CE47" s="447"/>
      <c r="CF47" s="447"/>
      <c r="CG47" s="447"/>
      <c r="CH47" s="447"/>
      <c r="CI47" s="447"/>
      <c r="CJ47" s="447"/>
      <c r="CK47" s="447"/>
      <c r="CL47" s="447"/>
      <c r="CM47" s="447"/>
      <c r="CN47" s="447"/>
      <c r="CO47" s="447"/>
      <c r="CP47" s="447"/>
      <c r="CQ47" s="447"/>
      <c r="CR47" s="447"/>
      <c r="CS47" s="447"/>
      <c r="CT47" s="447"/>
      <c r="CU47" s="447"/>
      <c r="CV47" s="447"/>
      <c r="CW47" s="447"/>
      <c r="CX47" s="447"/>
      <c r="CY47" s="447"/>
      <c r="CZ47" s="447"/>
      <c r="DA47" s="447"/>
      <c r="DB47" s="447"/>
      <c r="DC47" s="447"/>
      <c r="DD47" s="447"/>
      <c r="DE47" s="447"/>
      <c r="DF47" s="447"/>
      <c r="DG47" s="447"/>
      <c r="DH47" s="447"/>
      <c r="DI47" s="447"/>
      <c r="DJ47" s="447"/>
      <c r="DK47" s="447"/>
      <c r="DL47" s="447"/>
      <c r="DM47" s="447"/>
      <c r="DN47" s="447"/>
      <c r="DO47" s="447"/>
      <c r="DP47" s="447"/>
      <c r="DQ47" s="447"/>
      <c r="DR47" s="447"/>
      <c r="DS47" s="447"/>
      <c r="DT47" s="447"/>
      <c r="DU47" s="447"/>
      <c r="DV47" s="447"/>
      <c r="DW47" s="447"/>
      <c r="DX47" s="447"/>
      <c r="DY47" s="447"/>
      <c r="DZ47" s="447"/>
      <c r="EA47" s="447"/>
      <c r="EB47" s="447"/>
      <c r="EC47" s="447"/>
      <c r="ED47" s="447"/>
      <c r="EE47" s="447"/>
      <c r="EF47" s="447"/>
      <c r="EG47" s="447"/>
      <c r="EH47" s="447"/>
      <c r="EI47" s="447"/>
      <c r="EJ47" s="447"/>
      <c r="EK47" s="447"/>
      <c r="EL47" s="447"/>
      <c r="EM47" s="447"/>
      <c r="EN47" s="447"/>
      <c r="EO47" s="447"/>
      <c r="EP47" s="447"/>
      <c r="EQ47" s="447"/>
      <c r="ER47" s="447"/>
      <c r="ES47" s="447"/>
      <c r="ET47" s="447"/>
      <c r="EU47" s="447"/>
      <c r="EV47" s="447"/>
      <c r="EW47" s="447"/>
      <c r="EX47" s="447"/>
      <c r="EY47" s="447"/>
      <c r="EZ47" s="447"/>
      <c r="FA47" s="447"/>
      <c r="FB47" s="447"/>
      <c r="FC47" s="447"/>
      <c r="FD47" s="447"/>
      <c r="FE47" s="447"/>
      <c r="FF47" s="447"/>
      <c r="FG47" s="447"/>
      <c r="FH47" s="447"/>
      <c r="FI47" s="447"/>
      <c r="FJ47" s="447"/>
      <c r="FK47" s="447"/>
      <c r="FL47" s="447"/>
      <c r="FM47" s="447"/>
      <c r="FN47" s="447"/>
      <c r="FO47" s="447"/>
      <c r="FP47" s="447"/>
      <c r="FQ47" s="447"/>
      <c r="FR47" s="447"/>
      <c r="FS47" s="447"/>
      <c r="FT47" s="447"/>
      <c r="FU47" s="447"/>
      <c r="FV47" s="447"/>
      <c r="FW47" s="447"/>
      <c r="FX47" s="447"/>
      <c r="FY47" s="447"/>
      <c r="FZ47" s="447"/>
      <c r="GA47" s="447"/>
      <c r="GB47" s="447"/>
      <c r="GC47" s="447"/>
      <c r="GD47" s="447"/>
      <c r="GE47" s="447"/>
      <c r="GF47" s="447"/>
      <c r="GG47" s="447"/>
      <c r="GH47" s="447"/>
      <c r="GI47" s="447"/>
      <c r="GJ47" s="447"/>
      <c r="GK47" s="447"/>
      <c r="GL47" s="447"/>
      <c r="GM47" s="447"/>
      <c r="GN47" s="447"/>
      <c r="GO47" s="447"/>
      <c r="GP47" s="447"/>
      <c r="GQ47" s="447"/>
      <c r="GR47" s="447"/>
      <c r="GS47" s="447"/>
      <c r="GT47" s="447"/>
      <c r="GU47" s="447"/>
      <c r="GV47" s="447"/>
      <c r="GW47" s="447"/>
      <c r="GX47" s="447"/>
      <c r="GY47" s="447"/>
      <c r="GZ47" s="447"/>
      <c r="HA47" s="447"/>
      <c r="HB47" s="447"/>
      <c r="HC47" s="447"/>
      <c r="HD47" s="447"/>
      <c r="HE47" s="447"/>
      <c r="HF47" s="447"/>
      <c r="HG47" s="447"/>
      <c r="HH47" s="447"/>
      <c r="HI47" s="447"/>
      <c r="HJ47" s="447"/>
      <c r="HK47" s="447"/>
      <c r="HL47" s="447"/>
      <c r="HM47" s="447"/>
      <c r="HN47" s="447"/>
      <c r="HO47" s="447"/>
      <c r="HP47" s="447"/>
      <c r="HQ47" s="447"/>
      <c r="HR47" s="447"/>
      <c r="HS47" s="447"/>
      <c r="HT47" s="447"/>
      <c r="HU47" s="447"/>
      <c r="HV47" s="447"/>
      <c r="HW47" s="447"/>
      <c r="HX47" s="447"/>
      <c r="HY47" s="447"/>
      <c r="HZ47" s="447"/>
      <c r="IA47" s="447"/>
      <c r="IB47" s="447"/>
      <c r="IC47" s="447"/>
      <c r="ID47" s="447"/>
      <c r="IE47" s="447"/>
      <c r="IF47" s="447"/>
      <c r="IG47" s="447"/>
      <c r="IH47" s="447"/>
      <c r="II47" s="447"/>
      <c r="IJ47" s="447"/>
      <c r="IK47" s="447"/>
      <c r="IL47" s="447"/>
      <c r="IM47" s="447"/>
      <c r="IN47" s="447"/>
      <c r="IO47" s="447"/>
      <c r="IP47" s="447"/>
      <c r="IQ47" s="447"/>
      <c r="IR47" s="447"/>
    </row>
    <row r="48" spans="1:252" ht="19.899999999999999" customHeight="1">
      <c r="A48" s="561">
        <v>35</v>
      </c>
      <c r="B48" s="562" t="s">
        <v>1424</v>
      </c>
      <c r="C48" s="563" t="s">
        <v>109</v>
      </c>
      <c r="D48" s="564">
        <v>30.24</v>
      </c>
      <c r="E48" s="564">
        <v>30.24</v>
      </c>
      <c r="F48" s="569">
        <f t="shared" si="0"/>
        <v>0</v>
      </c>
      <c r="G48" s="446"/>
      <c r="H48" s="447"/>
      <c r="I48" s="447"/>
      <c r="J48" s="449"/>
      <c r="K48" s="447"/>
      <c r="L48" s="447"/>
      <c r="M48" s="447"/>
      <c r="N48" s="447"/>
      <c r="O48" s="447"/>
      <c r="P48" s="447"/>
      <c r="Q48" s="447"/>
      <c r="R48" s="447"/>
      <c r="S48" s="447"/>
      <c r="T48" s="447"/>
      <c r="U48" s="447"/>
      <c r="V48" s="447"/>
      <c r="W48" s="447"/>
      <c r="X48" s="447"/>
      <c r="Y48" s="447"/>
      <c r="Z48" s="447"/>
      <c r="AA48" s="447"/>
      <c r="AB48" s="447"/>
      <c r="AC48" s="447"/>
      <c r="AD48" s="447"/>
      <c r="AE48" s="447"/>
      <c r="AF48" s="447"/>
      <c r="AG48" s="447"/>
      <c r="AH48" s="447"/>
      <c r="AI48" s="447"/>
      <c r="AJ48" s="447"/>
      <c r="AK48" s="447"/>
      <c r="AL48" s="447"/>
      <c r="AM48" s="447"/>
      <c r="AN48" s="447"/>
      <c r="AO48" s="447"/>
      <c r="AP48" s="447"/>
      <c r="AQ48" s="447"/>
      <c r="AR48" s="447"/>
      <c r="AS48" s="447"/>
      <c r="AT48" s="447"/>
      <c r="AU48" s="447"/>
      <c r="AV48" s="447"/>
      <c r="AW48" s="447"/>
      <c r="AX48" s="447"/>
      <c r="AY48" s="447"/>
      <c r="AZ48" s="447"/>
      <c r="BA48" s="447"/>
      <c r="BB48" s="447"/>
      <c r="BC48" s="447"/>
      <c r="BD48" s="447"/>
      <c r="BE48" s="447"/>
      <c r="BF48" s="447"/>
      <c r="BG48" s="447"/>
      <c r="BH48" s="447"/>
      <c r="BI48" s="447"/>
      <c r="BJ48" s="447"/>
      <c r="BK48" s="447"/>
      <c r="BL48" s="447"/>
      <c r="BM48" s="447"/>
      <c r="BN48" s="447"/>
      <c r="BO48" s="447"/>
      <c r="BP48" s="447"/>
      <c r="BQ48" s="447"/>
      <c r="BR48" s="447"/>
      <c r="BS48" s="447"/>
      <c r="BT48" s="447"/>
      <c r="BU48" s="447"/>
      <c r="BV48" s="447"/>
      <c r="BW48" s="447"/>
      <c r="BX48" s="447"/>
      <c r="BY48" s="447"/>
      <c r="BZ48" s="447"/>
      <c r="CA48" s="447"/>
      <c r="CB48" s="447"/>
      <c r="CC48" s="447"/>
      <c r="CD48" s="447"/>
      <c r="CE48" s="447"/>
      <c r="CF48" s="447"/>
      <c r="CG48" s="447"/>
      <c r="CH48" s="447"/>
      <c r="CI48" s="447"/>
      <c r="CJ48" s="447"/>
      <c r="CK48" s="447"/>
      <c r="CL48" s="447"/>
      <c r="CM48" s="447"/>
      <c r="CN48" s="447"/>
      <c r="CO48" s="447"/>
      <c r="CP48" s="447"/>
      <c r="CQ48" s="447"/>
      <c r="CR48" s="447"/>
      <c r="CS48" s="447"/>
      <c r="CT48" s="447"/>
      <c r="CU48" s="447"/>
      <c r="CV48" s="447"/>
      <c r="CW48" s="447"/>
      <c r="CX48" s="447"/>
      <c r="CY48" s="447"/>
      <c r="CZ48" s="447"/>
      <c r="DA48" s="447"/>
      <c r="DB48" s="447"/>
      <c r="DC48" s="447"/>
      <c r="DD48" s="447"/>
      <c r="DE48" s="447"/>
      <c r="DF48" s="447"/>
      <c r="DG48" s="447"/>
      <c r="DH48" s="447"/>
      <c r="DI48" s="447"/>
      <c r="DJ48" s="447"/>
      <c r="DK48" s="447"/>
      <c r="DL48" s="447"/>
      <c r="DM48" s="447"/>
      <c r="DN48" s="447"/>
      <c r="DO48" s="447"/>
      <c r="DP48" s="447"/>
      <c r="DQ48" s="447"/>
      <c r="DR48" s="447"/>
      <c r="DS48" s="447"/>
      <c r="DT48" s="447"/>
      <c r="DU48" s="447"/>
      <c r="DV48" s="447"/>
      <c r="DW48" s="447"/>
      <c r="DX48" s="447"/>
      <c r="DY48" s="447"/>
      <c r="DZ48" s="447"/>
      <c r="EA48" s="447"/>
      <c r="EB48" s="447"/>
      <c r="EC48" s="447"/>
      <c r="ED48" s="447"/>
      <c r="EE48" s="447"/>
      <c r="EF48" s="447"/>
      <c r="EG48" s="447"/>
      <c r="EH48" s="447"/>
      <c r="EI48" s="447"/>
      <c r="EJ48" s="447"/>
      <c r="EK48" s="447"/>
      <c r="EL48" s="447"/>
      <c r="EM48" s="447"/>
      <c r="EN48" s="447"/>
      <c r="EO48" s="447"/>
      <c r="EP48" s="447"/>
      <c r="EQ48" s="447"/>
      <c r="ER48" s="447"/>
      <c r="ES48" s="447"/>
      <c r="ET48" s="447"/>
      <c r="EU48" s="447"/>
      <c r="EV48" s="447"/>
      <c r="EW48" s="447"/>
      <c r="EX48" s="447"/>
      <c r="EY48" s="447"/>
      <c r="EZ48" s="447"/>
      <c r="FA48" s="447"/>
      <c r="FB48" s="447"/>
      <c r="FC48" s="447"/>
      <c r="FD48" s="447"/>
      <c r="FE48" s="447"/>
      <c r="FF48" s="447"/>
      <c r="FG48" s="447"/>
      <c r="FH48" s="447"/>
      <c r="FI48" s="447"/>
      <c r="FJ48" s="447"/>
      <c r="FK48" s="447"/>
      <c r="FL48" s="447"/>
      <c r="FM48" s="447"/>
      <c r="FN48" s="447"/>
      <c r="FO48" s="447"/>
      <c r="FP48" s="447"/>
      <c r="FQ48" s="447"/>
      <c r="FR48" s="447"/>
      <c r="FS48" s="447"/>
      <c r="FT48" s="447"/>
      <c r="FU48" s="447"/>
      <c r="FV48" s="447"/>
      <c r="FW48" s="447"/>
      <c r="FX48" s="447"/>
      <c r="FY48" s="447"/>
      <c r="FZ48" s="447"/>
      <c r="GA48" s="447"/>
      <c r="GB48" s="447"/>
      <c r="GC48" s="447"/>
      <c r="GD48" s="447"/>
      <c r="GE48" s="447"/>
      <c r="GF48" s="447"/>
      <c r="GG48" s="447"/>
      <c r="GH48" s="447"/>
      <c r="GI48" s="447"/>
      <c r="GJ48" s="447"/>
      <c r="GK48" s="447"/>
      <c r="GL48" s="447"/>
      <c r="GM48" s="447"/>
      <c r="GN48" s="447"/>
      <c r="GO48" s="447"/>
      <c r="GP48" s="447"/>
      <c r="GQ48" s="447"/>
      <c r="GR48" s="447"/>
      <c r="GS48" s="447"/>
      <c r="GT48" s="447"/>
      <c r="GU48" s="447"/>
      <c r="GV48" s="447"/>
      <c r="GW48" s="447"/>
      <c r="GX48" s="447"/>
      <c r="GY48" s="447"/>
      <c r="GZ48" s="447"/>
      <c r="HA48" s="447"/>
      <c r="HB48" s="447"/>
      <c r="HC48" s="447"/>
      <c r="HD48" s="447"/>
      <c r="HE48" s="447"/>
      <c r="HF48" s="447"/>
      <c r="HG48" s="447"/>
      <c r="HH48" s="447"/>
      <c r="HI48" s="447"/>
      <c r="HJ48" s="447"/>
      <c r="HK48" s="447"/>
      <c r="HL48" s="447"/>
      <c r="HM48" s="447"/>
      <c r="HN48" s="447"/>
      <c r="HO48" s="447"/>
      <c r="HP48" s="447"/>
      <c r="HQ48" s="447"/>
      <c r="HR48" s="447"/>
      <c r="HS48" s="447"/>
      <c r="HT48" s="447"/>
      <c r="HU48" s="447"/>
      <c r="HV48" s="447"/>
      <c r="HW48" s="447"/>
      <c r="HX48" s="447"/>
      <c r="HY48" s="447"/>
      <c r="HZ48" s="447"/>
      <c r="IA48" s="447"/>
      <c r="IB48" s="447"/>
      <c r="IC48" s="447"/>
      <c r="ID48" s="447"/>
      <c r="IE48" s="447"/>
      <c r="IF48" s="447"/>
      <c r="IG48" s="447"/>
      <c r="IH48" s="447"/>
      <c r="II48" s="447"/>
      <c r="IJ48" s="447"/>
      <c r="IK48" s="447"/>
      <c r="IL48" s="447"/>
      <c r="IM48" s="447"/>
      <c r="IN48" s="447"/>
      <c r="IO48" s="447"/>
      <c r="IP48" s="447"/>
      <c r="IQ48" s="447"/>
      <c r="IR48" s="447"/>
    </row>
    <row r="49" spans="1:252" ht="31.5">
      <c r="A49" s="561">
        <v>36</v>
      </c>
      <c r="B49" s="562" t="s">
        <v>1425</v>
      </c>
      <c r="C49" s="563" t="s">
        <v>109</v>
      </c>
      <c r="D49" s="564">
        <v>31.32</v>
      </c>
      <c r="E49" s="564">
        <v>31.32</v>
      </c>
      <c r="F49" s="569">
        <f t="shared" si="0"/>
        <v>0</v>
      </c>
      <c r="G49" s="446"/>
      <c r="H49" s="447"/>
      <c r="I49" s="447"/>
      <c r="J49" s="449"/>
      <c r="K49" s="447"/>
      <c r="L49" s="447"/>
      <c r="M49" s="447"/>
      <c r="N49" s="447"/>
      <c r="O49" s="447"/>
      <c r="P49" s="447"/>
      <c r="Q49" s="447"/>
      <c r="R49" s="447"/>
      <c r="S49" s="447"/>
      <c r="T49" s="447"/>
      <c r="U49" s="447"/>
      <c r="V49" s="447"/>
      <c r="W49" s="447"/>
      <c r="X49" s="447"/>
      <c r="Y49" s="447"/>
      <c r="Z49" s="447"/>
      <c r="AA49" s="447"/>
      <c r="AB49" s="447"/>
      <c r="AC49" s="447"/>
      <c r="AD49" s="447"/>
      <c r="AE49" s="447"/>
      <c r="AF49" s="447"/>
      <c r="AG49" s="447"/>
      <c r="AH49" s="447"/>
      <c r="AI49" s="447"/>
      <c r="AJ49" s="447"/>
      <c r="AK49" s="447"/>
      <c r="AL49" s="447"/>
      <c r="AM49" s="447"/>
      <c r="AN49" s="447"/>
      <c r="AO49" s="447"/>
      <c r="AP49" s="447"/>
      <c r="AQ49" s="447"/>
      <c r="AR49" s="447"/>
      <c r="AS49" s="447"/>
      <c r="AT49" s="447"/>
      <c r="AU49" s="447"/>
      <c r="AV49" s="447"/>
      <c r="AW49" s="447"/>
      <c r="AX49" s="447"/>
      <c r="AY49" s="447"/>
      <c r="AZ49" s="447"/>
      <c r="BA49" s="447"/>
      <c r="BB49" s="447"/>
      <c r="BC49" s="447"/>
      <c r="BD49" s="447"/>
      <c r="BE49" s="447"/>
      <c r="BF49" s="447"/>
      <c r="BG49" s="447"/>
      <c r="BH49" s="447"/>
      <c r="BI49" s="447"/>
      <c r="BJ49" s="447"/>
      <c r="BK49" s="447"/>
      <c r="BL49" s="447"/>
      <c r="BM49" s="447"/>
      <c r="BN49" s="447"/>
      <c r="BO49" s="447"/>
      <c r="BP49" s="447"/>
      <c r="BQ49" s="447"/>
      <c r="BR49" s="447"/>
      <c r="BS49" s="447"/>
      <c r="BT49" s="447"/>
      <c r="BU49" s="447"/>
      <c r="BV49" s="447"/>
      <c r="BW49" s="447"/>
      <c r="BX49" s="447"/>
      <c r="BY49" s="447"/>
      <c r="BZ49" s="447"/>
      <c r="CA49" s="447"/>
      <c r="CB49" s="447"/>
      <c r="CC49" s="447"/>
      <c r="CD49" s="447"/>
      <c r="CE49" s="447"/>
      <c r="CF49" s="447"/>
      <c r="CG49" s="447"/>
      <c r="CH49" s="447"/>
      <c r="CI49" s="447"/>
      <c r="CJ49" s="447"/>
      <c r="CK49" s="447"/>
      <c r="CL49" s="447"/>
      <c r="CM49" s="447"/>
      <c r="CN49" s="447"/>
      <c r="CO49" s="447"/>
      <c r="CP49" s="447"/>
      <c r="CQ49" s="447"/>
      <c r="CR49" s="447"/>
      <c r="CS49" s="447"/>
      <c r="CT49" s="447"/>
      <c r="CU49" s="447"/>
      <c r="CV49" s="447"/>
      <c r="CW49" s="447"/>
      <c r="CX49" s="447"/>
      <c r="CY49" s="447"/>
      <c r="CZ49" s="447"/>
      <c r="DA49" s="447"/>
      <c r="DB49" s="447"/>
      <c r="DC49" s="447"/>
      <c r="DD49" s="447"/>
      <c r="DE49" s="447"/>
      <c r="DF49" s="447"/>
      <c r="DG49" s="447"/>
      <c r="DH49" s="447"/>
      <c r="DI49" s="447"/>
      <c r="DJ49" s="447"/>
      <c r="DK49" s="447"/>
      <c r="DL49" s="447"/>
      <c r="DM49" s="447"/>
      <c r="DN49" s="447"/>
      <c r="DO49" s="447"/>
      <c r="DP49" s="447"/>
      <c r="DQ49" s="447"/>
      <c r="DR49" s="447"/>
      <c r="DS49" s="447"/>
      <c r="DT49" s="447"/>
      <c r="DU49" s="447"/>
      <c r="DV49" s="447"/>
      <c r="DW49" s="447"/>
      <c r="DX49" s="447"/>
      <c r="DY49" s="447"/>
      <c r="DZ49" s="447"/>
      <c r="EA49" s="447"/>
      <c r="EB49" s="447"/>
      <c r="EC49" s="447"/>
      <c r="ED49" s="447"/>
      <c r="EE49" s="447"/>
      <c r="EF49" s="447"/>
      <c r="EG49" s="447"/>
      <c r="EH49" s="447"/>
      <c r="EI49" s="447"/>
      <c r="EJ49" s="447"/>
      <c r="EK49" s="447"/>
      <c r="EL49" s="447"/>
      <c r="EM49" s="447"/>
      <c r="EN49" s="447"/>
      <c r="EO49" s="447"/>
      <c r="EP49" s="447"/>
      <c r="EQ49" s="447"/>
      <c r="ER49" s="447"/>
      <c r="ES49" s="447"/>
      <c r="ET49" s="447"/>
      <c r="EU49" s="447"/>
      <c r="EV49" s="447"/>
      <c r="EW49" s="447"/>
      <c r="EX49" s="447"/>
      <c r="EY49" s="447"/>
      <c r="EZ49" s="447"/>
      <c r="FA49" s="447"/>
      <c r="FB49" s="447"/>
      <c r="FC49" s="447"/>
      <c r="FD49" s="447"/>
      <c r="FE49" s="447"/>
      <c r="FF49" s="447"/>
      <c r="FG49" s="447"/>
      <c r="FH49" s="447"/>
      <c r="FI49" s="447"/>
      <c r="FJ49" s="447"/>
      <c r="FK49" s="447"/>
      <c r="FL49" s="447"/>
      <c r="FM49" s="447"/>
      <c r="FN49" s="447"/>
      <c r="FO49" s="447"/>
      <c r="FP49" s="447"/>
      <c r="FQ49" s="447"/>
      <c r="FR49" s="447"/>
      <c r="FS49" s="447"/>
      <c r="FT49" s="447"/>
      <c r="FU49" s="447"/>
      <c r="FV49" s="447"/>
      <c r="FW49" s="447"/>
      <c r="FX49" s="447"/>
      <c r="FY49" s="447"/>
      <c r="FZ49" s="447"/>
      <c r="GA49" s="447"/>
      <c r="GB49" s="447"/>
      <c r="GC49" s="447"/>
      <c r="GD49" s="447"/>
      <c r="GE49" s="447"/>
      <c r="GF49" s="447"/>
      <c r="GG49" s="447"/>
      <c r="GH49" s="447"/>
      <c r="GI49" s="447"/>
      <c r="GJ49" s="447"/>
      <c r="GK49" s="447"/>
      <c r="GL49" s="447"/>
      <c r="GM49" s="447"/>
      <c r="GN49" s="447"/>
      <c r="GO49" s="447"/>
      <c r="GP49" s="447"/>
      <c r="GQ49" s="447"/>
      <c r="GR49" s="447"/>
      <c r="GS49" s="447"/>
      <c r="GT49" s="447"/>
      <c r="GU49" s="447"/>
      <c r="GV49" s="447"/>
      <c r="GW49" s="447"/>
      <c r="GX49" s="447"/>
      <c r="GY49" s="447"/>
      <c r="GZ49" s="447"/>
      <c r="HA49" s="447"/>
      <c r="HB49" s="447"/>
      <c r="HC49" s="447"/>
      <c r="HD49" s="447"/>
      <c r="HE49" s="447"/>
      <c r="HF49" s="447"/>
      <c r="HG49" s="447"/>
      <c r="HH49" s="447"/>
      <c r="HI49" s="447"/>
      <c r="HJ49" s="447"/>
      <c r="HK49" s="447"/>
      <c r="HL49" s="447"/>
      <c r="HM49" s="447"/>
      <c r="HN49" s="447"/>
      <c r="HO49" s="447"/>
      <c r="HP49" s="447"/>
      <c r="HQ49" s="447"/>
      <c r="HR49" s="447"/>
      <c r="HS49" s="447"/>
      <c r="HT49" s="447"/>
      <c r="HU49" s="447"/>
      <c r="HV49" s="447"/>
      <c r="HW49" s="447"/>
      <c r="HX49" s="447"/>
      <c r="HY49" s="447"/>
      <c r="HZ49" s="447"/>
      <c r="IA49" s="447"/>
      <c r="IB49" s="447"/>
      <c r="IC49" s="447"/>
      <c r="ID49" s="447"/>
      <c r="IE49" s="447"/>
      <c r="IF49" s="447"/>
      <c r="IG49" s="447"/>
      <c r="IH49" s="447"/>
      <c r="II49" s="447"/>
      <c r="IJ49" s="447"/>
      <c r="IK49" s="447"/>
      <c r="IL49" s="447"/>
      <c r="IM49" s="447"/>
      <c r="IN49" s="447"/>
      <c r="IO49" s="447"/>
      <c r="IP49" s="447"/>
      <c r="IQ49" s="447"/>
      <c r="IR49" s="447"/>
    </row>
    <row r="50" spans="1:252" ht="31.5">
      <c r="A50" s="561">
        <v>37</v>
      </c>
      <c r="B50" s="562" t="s">
        <v>1426</v>
      </c>
      <c r="C50" s="563" t="s">
        <v>109</v>
      </c>
      <c r="D50" s="564">
        <v>40.820999999999998</v>
      </c>
      <c r="E50" s="564">
        <v>40.820999999999998</v>
      </c>
      <c r="F50" s="569">
        <f t="shared" si="0"/>
        <v>0</v>
      </c>
      <c r="G50" s="446"/>
      <c r="H50" s="447"/>
      <c r="I50" s="447"/>
      <c r="J50" s="449"/>
      <c r="K50" s="447"/>
      <c r="L50" s="447"/>
      <c r="M50" s="447"/>
      <c r="N50" s="447"/>
      <c r="O50" s="447"/>
      <c r="P50" s="447"/>
      <c r="Q50" s="447"/>
      <c r="R50" s="447"/>
      <c r="S50" s="447"/>
      <c r="T50" s="447"/>
      <c r="U50" s="447"/>
      <c r="V50" s="447"/>
      <c r="W50" s="447"/>
      <c r="X50" s="447"/>
      <c r="Y50" s="447"/>
      <c r="Z50" s="447"/>
      <c r="AA50" s="447"/>
      <c r="AB50" s="447"/>
      <c r="AC50" s="447"/>
      <c r="AD50" s="447"/>
      <c r="AE50" s="447"/>
      <c r="AF50" s="447"/>
      <c r="AG50" s="447"/>
      <c r="AH50" s="447"/>
      <c r="AI50" s="447"/>
      <c r="AJ50" s="447"/>
      <c r="AK50" s="447"/>
      <c r="AL50" s="447"/>
      <c r="AM50" s="447"/>
      <c r="AN50" s="447"/>
      <c r="AO50" s="447"/>
      <c r="AP50" s="447"/>
      <c r="AQ50" s="447"/>
      <c r="AR50" s="447"/>
      <c r="AS50" s="447"/>
      <c r="AT50" s="447"/>
      <c r="AU50" s="447"/>
      <c r="AV50" s="447"/>
      <c r="AW50" s="447"/>
      <c r="AX50" s="447"/>
      <c r="AY50" s="447"/>
      <c r="AZ50" s="447"/>
      <c r="BA50" s="447"/>
      <c r="BB50" s="447"/>
      <c r="BC50" s="447"/>
      <c r="BD50" s="447"/>
      <c r="BE50" s="447"/>
      <c r="BF50" s="447"/>
      <c r="BG50" s="447"/>
      <c r="BH50" s="447"/>
      <c r="BI50" s="447"/>
      <c r="BJ50" s="447"/>
      <c r="BK50" s="447"/>
      <c r="BL50" s="447"/>
      <c r="BM50" s="447"/>
      <c r="BN50" s="447"/>
      <c r="BO50" s="447"/>
      <c r="BP50" s="447"/>
      <c r="BQ50" s="447"/>
      <c r="BR50" s="447"/>
      <c r="BS50" s="447"/>
      <c r="BT50" s="447"/>
      <c r="BU50" s="447"/>
      <c r="BV50" s="447"/>
      <c r="BW50" s="447"/>
      <c r="BX50" s="447"/>
      <c r="BY50" s="447"/>
      <c r="BZ50" s="447"/>
      <c r="CA50" s="447"/>
      <c r="CB50" s="447"/>
      <c r="CC50" s="447"/>
      <c r="CD50" s="447"/>
      <c r="CE50" s="447"/>
      <c r="CF50" s="447"/>
      <c r="CG50" s="447"/>
      <c r="CH50" s="447"/>
      <c r="CI50" s="447"/>
      <c r="CJ50" s="447"/>
      <c r="CK50" s="447"/>
      <c r="CL50" s="447"/>
      <c r="CM50" s="447"/>
      <c r="CN50" s="447"/>
      <c r="CO50" s="447"/>
      <c r="CP50" s="447"/>
      <c r="CQ50" s="447"/>
      <c r="CR50" s="447"/>
      <c r="CS50" s="447"/>
      <c r="CT50" s="447"/>
      <c r="CU50" s="447"/>
      <c r="CV50" s="447"/>
      <c r="CW50" s="447"/>
      <c r="CX50" s="447"/>
      <c r="CY50" s="447"/>
      <c r="CZ50" s="447"/>
      <c r="DA50" s="447"/>
      <c r="DB50" s="447"/>
      <c r="DC50" s="447"/>
      <c r="DD50" s="447"/>
      <c r="DE50" s="447"/>
      <c r="DF50" s="447"/>
      <c r="DG50" s="447"/>
      <c r="DH50" s="447"/>
      <c r="DI50" s="447"/>
      <c r="DJ50" s="447"/>
      <c r="DK50" s="447"/>
      <c r="DL50" s="447"/>
      <c r="DM50" s="447"/>
      <c r="DN50" s="447"/>
      <c r="DO50" s="447"/>
      <c r="DP50" s="447"/>
      <c r="DQ50" s="447"/>
      <c r="DR50" s="447"/>
      <c r="DS50" s="447"/>
      <c r="DT50" s="447"/>
      <c r="DU50" s="447"/>
      <c r="DV50" s="447"/>
      <c r="DW50" s="447"/>
      <c r="DX50" s="447"/>
      <c r="DY50" s="447"/>
      <c r="DZ50" s="447"/>
      <c r="EA50" s="447"/>
      <c r="EB50" s="447"/>
      <c r="EC50" s="447"/>
      <c r="ED50" s="447"/>
      <c r="EE50" s="447"/>
      <c r="EF50" s="447"/>
      <c r="EG50" s="447"/>
      <c r="EH50" s="447"/>
      <c r="EI50" s="447"/>
      <c r="EJ50" s="447"/>
      <c r="EK50" s="447"/>
      <c r="EL50" s="447"/>
      <c r="EM50" s="447"/>
      <c r="EN50" s="447"/>
      <c r="EO50" s="447"/>
      <c r="EP50" s="447"/>
      <c r="EQ50" s="447"/>
      <c r="ER50" s="447"/>
      <c r="ES50" s="447"/>
      <c r="ET50" s="447"/>
      <c r="EU50" s="447"/>
      <c r="EV50" s="447"/>
      <c r="EW50" s="447"/>
      <c r="EX50" s="447"/>
      <c r="EY50" s="447"/>
      <c r="EZ50" s="447"/>
      <c r="FA50" s="447"/>
      <c r="FB50" s="447"/>
      <c r="FC50" s="447"/>
      <c r="FD50" s="447"/>
      <c r="FE50" s="447"/>
      <c r="FF50" s="447"/>
      <c r="FG50" s="447"/>
      <c r="FH50" s="447"/>
      <c r="FI50" s="447"/>
      <c r="FJ50" s="447"/>
      <c r="FK50" s="447"/>
      <c r="FL50" s="447"/>
      <c r="FM50" s="447"/>
      <c r="FN50" s="447"/>
      <c r="FO50" s="447"/>
      <c r="FP50" s="447"/>
      <c r="FQ50" s="447"/>
      <c r="FR50" s="447"/>
      <c r="FS50" s="447"/>
      <c r="FT50" s="447"/>
      <c r="FU50" s="447"/>
      <c r="FV50" s="447"/>
      <c r="FW50" s="447"/>
      <c r="FX50" s="447"/>
      <c r="FY50" s="447"/>
      <c r="FZ50" s="447"/>
      <c r="GA50" s="447"/>
      <c r="GB50" s="447"/>
      <c r="GC50" s="447"/>
      <c r="GD50" s="447"/>
      <c r="GE50" s="447"/>
      <c r="GF50" s="447"/>
      <c r="GG50" s="447"/>
      <c r="GH50" s="447"/>
      <c r="GI50" s="447"/>
      <c r="GJ50" s="447"/>
      <c r="GK50" s="447"/>
      <c r="GL50" s="447"/>
      <c r="GM50" s="447"/>
      <c r="GN50" s="447"/>
      <c r="GO50" s="447"/>
      <c r="GP50" s="447"/>
      <c r="GQ50" s="447"/>
      <c r="GR50" s="447"/>
      <c r="GS50" s="447"/>
      <c r="GT50" s="447"/>
      <c r="GU50" s="447"/>
      <c r="GV50" s="447"/>
      <c r="GW50" s="447"/>
      <c r="GX50" s="447"/>
      <c r="GY50" s="447"/>
      <c r="GZ50" s="447"/>
      <c r="HA50" s="447"/>
      <c r="HB50" s="447"/>
      <c r="HC50" s="447"/>
      <c r="HD50" s="447"/>
      <c r="HE50" s="447"/>
      <c r="HF50" s="447"/>
      <c r="HG50" s="447"/>
      <c r="HH50" s="447"/>
      <c r="HI50" s="447"/>
      <c r="HJ50" s="447"/>
      <c r="HK50" s="447"/>
      <c r="HL50" s="447"/>
      <c r="HM50" s="447"/>
      <c r="HN50" s="447"/>
      <c r="HO50" s="447"/>
      <c r="HP50" s="447"/>
      <c r="HQ50" s="447"/>
      <c r="HR50" s="447"/>
      <c r="HS50" s="447"/>
      <c r="HT50" s="447"/>
      <c r="HU50" s="447"/>
      <c r="HV50" s="447"/>
      <c r="HW50" s="447"/>
      <c r="HX50" s="447"/>
      <c r="HY50" s="447"/>
      <c r="HZ50" s="447"/>
      <c r="IA50" s="447"/>
      <c r="IB50" s="447"/>
      <c r="IC50" s="447"/>
      <c r="ID50" s="447"/>
      <c r="IE50" s="447"/>
      <c r="IF50" s="447"/>
      <c r="IG50" s="447"/>
      <c r="IH50" s="447"/>
      <c r="II50" s="447"/>
      <c r="IJ50" s="447"/>
      <c r="IK50" s="447"/>
      <c r="IL50" s="447"/>
      <c r="IM50" s="447"/>
      <c r="IN50" s="447"/>
      <c r="IO50" s="447"/>
      <c r="IP50" s="447"/>
      <c r="IQ50" s="447"/>
      <c r="IR50" s="447"/>
    </row>
    <row r="51" spans="1:252" ht="31.5">
      <c r="A51" s="561">
        <v>38</v>
      </c>
      <c r="B51" s="562" t="s">
        <v>1443</v>
      </c>
      <c r="C51" s="563" t="s">
        <v>109</v>
      </c>
      <c r="D51" s="564">
        <v>29.792000000000002</v>
      </c>
      <c r="E51" s="564">
        <v>29.792000000000002</v>
      </c>
      <c r="F51" s="569">
        <f t="shared" si="0"/>
        <v>0</v>
      </c>
      <c r="G51" s="446"/>
      <c r="H51" s="447"/>
      <c r="I51" s="447"/>
      <c r="J51" s="449"/>
      <c r="K51" s="447"/>
      <c r="L51" s="447"/>
      <c r="M51" s="447"/>
      <c r="N51" s="447"/>
      <c r="O51" s="447"/>
      <c r="P51" s="447"/>
      <c r="Q51" s="447"/>
      <c r="R51" s="447"/>
      <c r="S51" s="447"/>
      <c r="T51" s="447"/>
      <c r="U51" s="447"/>
      <c r="V51" s="447"/>
      <c r="W51" s="447"/>
      <c r="X51" s="447"/>
      <c r="Y51" s="447"/>
      <c r="Z51" s="447"/>
      <c r="AA51" s="447"/>
      <c r="AB51" s="447"/>
      <c r="AC51" s="447"/>
      <c r="AD51" s="447"/>
      <c r="AE51" s="447"/>
      <c r="AF51" s="447"/>
      <c r="AG51" s="447"/>
      <c r="AH51" s="447"/>
      <c r="AI51" s="447"/>
      <c r="AJ51" s="447"/>
      <c r="AK51" s="447"/>
      <c r="AL51" s="447"/>
      <c r="AM51" s="447"/>
      <c r="AN51" s="447"/>
      <c r="AO51" s="447"/>
      <c r="AP51" s="447"/>
      <c r="AQ51" s="447"/>
      <c r="AR51" s="447"/>
      <c r="AS51" s="447"/>
      <c r="AT51" s="447"/>
      <c r="AU51" s="447"/>
      <c r="AV51" s="447"/>
      <c r="AW51" s="447"/>
      <c r="AX51" s="447"/>
      <c r="AY51" s="447"/>
      <c r="AZ51" s="447"/>
      <c r="BA51" s="447"/>
      <c r="BB51" s="447"/>
      <c r="BC51" s="447"/>
      <c r="BD51" s="447"/>
      <c r="BE51" s="447"/>
      <c r="BF51" s="447"/>
      <c r="BG51" s="447"/>
      <c r="BH51" s="447"/>
      <c r="BI51" s="447"/>
      <c r="BJ51" s="447"/>
      <c r="BK51" s="447"/>
      <c r="BL51" s="447"/>
      <c r="BM51" s="447"/>
      <c r="BN51" s="447"/>
      <c r="BO51" s="447"/>
      <c r="BP51" s="447"/>
      <c r="BQ51" s="447"/>
      <c r="BR51" s="447"/>
      <c r="BS51" s="447"/>
      <c r="BT51" s="447"/>
      <c r="BU51" s="447"/>
      <c r="BV51" s="447"/>
      <c r="BW51" s="447"/>
      <c r="BX51" s="447"/>
      <c r="BY51" s="447"/>
      <c r="BZ51" s="447"/>
      <c r="CA51" s="447"/>
      <c r="CB51" s="447"/>
      <c r="CC51" s="447"/>
      <c r="CD51" s="447"/>
      <c r="CE51" s="447"/>
      <c r="CF51" s="447"/>
      <c r="CG51" s="447"/>
      <c r="CH51" s="447"/>
      <c r="CI51" s="447"/>
      <c r="CJ51" s="447"/>
      <c r="CK51" s="447"/>
      <c r="CL51" s="447"/>
      <c r="CM51" s="447"/>
      <c r="CN51" s="447"/>
      <c r="CO51" s="447"/>
      <c r="CP51" s="447"/>
      <c r="CQ51" s="447"/>
      <c r="CR51" s="447"/>
      <c r="CS51" s="447"/>
      <c r="CT51" s="447"/>
      <c r="CU51" s="447"/>
      <c r="CV51" s="447"/>
      <c r="CW51" s="447"/>
      <c r="CX51" s="447"/>
      <c r="CY51" s="447"/>
      <c r="CZ51" s="447"/>
      <c r="DA51" s="447"/>
      <c r="DB51" s="447"/>
      <c r="DC51" s="447"/>
      <c r="DD51" s="447"/>
      <c r="DE51" s="447"/>
      <c r="DF51" s="447"/>
      <c r="DG51" s="447"/>
      <c r="DH51" s="447"/>
      <c r="DI51" s="447"/>
      <c r="DJ51" s="447"/>
      <c r="DK51" s="447"/>
      <c r="DL51" s="447"/>
      <c r="DM51" s="447"/>
      <c r="DN51" s="447"/>
      <c r="DO51" s="447"/>
      <c r="DP51" s="447"/>
      <c r="DQ51" s="447"/>
      <c r="DR51" s="447"/>
      <c r="DS51" s="447"/>
      <c r="DT51" s="447"/>
      <c r="DU51" s="447"/>
      <c r="DV51" s="447"/>
      <c r="DW51" s="447"/>
      <c r="DX51" s="447"/>
      <c r="DY51" s="447"/>
      <c r="DZ51" s="447"/>
      <c r="EA51" s="447"/>
      <c r="EB51" s="447"/>
      <c r="EC51" s="447"/>
      <c r="ED51" s="447"/>
      <c r="EE51" s="447"/>
      <c r="EF51" s="447"/>
      <c r="EG51" s="447"/>
      <c r="EH51" s="447"/>
      <c r="EI51" s="447"/>
      <c r="EJ51" s="447"/>
      <c r="EK51" s="447"/>
      <c r="EL51" s="447"/>
      <c r="EM51" s="447"/>
      <c r="EN51" s="447"/>
      <c r="EO51" s="447"/>
      <c r="EP51" s="447"/>
      <c r="EQ51" s="447"/>
      <c r="ER51" s="447"/>
      <c r="ES51" s="447"/>
      <c r="ET51" s="447"/>
      <c r="EU51" s="447"/>
      <c r="EV51" s="447"/>
      <c r="EW51" s="447"/>
      <c r="EX51" s="447"/>
      <c r="EY51" s="447"/>
      <c r="EZ51" s="447"/>
      <c r="FA51" s="447"/>
      <c r="FB51" s="447"/>
      <c r="FC51" s="447"/>
      <c r="FD51" s="447"/>
      <c r="FE51" s="447"/>
      <c r="FF51" s="447"/>
      <c r="FG51" s="447"/>
      <c r="FH51" s="447"/>
      <c r="FI51" s="447"/>
      <c r="FJ51" s="447"/>
      <c r="FK51" s="447"/>
      <c r="FL51" s="447"/>
      <c r="FM51" s="447"/>
      <c r="FN51" s="447"/>
      <c r="FO51" s="447"/>
      <c r="FP51" s="447"/>
      <c r="FQ51" s="447"/>
      <c r="FR51" s="447"/>
      <c r="FS51" s="447"/>
      <c r="FT51" s="447"/>
      <c r="FU51" s="447"/>
      <c r="FV51" s="447"/>
      <c r="FW51" s="447"/>
      <c r="FX51" s="447"/>
      <c r="FY51" s="447"/>
      <c r="FZ51" s="447"/>
      <c r="GA51" s="447"/>
      <c r="GB51" s="447"/>
      <c r="GC51" s="447"/>
      <c r="GD51" s="447"/>
      <c r="GE51" s="447"/>
      <c r="GF51" s="447"/>
      <c r="GG51" s="447"/>
      <c r="GH51" s="447"/>
      <c r="GI51" s="447"/>
      <c r="GJ51" s="447"/>
      <c r="GK51" s="447"/>
      <c r="GL51" s="447"/>
      <c r="GM51" s="447"/>
      <c r="GN51" s="447"/>
      <c r="GO51" s="447"/>
      <c r="GP51" s="447"/>
      <c r="GQ51" s="447"/>
      <c r="GR51" s="447"/>
      <c r="GS51" s="447"/>
      <c r="GT51" s="447"/>
      <c r="GU51" s="447"/>
      <c r="GV51" s="447"/>
      <c r="GW51" s="447"/>
      <c r="GX51" s="447"/>
      <c r="GY51" s="447"/>
      <c r="GZ51" s="447"/>
      <c r="HA51" s="447"/>
      <c r="HB51" s="447"/>
      <c r="HC51" s="447"/>
      <c r="HD51" s="447"/>
      <c r="HE51" s="447"/>
      <c r="HF51" s="447"/>
      <c r="HG51" s="447"/>
      <c r="HH51" s="447"/>
      <c r="HI51" s="447"/>
      <c r="HJ51" s="447"/>
      <c r="HK51" s="447"/>
      <c r="HL51" s="447"/>
      <c r="HM51" s="447"/>
      <c r="HN51" s="447"/>
      <c r="HO51" s="447"/>
      <c r="HP51" s="447"/>
      <c r="HQ51" s="447"/>
      <c r="HR51" s="447"/>
      <c r="HS51" s="447"/>
      <c r="HT51" s="447"/>
      <c r="HU51" s="447"/>
      <c r="HV51" s="447"/>
      <c r="HW51" s="447"/>
      <c r="HX51" s="447"/>
      <c r="HY51" s="447"/>
      <c r="HZ51" s="447"/>
      <c r="IA51" s="447"/>
      <c r="IB51" s="447"/>
      <c r="IC51" s="447"/>
      <c r="ID51" s="447"/>
      <c r="IE51" s="447"/>
      <c r="IF51" s="447"/>
      <c r="IG51" s="447"/>
      <c r="IH51" s="447"/>
      <c r="II51" s="447"/>
      <c r="IJ51" s="447"/>
      <c r="IK51" s="447"/>
      <c r="IL51" s="447"/>
      <c r="IM51" s="447"/>
      <c r="IN51" s="447"/>
      <c r="IO51" s="447"/>
      <c r="IP51" s="447"/>
      <c r="IQ51" s="447"/>
      <c r="IR51" s="447"/>
    </row>
    <row r="52" spans="1:252" ht="31.5">
      <c r="A52" s="561">
        <v>39</v>
      </c>
      <c r="B52" s="562" t="s">
        <v>1444</v>
      </c>
      <c r="C52" s="563" t="s">
        <v>109</v>
      </c>
      <c r="D52" s="564">
        <v>1.732</v>
      </c>
      <c r="E52" s="564">
        <v>1.732</v>
      </c>
      <c r="F52" s="569">
        <f t="shared" si="0"/>
        <v>0</v>
      </c>
      <c r="G52" s="446"/>
      <c r="H52" s="447"/>
      <c r="I52" s="447"/>
      <c r="J52" s="449"/>
      <c r="K52" s="447"/>
      <c r="L52" s="447"/>
      <c r="M52" s="447"/>
      <c r="N52" s="447"/>
      <c r="O52" s="447"/>
      <c r="P52" s="447"/>
      <c r="Q52" s="447"/>
      <c r="R52" s="447"/>
      <c r="S52" s="447"/>
      <c r="T52" s="447"/>
      <c r="U52" s="447"/>
      <c r="V52" s="447"/>
      <c r="W52" s="447"/>
      <c r="X52" s="447"/>
      <c r="Y52" s="447"/>
      <c r="Z52" s="447"/>
      <c r="AA52" s="447"/>
      <c r="AB52" s="447"/>
      <c r="AC52" s="447"/>
      <c r="AD52" s="447"/>
      <c r="AE52" s="447"/>
      <c r="AF52" s="447"/>
      <c r="AG52" s="447"/>
      <c r="AH52" s="447"/>
      <c r="AI52" s="447"/>
      <c r="AJ52" s="447"/>
      <c r="AK52" s="447"/>
      <c r="AL52" s="447"/>
      <c r="AM52" s="447"/>
      <c r="AN52" s="447"/>
      <c r="AO52" s="447"/>
      <c r="AP52" s="447"/>
      <c r="AQ52" s="447"/>
      <c r="AR52" s="447"/>
      <c r="AS52" s="447"/>
      <c r="AT52" s="447"/>
      <c r="AU52" s="447"/>
      <c r="AV52" s="447"/>
      <c r="AW52" s="447"/>
      <c r="AX52" s="447"/>
      <c r="AY52" s="447"/>
      <c r="AZ52" s="447"/>
      <c r="BA52" s="447"/>
      <c r="BB52" s="447"/>
      <c r="BC52" s="447"/>
      <c r="BD52" s="447"/>
      <c r="BE52" s="447"/>
      <c r="BF52" s="447"/>
      <c r="BG52" s="447"/>
      <c r="BH52" s="447"/>
      <c r="BI52" s="447"/>
      <c r="BJ52" s="447"/>
      <c r="BK52" s="447"/>
      <c r="BL52" s="447"/>
      <c r="BM52" s="447"/>
      <c r="BN52" s="447"/>
      <c r="BO52" s="447"/>
      <c r="BP52" s="447"/>
      <c r="BQ52" s="447"/>
      <c r="BR52" s="447"/>
      <c r="BS52" s="447"/>
      <c r="BT52" s="447"/>
      <c r="BU52" s="447"/>
      <c r="BV52" s="447"/>
      <c r="BW52" s="447"/>
      <c r="BX52" s="447"/>
      <c r="BY52" s="447"/>
      <c r="BZ52" s="447"/>
      <c r="CA52" s="447"/>
      <c r="CB52" s="447"/>
      <c r="CC52" s="447"/>
      <c r="CD52" s="447"/>
      <c r="CE52" s="447"/>
      <c r="CF52" s="447"/>
      <c r="CG52" s="447"/>
      <c r="CH52" s="447"/>
      <c r="CI52" s="447"/>
      <c r="CJ52" s="447"/>
      <c r="CK52" s="447"/>
      <c r="CL52" s="447"/>
      <c r="CM52" s="447"/>
      <c r="CN52" s="447"/>
      <c r="CO52" s="447"/>
      <c r="CP52" s="447"/>
      <c r="CQ52" s="447"/>
      <c r="CR52" s="447"/>
      <c r="CS52" s="447"/>
      <c r="CT52" s="447"/>
      <c r="CU52" s="447"/>
      <c r="CV52" s="447"/>
      <c r="CW52" s="447"/>
      <c r="CX52" s="447"/>
      <c r="CY52" s="447"/>
      <c r="CZ52" s="447"/>
      <c r="DA52" s="447"/>
      <c r="DB52" s="447"/>
      <c r="DC52" s="447"/>
      <c r="DD52" s="447"/>
      <c r="DE52" s="447"/>
      <c r="DF52" s="447"/>
      <c r="DG52" s="447"/>
      <c r="DH52" s="447"/>
      <c r="DI52" s="447"/>
      <c r="DJ52" s="447"/>
      <c r="DK52" s="447"/>
      <c r="DL52" s="447"/>
      <c r="DM52" s="447"/>
      <c r="DN52" s="447"/>
      <c r="DO52" s="447"/>
      <c r="DP52" s="447"/>
      <c r="DQ52" s="447"/>
      <c r="DR52" s="447"/>
      <c r="DS52" s="447"/>
      <c r="DT52" s="447"/>
      <c r="DU52" s="447"/>
      <c r="DV52" s="447"/>
      <c r="DW52" s="447"/>
      <c r="DX52" s="447"/>
      <c r="DY52" s="447"/>
      <c r="DZ52" s="447"/>
      <c r="EA52" s="447"/>
      <c r="EB52" s="447"/>
      <c r="EC52" s="447"/>
      <c r="ED52" s="447"/>
      <c r="EE52" s="447"/>
      <c r="EF52" s="447"/>
      <c r="EG52" s="447"/>
      <c r="EH52" s="447"/>
      <c r="EI52" s="447"/>
      <c r="EJ52" s="447"/>
      <c r="EK52" s="447"/>
      <c r="EL52" s="447"/>
      <c r="EM52" s="447"/>
      <c r="EN52" s="447"/>
      <c r="EO52" s="447"/>
      <c r="EP52" s="447"/>
      <c r="EQ52" s="447"/>
      <c r="ER52" s="447"/>
      <c r="ES52" s="447"/>
      <c r="ET52" s="447"/>
      <c r="EU52" s="447"/>
      <c r="EV52" s="447"/>
      <c r="EW52" s="447"/>
      <c r="EX52" s="447"/>
      <c r="EY52" s="447"/>
      <c r="EZ52" s="447"/>
      <c r="FA52" s="447"/>
      <c r="FB52" s="447"/>
      <c r="FC52" s="447"/>
      <c r="FD52" s="447"/>
      <c r="FE52" s="447"/>
      <c r="FF52" s="447"/>
      <c r="FG52" s="447"/>
      <c r="FH52" s="447"/>
      <c r="FI52" s="447"/>
      <c r="FJ52" s="447"/>
      <c r="FK52" s="447"/>
      <c r="FL52" s="447"/>
      <c r="FM52" s="447"/>
      <c r="FN52" s="447"/>
      <c r="FO52" s="447"/>
      <c r="FP52" s="447"/>
      <c r="FQ52" s="447"/>
      <c r="FR52" s="447"/>
      <c r="FS52" s="447"/>
      <c r="FT52" s="447"/>
      <c r="FU52" s="447"/>
      <c r="FV52" s="447"/>
      <c r="FW52" s="447"/>
      <c r="FX52" s="447"/>
      <c r="FY52" s="447"/>
      <c r="FZ52" s="447"/>
      <c r="GA52" s="447"/>
      <c r="GB52" s="447"/>
      <c r="GC52" s="447"/>
      <c r="GD52" s="447"/>
      <c r="GE52" s="447"/>
      <c r="GF52" s="447"/>
      <c r="GG52" s="447"/>
      <c r="GH52" s="447"/>
      <c r="GI52" s="447"/>
      <c r="GJ52" s="447"/>
      <c r="GK52" s="447"/>
      <c r="GL52" s="447"/>
      <c r="GM52" s="447"/>
      <c r="GN52" s="447"/>
      <c r="GO52" s="447"/>
      <c r="GP52" s="447"/>
      <c r="GQ52" s="447"/>
      <c r="GR52" s="447"/>
      <c r="GS52" s="447"/>
      <c r="GT52" s="447"/>
      <c r="GU52" s="447"/>
      <c r="GV52" s="447"/>
      <c r="GW52" s="447"/>
      <c r="GX52" s="447"/>
      <c r="GY52" s="447"/>
      <c r="GZ52" s="447"/>
      <c r="HA52" s="447"/>
      <c r="HB52" s="447"/>
      <c r="HC52" s="447"/>
      <c r="HD52" s="447"/>
      <c r="HE52" s="447"/>
      <c r="HF52" s="447"/>
      <c r="HG52" s="447"/>
      <c r="HH52" s="447"/>
      <c r="HI52" s="447"/>
      <c r="HJ52" s="447"/>
      <c r="HK52" s="447"/>
      <c r="HL52" s="447"/>
      <c r="HM52" s="447"/>
      <c r="HN52" s="447"/>
      <c r="HO52" s="447"/>
      <c r="HP52" s="447"/>
      <c r="HQ52" s="447"/>
      <c r="HR52" s="447"/>
      <c r="HS52" s="447"/>
      <c r="HT52" s="447"/>
      <c r="HU52" s="447"/>
      <c r="HV52" s="447"/>
      <c r="HW52" s="447"/>
      <c r="HX52" s="447"/>
      <c r="HY52" s="447"/>
      <c r="HZ52" s="447"/>
      <c r="IA52" s="447"/>
      <c r="IB52" s="447"/>
      <c r="IC52" s="447"/>
      <c r="ID52" s="447"/>
      <c r="IE52" s="447"/>
      <c r="IF52" s="447"/>
      <c r="IG52" s="447"/>
      <c r="IH52" s="447"/>
      <c r="II52" s="447"/>
      <c r="IJ52" s="447"/>
      <c r="IK52" s="447"/>
      <c r="IL52" s="447"/>
      <c r="IM52" s="447"/>
      <c r="IN52" s="447"/>
      <c r="IO52" s="447"/>
      <c r="IP52" s="447"/>
      <c r="IQ52" s="447"/>
      <c r="IR52" s="447"/>
    </row>
    <row r="53" spans="1:252" ht="19.899999999999999" customHeight="1">
      <c r="A53" s="561">
        <v>40</v>
      </c>
      <c r="B53" s="562" t="s">
        <v>1445</v>
      </c>
      <c r="C53" s="563" t="s">
        <v>1409</v>
      </c>
      <c r="D53" s="564">
        <v>1</v>
      </c>
      <c r="E53" s="564">
        <v>1</v>
      </c>
      <c r="F53" s="569">
        <f t="shared" si="0"/>
        <v>0</v>
      </c>
      <c r="G53" s="446"/>
      <c r="H53" s="447"/>
      <c r="I53" s="447"/>
      <c r="J53" s="449"/>
      <c r="K53" s="447"/>
      <c r="L53" s="447"/>
      <c r="M53" s="447"/>
      <c r="N53" s="447"/>
      <c r="O53" s="447"/>
      <c r="P53" s="447"/>
      <c r="Q53" s="447"/>
      <c r="R53" s="447"/>
      <c r="S53" s="447"/>
      <c r="T53" s="447"/>
      <c r="U53" s="447"/>
      <c r="V53" s="447"/>
      <c r="W53" s="447"/>
      <c r="X53" s="447"/>
      <c r="Y53" s="447"/>
      <c r="Z53" s="447"/>
      <c r="AA53" s="447"/>
      <c r="AB53" s="447"/>
      <c r="AC53" s="447"/>
      <c r="AD53" s="447"/>
      <c r="AE53" s="447"/>
      <c r="AF53" s="447"/>
      <c r="AG53" s="447"/>
      <c r="AH53" s="447"/>
      <c r="AI53" s="447"/>
      <c r="AJ53" s="447"/>
      <c r="AK53" s="447"/>
      <c r="AL53" s="447"/>
      <c r="AM53" s="447"/>
      <c r="AN53" s="447"/>
      <c r="AO53" s="447"/>
      <c r="AP53" s="447"/>
      <c r="AQ53" s="447"/>
      <c r="AR53" s="447"/>
      <c r="AS53" s="447"/>
      <c r="AT53" s="447"/>
      <c r="AU53" s="447"/>
      <c r="AV53" s="447"/>
      <c r="AW53" s="447"/>
      <c r="AX53" s="447"/>
      <c r="AY53" s="447"/>
      <c r="AZ53" s="447"/>
      <c r="BA53" s="447"/>
      <c r="BB53" s="447"/>
      <c r="BC53" s="447"/>
      <c r="BD53" s="447"/>
      <c r="BE53" s="447"/>
      <c r="BF53" s="447"/>
      <c r="BG53" s="447"/>
      <c r="BH53" s="447"/>
      <c r="BI53" s="447"/>
      <c r="BJ53" s="447"/>
      <c r="BK53" s="447"/>
      <c r="BL53" s="447"/>
      <c r="BM53" s="447"/>
      <c r="BN53" s="447"/>
      <c r="BO53" s="447"/>
      <c r="BP53" s="447"/>
      <c r="BQ53" s="447"/>
      <c r="BR53" s="447"/>
      <c r="BS53" s="447"/>
      <c r="BT53" s="447"/>
      <c r="BU53" s="447"/>
      <c r="BV53" s="447"/>
      <c r="BW53" s="447"/>
      <c r="BX53" s="447"/>
      <c r="BY53" s="447"/>
      <c r="BZ53" s="447"/>
      <c r="CA53" s="447"/>
      <c r="CB53" s="447"/>
      <c r="CC53" s="447"/>
      <c r="CD53" s="447"/>
      <c r="CE53" s="447"/>
      <c r="CF53" s="447"/>
      <c r="CG53" s="447"/>
      <c r="CH53" s="447"/>
      <c r="CI53" s="447"/>
      <c r="CJ53" s="447"/>
      <c r="CK53" s="447"/>
      <c r="CL53" s="447"/>
      <c r="CM53" s="447"/>
      <c r="CN53" s="447"/>
      <c r="CO53" s="447"/>
      <c r="CP53" s="447"/>
      <c r="CQ53" s="447"/>
      <c r="CR53" s="447"/>
      <c r="CS53" s="447"/>
      <c r="CT53" s="447"/>
      <c r="CU53" s="447"/>
      <c r="CV53" s="447"/>
      <c r="CW53" s="447"/>
      <c r="CX53" s="447"/>
      <c r="CY53" s="447"/>
      <c r="CZ53" s="447"/>
      <c r="DA53" s="447"/>
      <c r="DB53" s="447"/>
      <c r="DC53" s="447"/>
      <c r="DD53" s="447"/>
      <c r="DE53" s="447"/>
      <c r="DF53" s="447"/>
      <c r="DG53" s="447"/>
      <c r="DH53" s="447"/>
      <c r="DI53" s="447"/>
      <c r="DJ53" s="447"/>
      <c r="DK53" s="447"/>
      <c r="DL53" s="447"/>
      <c r="DM53" s="447"/>
      <c r="DN53" s="447"/>
      <c r="DO53" s="447"/>
      <c r="DP53" s="447"/>
      <c r="DQ53" s="447"/>
      <c r="DR53" s="447"/>
      <c r="DS53" s="447"/>
      <c r="DT53" s="447"/>
      <c r="DU53" s="447"/>
      <c r="DV53" s="447"/>
      <c r="DW53" s="447"/>
      <c r="DX53" s="447"/>
      <c r="DY53" s="447"/>
      <c r="DZ53" s="447"/>
      <c r="EA53" s="447"/>
      <c r="EB53" s="447"/>
      <c r="EC53" s="447"/>
      <c r="ED53" s="447"/>
      <c r="EE53" s="447"/>
      <c r="EF53" s="447"/>
      <c r="EG53" s="447"/>
      <c r="EH53" s="447"/>
      <c r="EI53" s="447"/>
      <c r="EJ53" s="447"/>
      <c r="EK53" s="447"/>
      <c r="EL53" s="447"/>
      <c r="EM53" s="447"/>
      <c r="EN53" s="447"/>
      <c r="EO53" s="447"/>
      <c r="EP53" s="447"/>
      <c r="EQ53" s="447"/>
      <c r="ER53" s="447"/>
      <c r="ES53" s="447"/>
      <c r="ET53" s="447"/>
      <c r="EU53" s="447"/>
      <c r="EV53" s="447"/>
      <c r="EW53" s="447"/>
      <c r="EX53" s="447"/>
      <c r="EY53" s="447"/>
      <c r="EZ53" s="447"/>
      <c r="FA53" s="447"/>
      <c r="FB53" s="447"/>
      <c r="FC53" s="447"/>
      <c r="FD53" s="447"/>
      <c r="FE53" s="447"/>
      <c r="FF53" s="447"/>
      <c r="FG53" s="447"/>
      <c r="FH53" s="447"/>
      <c r="FI53" s="447"/>
      <c r="FJ53" s="447"/>
      <c r="FK53" s="447"/>
      <c r="FL53" s="447"/>
      <c r="FM53" s="447"/>
      <c r="FN53" s="447"/>
      <c r="FO53" s="447"/>
      <c r="FP53" s="447"/>
      <c r="FQ53" s="447"/>
      <c r="FR53" s="447"/>
      <c r="FS53" s="447"/>
      <c r="FT53" s="447"/>
      <c r="FU53" s="447"/>
      <c r="FV53" s="447"/>
      <c r="FW53" s="447"/>
      <c r="FX53" s="447"/>
      <c r="FY53" s="447"/>
      <c r="FZ53" s="447"/>
      <c r="GA53" s="447"/>
      <c r="GB53" s="447"/>
      <c r="GC53" s="447"/>
      <c r="GD53" s="447"/>
      <c r="GE53" s="447"/>
      <c r="GF53" s="447"/>
      <c r="GG53" s="447"/>
      <c r="GH53" s="447"/>
      <c r="GI53" s="447"/>
      <c r="GJ53" s="447"/>
      <c r="GK53" s="447"/>
      <c r="GL53" s="447"/>
      <c r="GM53" s="447"/>
      <c r="GN53" s="447"/>
      <c r="GO53" s="447"/>
      <c r="GP53" s="447"/>
      <c r="GQ53" s="447"/>
      <c r="GR53" s="447"/>
      <c r="GS53" s="447"/>
      <c r="GT53" s="447"/>
      <c r="GU53" s="447"/>
      <c r="GV53" s="447"/>
      <c r="GW53" s="447"/>
      <c r="GX53" s="447"/>
      <c r="GY53" s="447"/>
      <c r="GZ53" s="447"/>
      <c r="HA53" s="447"/>
      <c r="HB53" s="447"/>
      <c r="HC53" s="447"/>
      <c r="HD53" s="447"/>
      <c r="HE53" s="447"/>
      <c r="HF53" s="447"/>
      <c r="HG53" s="447"/>
      <c r="HH53" s="447"/>
      <c r="HI53" s="447"/>
      <c r="HJ53" s="447"/>
      <c r="HK53" s="447"/>
      <c r="HL53" s="447"/>
      <c r="HM53" s="447"/>
      <c r="HN53" s="447"/>
      <c r="HO53" s="447"/>
      <c r="HP53" s="447"/>
      <c r="HQ53" s="447"/>
      <c r="HR53" s="447"/>
      <c r="HS53" s="447"/>
      <c r="HT53" s="447"/>
      <c r="HU53" s="447"/>
      <c r="HV53" s="447"/>
      <c r="HW53" s="447"/>
      <c r="HX53" s="447"/>
      <c r="HY53" s="447"/>
      <c r="HZ53" s="447"/>
      <c r="IA53" s="447"/>
      <c r="IB53" s="447"/>
      <c r="IC53" s="447"/>
      <c r="ID53" s="447"/>
      <c r="IE53" s="447"/>
      <c r="IF53" s="447"/>
      <c r="IG53" s="447"/>
      <c r="IH53" s="447"/>
      <c r="II53" s="447"/>
      <c r="IJ53" s="447"/>
      <c r="IK53" s="447"/>
      <c r="IL53" s="447"/>
      <c r="IM53" s="447"/>
      <c r="IN53" s="447"/>
      <c r="IO53" s="447"/>
      <c r="IP53" s="447"/>
      <c r="IQ53" s="447"/>
      <c r="IR53" s="447"/>
    </row>
    <row r="54" spans="1:252" ht="19.899999999999999" customHeight="1">
      <c r="A54" s="561">
        <v>41</v>
      </c>
      <c r="B54" s="562" t="s">
        <v>1446</v>
      </c>
      <c r="C54" s="563" t="s">
        <v>427</v>
      </c>
      <c r="D54" s="564">
        <v>1</v>
      </c>
      <c r="E54" s="564">
        <v>1</v>
      </c>
      <c r="F54" s="569">
        <f t="shared" si="0"/>
        <v>0</v>
      </c>
      <c r="G54" s="446"/>
      <c r="H54" s="447"/>
      <c r="I54" s="447"/>
      <c r="J54" s="449"/>
      <c r="K54" s="447"/>
      <c r="L54" s="447"/>
      <c r="M54" s="447"/>
      <c r="N54" s="447"/>
      <c r="O54" s="447"/>
      <c r="P54" s="447"/>
      <c r="Q54" s="447"/>
      <c r="R54" s="447"/>
      <c r="S54" s="447"/>
      <c r="T54" s="447"/>
      <c r="U54" s="447"/>
      <c r="V54" s="447"/>
      <c r="W54" s="447"/>
      <c r="X54" s="447"/>
      <c r="Y54" s="447"/>
      <c r="Z54" s="447"/>
      <c r="AA54" s="447"/>
      <c r="AB54" s="447"/>
      <c r="AC54" s="447"/>
      <c r="AD54" s="447"/>
      <c r="AE54" s="447"/>
      <c r="AF54" s="447"/>
      <c r="AG54" s="447"/>
      <c r="AH54" s="447"/>
      <c r="AI54" s="447"/>
      <c r="AJ54" s="447"/>
      <c r="AK54" s="447"/>
      <c r="AL54" s="447"/>
      <c r="AM54" s="447"/>
      <c r="AN54" s="447"/>
      <c r="AO54" s="447"/>
      <c r="AP54" s="447"/>
      <c r="AQ54" s="447"/>
      <c r="AR54" s="447"/>
      <c r="AS54" s="447"/>
      <c r="AT54" s="447"/>
      <c r="AU54" s="447"/>
      <c r="AV54" s="447"/>
      <c r="AW54" s="447"/>
      <c r="AX54" s="447"/>
      <c r="AY54" s="447"/>
      <c r="AZ54" s="447"/>
      <c r="BA54" s="447"/>
      <c r="BB54" s="447"/>
      <c r="BC54" s="447"/>
      <c r="BD54" s="447"/>
      <c r="BE54" s="447"/>
      <c r="BF54" s="447"/>
      <c r="BG54" s="447"/>
      <c r="BH54" s="447"/>
      <c r="BI54" s="447"/>
      <c r="BJ54" s="447"/>
      <c r="BK54" s="447"/>
      <c r="BL54" s="447"/>
      <c r="BM54" s="447"/>
      <c r="BN54" s="447"/>
      <c r="BO54" s="447"/>
      <c r="BP54" s="447"/>
      <c r="BQ54" s="447"/>
      <c r="BR54" s="447"/>
      <c r="BS54" s="447"/>
      <c r="BT54" s="447"/>
      <c r="BU54" s="447"/>
      <c r="BV54" s="447"/>
      <c r="BW54" s="447"/>
      <c r="BX54" s="447"/>
      <c r="BY54" s="447"/>
      <c r="BZ54" s="447"/>
      <c r="CA54" s="447"/>
      <c r="CB54" s="447"/>
      <c r="CC54" s="447"/>
      <c r="CD54" s="447"/>
      <c r="CE54" s="447"/>
      <c r="CF54" s="447"/>
      <c r="CG54" s="447"/>
      <c r="CH54" s="447"/>
      <c r="CI54" s="447"/>
      <c r="CJ54" s="447"/>
      <c r="CK54" s="447"/>
      <c r="CL54" s="447"/>
      <c r="CM54" s="447"/>
      <c r="CN54" s="447"/>
      <c r="CO54" s="447"/>
      <c r="CP54" s="447"/>
      <c r="CQ54" s="447"/>
      <c r="CR54" s="447"/>
      <c r="CS54" s="447"/>
      <c r="CT54" s="447"/>
      <c r="CU54" s="447"/>
      <c r="CV54" s="447"/>
      <c r="CW54" s="447"/>
      <c r="CX54" s="447"/>
      <c r="CY54" s="447"/>
      <c r="CZ54" s="447"/>
      <c r="DA54" s="447"/>
      <c r="DB54" s="447"/>
      <c r="DC54" s="447"/>
      <c r="DD54" s="447"/>
      <c r="DE54" s="447"/>
      <c r="DF54" s="447"/>
      <c r="DG54" s="447"/>
      <c r="DH54" s="447"/>
      <c r="DI54" s="447"/>
      <c r="DJ54" s="447"/>
      <c r="DK54" s="447"/>
      <c r="DL54" s="447"/>
      <c r="DM54" s="447"/>
      <c r="DN54" s="447"/>
      <c r="DO54" s="447"/>
      <c r="DP54" s="447"/>
      <c r="DQ54" s="447"/>
      <c r="DR54" s="447"/>
      <c r="DS54" s="447"/>
      <c r="DT54" s="447"/>
      <c r="DU54" s="447"/>
      <c r="DV54" s="447"/>
      <c r="DW54" s="447"/>
      <c r="DX54" s="447"/>
      <c r="DY54" s="447"/>
      <c r="DZ54" s="447"/>
      <c r="EA54" s="447"/>
      <c r="EB54" s="447"/>
      <c r="EC54" s="447"/>
      <c r="ED54" s="447"/>
      <c r="EE54" s="447"/>
      <c r="EF54" s="447"/>
      <c r="EG54" s="447"/>
      <c r="EH54" s="447"/>
      <c r="EI54" s="447"/>
      <c r="EJ54" s="447"/>
      <c r="EK54" s="447"/>
      <c r="EL54" s="447"/>
      <c r="EM54" s="447"/>
      <c r="EN54" s="447"/>
      <c r="EO54" s="447"/>
      <c r="EP54" s="447"/>
      <c r="EQ54" s="447"/>
      <c r="ER54" s="447"/>
      <c r="ES54" s="447"/>
      <c r="ET54" s="447"/>
      <c r="EU54" s="447"/>
      <c r="EV54" s="447"/>
      <c r="EW54" s="447"/>
      <c r="EX54" s="447"/>
      <c r="EY54" s="447"/>
      <c r="EZ54" s="447"/>
      <c r="FA54" s="447"/>
      <c r="FB54" s="447"/>
      <c r="FC54" s="447"/>
      <c r="FD54" s="447"/>
      <c r="FE54" s="447"/>
      <c r="FF54" s="447"/>
      <c r="FG54" s="447"/>
      <c r="FH54" s="447"/>
      <c r="FI54" s="447"/>
      <c r="FJ54" s="447"/>
      <c r="FK54" s="447"/>
      <c r="FL54" s="447"/>
      <c r="FM54" s="447"/>
      <c r="FN54" s="447"/>
      <c r="FO54" s="447"/>
      <c r="FP54" s="447"/>
      <c r="FQ54" s="447"/>
      <c r="FR54" s="447"/>
      <c r="FS54" s="447"/>
      <c r="FT54" s="447"/>
      <c r="FU54" s="447"/>
      <c r="FV54" s="447"/>
      <c r="FW54" s="447"/>
      <c r="FX54" s="447"/>
      <c r="FY54" s="447"/>
      <c r="FZ54" s="447"/>
      <c r="GA54" s="447"/>
      <c r="GB54" s="447"/>
      <c r="GC54" s="447"/>
      <c r="GD54" s="447"/>
      <c r="GE54" s="447"/>
      <c r="GF54" s="447"/>
      <c r="GG54" s="447"/>
      <c r="GH54" s="447"/>
      <c r="GI54" s="447"/>
      <c r="GJ54" s="447"/>
      <c r="GK54" s="447"/>
      <c r="GL54" s="447"/>
      <c r="GM54" s="447"/>
      <c r="GN54" s="447"/>
      <c r="GO54" s="447"/>
      <c r="GP54" s="447"/>
      <c r="GQ54" s="447"/>
      <c r="GR54" s="447"/>
      <c r="GS54" s="447"/>
      <c r="GT54" s="447"/>
      <c r="GU54" s="447"/>
      <c r="GV54" s="447"/>
      <c r="GW54" s="447"/>
      <c r="GX54" s="447"/>
      <c r="GY54" s="447"/>
      <c r="GZ54" s="447"/>
      <c r="HA54" s="447"/>
      <c r="HB54" s="447"/>
      <c r="HC54" s="447"/>
      <c r="HD54" s="447"/>
      <c r="HE54" s="447"/>
      <c r="HF54" s="447"/>
      <c r="HG54" s="447"/>
      <c r="HH54" s="447"/>
      <c r="HI54" s="447"/>
      <c r="HJ54" s="447"/>
      <c r="HK54" s="447"/>
      <c r="HL54" s="447"/>
      <c r="HM54" s="447"/>
      <c r="HN54" s="447"/>
      <c r="HO54" s="447"/>
      <c r="HP54" s="447"/>
      <c r="HQ54" s="447"/>
      <c r="HR54" s="447"/>
      <c r="HS54" s="447"/>
      <c r="HT54" s="447"/>
      <c r="HU54" s="447"/>
      <c r="HV54" s="447"/>
      <c r="HW54" s="447"/>
      <c r="HX54" s="447"/>
      <c r="HY54" s="447"/>
      <c r="HZ54" s="447"/>
      <c r="IA54" s="447"/>
      <c r="IB54" s="447"/>
      <c r="IC54" s="447"/>
      <c r="ID54" s="447"/>
      <c r="IE54" s="447"/>
      <c r="IF54" s="447"/>
      <c r="IG54" s="447"/>
      <c r="IH54" s="447"/>
      <c r="II54" s="447"/>
      <c r="IJ54" s="447"/>
      <c r="IK54" s="447"/>
      <c r="IL54" s="447"/>
      <c r="IM54" s="447"/>
      <c r="IN54" s="447"/>
      <c r="IO54" s="447"/>
      <c r="IP54" s="447"/>
      <c r="IQ54" s="447"/>
      <c r="IR54" s="447"/>
    </row>
    <row r="55" spans="1:252" ht="31.5">
      <c r="A55" s="561">
        <v>42</v>
      </c>
      <c r="B55" s="562" t="s">
        <v>1429</v>
      </c>
      <c r="C55" s="563" t="s">
        <v>116</v>
      </c>
      <c r="D55" s="564">
        <v>160</v>
      </c>
      <c r="E55" s="564">
        <v>160</v>
      </c>
      <c r="F55" s="569">
        <f t="shared" si="0"/>
        <v>0</v>
      </c>
      <c r="G55" s="446"/>
      <c r="H55" s="447"/>
      <c r="I55" s="447"/>
      <c r="J55" s="449"/>
      <c r="K55" s="447"/>
      <c r="L55" s="447"/>
      <c r="M55" s="447"/>
      <c r="N55" s="447"/>
      <c r="O55" s="447"/>
      <c r="P55" s="447"/>
      <c r="Q55" s="447"/>
      <c r="R55" s="447"/>
      <c r="S55" s="447"/>
      <c r="T55" s="447"/>
      <c r="U55" s="447"/>
      <c r="V55" s="447"/>
      <c r="W55" s="447"/>
      <c r="X55" s="447"/>
      <c r="Y55" s="447"/>
      <c r="Z55" s="447"/>
      <c r="AA55" s="447"/>
      <c r="AB55" s="447"/>
      <c r="AC55" s="447"/>
      <c r="AD55" s="447"/>
      <c r="AE55" s="447"/>
      <c r="AF55" s="447"/>
      <c r="AG55" s="447"/>
      <c r="AH55" s="447"/>
      <c r="AI55" s="447"/>
      <c r="AJ55" s="447"/>
      <c r="AK55" s="447"/>
      <c r="AL55" s="447"/>
      <c r="AM55" s="447"/>
      <c r="AN55" s="447"/>
      <c r="AO55" s="447"/>
      <c r="AP55" s="447"/>
      <c r="AQ55" s="447"/>
      <c r="AR55" s="447"/>
      <c r="AS55" s="447"/>
      <c r="AT55" s="447"/>
      <c r="AU55" s="447"/>
      <c r="AV55" s="447"/>
      <c r="AW55" s="447"/>
      <c r="AX55" s="447"/>
      <c r="AY55" s="447"/>
      <c r="AZ55" s="447"/>
      <c r="BA55" s="447"/>
      <c r="BB55" s="447"/>
      <c r="BC55" s="447"/>
      <c r="BD55" s="447"/>
      <c r="BE55" s="447"/>
      <c r="BF55" s="447"/>
      <c r="BG55" s="447"/>
      <c r="BH55" s="447"/>
      <c r="BI55" s="447"/>
      <c r="BJ55" s="447"/>
      <c r="BK55" s="447"/>
      <c r="BL55" s="447"/>
      <c r="BM55" s="447"/>
      <c r="BN55" s="447"/>
      <c r="BO55" s="447"/>
      <c r="BP55" s="447"/>
      <c r="BQ55" s="447"/>
      <c r="BR55" s="447"/>
      <c r="BS55" s="447"/>
      <c r="BT55" s="447"/>
      <c r="BU55" s="447"/>
      <c r="BV55" s="447"/>
      <c r="BW55" s="447"/>
      <c r="BX55" s="447"/>
      <c r="BY55" s="447"/>
      <c r="BZ55" s="447"/>
      <c r="CA55" s="447"/>
      <c r="CB55" s="447"/>
      <c r="CC55" s="447"/>
      <c r="CD55" s="447"/>
      <c r="CE55" s="447"/>
      <c r="CF55" s="447"/>
      <c r="CG55" s="447"/>
      <c r="CH55" s="447"/>
      <c r="CI55" s="447"/>
      <c r="CJ55" s="447"/>
      <c r="CK55" s="447"/>
      <c r="CL55" s="447"/>
      <c r="CM55" s="447"/>
      <c r="CN55" s="447"/>
      <c r="CO55" s="447"/>
      <c r="CP55" s="447"/>
      <c r="CQ55" s="447"/>
      <c r="CR55" s="447"/>
      <c r="CS55" s="447"/>
      <c r="CT55" s="447"/>
      <c r="CU55" s="447"/>
      <c r="CV55" s="447"/>
      <c r="CW55" s="447"/>
      <c r="CX55" s="447"/>
      <c r="CY55" s="447"/>
      <c r="CZ55" s="447"/>
      <c r="DA55" s="447"/>
      <c r="DB55" s="447"/>
      <c r="DC55" s="447"/>
      <c r="DD55" s="447"/>
      <c r="DE55" s="447"/>
      <c r="DF55" s="447"/>
      <c r="DG55" s="447"/>
      <c r="DH55" s="447"/>
      <c r="DI55" s="447"/>
      <c r="DJ55" s="447"/>
      <c r="DK55" s="447"/>
      <c r="DL55" s="447"/>
      <c r="DM55" s="447"/>
      <c r="DN55" s="447"/>
      <c r="DO55" s="447"/>
      <c r="DP55" s="447"/>
      <c r="DQ55" s="447"/>
      <c r="DR55" s="447"/>
      <c r="DS55" s="447"/>
      <c r="DT55" s="447"/>
      <c r="DU55" s="447"/>
      <c r="DV55" s="447"/>
      <c r="DW55" s="447"/>
      <c r="DX55" s="447"/>
      <c r="DY55" s="447"/>
      <c r="DZ55" s="447"/>
      <c r="EA55" s="447"/>
      <c r="EB55" s="447"/>
      <c r="EC55" s="447"/>
      <c r="ED55" s="447"/>
      <c r="EE55" s="447"/>
      <c r="EF55" s="447"/>
      <c r="EG55" s="447"/>
      <c r="EH55" s="447"/>
      <c r="EI55" s="447"/>
      <c r="EJ55" s="447"/>
      <c r="EK55" s="447"/>
      <c r="EL55" s="447"/>
      <c r="EM55" s="447"/>
      <c r="EN55" s="447"/>
      <c r="EO55" s="447"/>
      <c r="EP55" s="447"/>
      <c r="EQ55" s="447"/>
      <c r="ER55" s="447"/>
      <c r="ES55" s="447"/>
      <c r="ET55" s="447"/>
      <c r="EU55" s="447"/>
      <c r="EV55" s="447"/>
      <c r="EW55" s="447"/>
      <c r="EX55" s="447"/>
      <c r="EY55" s="447"/>
      <c r="EZ55" s="447"/>
      <c r="FA55" s="447"/>
      <c r="FB55" s="447"/>
      <c r="FC55" s="447"/>
      <c r="FD55" s="447"/>
      <c r="FE55" s="447"/>
      <c r="FF55" s="447"/>
      <c r="FG55" s="447"/>
      <c r="FH55" s="447"/>
      <c r="FI55" s="447"/>
      <c r="FJ55" s="447"/>
      <c r="FK55" s="447"/>
      <c r="FL55" s="447"/>
      <c r="FM55" s="447"/>
      <c r="FN55" s="447"/>
      <c r="FO55" s="447"/>
      <c r="FP55" s="447"/>
      <c r="FQ55" s="447"/>
      <c r="FR55" s="447"/>
      <c r="FS55" s="447"/>
      <c r="FT55" s="447"/>
      <c r="FU55" s="447"/>
      <c r="FV55" s="447"/>
      <c r="FW55" s="447"/>
      <c r="FX55" s="447"/>
      <c r="FY55" s="447"/>
      <c r="FZ55" s="447"/>
      <c r="GA55" s="447"/>
      <c r="GB55" s="447"/>
      <c r="GC55" s="447"/>
      <c r="GD55" s="447"/>
      <c r="GE55" s="447"/>
      <c r="GF55" s="447"/>
      <c r="GG55" s="447"/>
      <c r="GH55" s="447"/>
      <c r="GI55" s="447"/>
      <c r="GJ55" s="447"/>
      <c r="GK55" s="447"/>
      <c r="GL55" s="447"/>
      <c r="GM55" s="447"/>
      <c r="GN55" s="447"/>
      <c r="GO55" s="447"/>
      <c r="GP55" s="447"/>
      <c r="GQ55" s="447"/>
      <c r="GR55" s="447"/>
      <c r="GS55" s="447"/>
      <c r="GT55" s="447"/>
      <c r="GU55" s="447"/>
      <c r="GV55" s="447"/>
      <c r="GW55" s="447"/>
      <c r="GX55" s="447"/>
      <c r="GY55" s="447"/>
      <c r="GZ55" s="447"/>
      <c r="HA55" s="447"/>
      <c r="HB55" s="447"/>
      <c r="HC55" s="447"/>
      <c r="HD55" s="447"/>
      <c r="HE55" s="447"/>
      <c r="HF55" s="447"/>
      <c r="HG55" s="447"/>
      <c r="HH55" s="447"/>
      <c r="HI55" s="447"/>
      <c r="HJ55" s="447"/>
      <c r="HK55" s="447"/>
      <c r="HL55" s="447"/>
      <c r="HM55" s="447"/>
      <c r="HN55" s="447"/>
      <c r="HO55" s="447"/>
      <c r="HP55" s="447"/>
      <c r="HQ55" s="447"/>
      <c r="HR55" s="447"/>
      <c r="HS55" s="447"/>
      <c r="HT55" s="447"/>
      <c r="HU55" s="447"/>
      <c r="HV55" s="447"/>
      <c r="HW55" s="447"/>
      <c r="HX55" s="447"/>
      <c r="HY55" s="447"/>
      <c r="HZ55" s="447"/>
      <c r="IA55" s="447"/>
      <c r="IB55" s="447"/>
      <c r="IC55" s="447"/>
      <c r="ID55" s="447"/>
      <c r="IE55" s="447"/>
      <c r="IF55" s="447"/>
      <c r="IG55" s="447"/>
      <c r="IH55" s="447"/>
      <c r="II55" s="447"/>
      <c r="IJ55" s="447"/>
      <c r="IK55" s="447"/>
      <c r="IL55" s="447"/>
      <c r="IM55" s="447"/>
      <c r="IN55" s="447"/>
      <c r="IO55" s="447"/>
      <c r="IP55" s="447"/>
      <c r="IQ55" s="447"/>
      <c r="IR55" s="447"/>
    </row>
    <row r="56" spans="1:252" ht="19.899999999999999" customHeight="1">
      <c r="A56" s="561">
        <v>43</v>
      </c>
      <c r="B56" s="562" t="s">
        <v>1430</v>
      </c>
      <c r="C56" s="563" t="s">
        <v>116</v>
      </c>
      <c r="D56" s="564">
        <v>160</v>
      </c>
      <c r="E56" s="564">
        <v>160</v>
      </c>
      <c r="F56" s="569">
        <f t="shared" si="0"/>
        <v>0</v>
      </c>
      <c r="G56" s="446"/>
      <c r="H56" s="447"/>
      <c r="I56" s="447"/>
      <c r="J56" s="449"/>
      <c r="K56" s="447"/>
      <c r="L56" s="447"/>
      <c r="M56" s="447"/>
      <c r="N56" s="447"/>
      <c r="O56" s="447"/>
      <c r="P56" s="447"/>
      <c r="Q56" s="447"/>
      <c r="R56" s="447"/>
      <c r="S56" s="447"/>
      <c r="T56" s="447"/>
      <c r="U56" s="447"/>
      <c r="V56" s="447"/>
      <c r="W56" s="447"/>
      <c r="X56" s="447"/>
      <c r="Y56" s="447"/>
      <c r="Z56" s="447"/>
      <c r="AA56" s="447"/>
      <c r="AB56" s="447"/>
      <c r="AC56" s="447"/>
      <c r="AD56" s="447"/>
      <c r="AE56" s="447"/>
      <c r="AF56" s="447"/>
      <c r="AG56" s="447"/>
      <c r="AH56" s="447"/>
      <c r="AI56" s="447"/>
      <c r="AJ56" s="447"/>
      <c r="AK56" s="447"/>
      <c r="AL56" s="447"/>
      <c r="AM56" s="447"/>
      <c r="AN56" s="447"/>
      <c r="AO56" s="447"/>
      <c r="AP56" s="447"/>
      <c r="AQ56" s="447"/>
      <c r="AR56" s="447"/>
      <c r="AS56" s="447"/>
      <c r="AT56" s="447"/>
      <c r="AU56" s="447"/>
      <c r="AV56" s="447"/>
      <c r="AW56" s="447"/>
      <c r="AX56" s="447"/>
      <c r="AY56" s="447"/>
      <c r="AZ56" s="447"/>
      <c r="BA56" s="447"/>
      <c r="BB56" s="447"/>
      <c r="BC56" s="447"/>
      <c r="BD56" s="447"/>
      <c r="BE56" s="447"/>
      <c r="BF56" s="447"/>
      <c r="BG56" s="447"/>
      <c r="BH56" s="447"/>
      <c r="BI56" s="447"/>
      <c r="BJ56" s="447"/>
      <c r="BK56" s="447"/>
      <c r="BL56" s="447"/>
      <c r="BM56" s="447"/>
      <c r="BN56" s="447"/>
      <c r="BO56" s="447"/>
      <c r="BP56" s="447"/>
      <c r="BQ56" s="447"/>
      <c r="BR56" s="447"/>
      <c r="BS56" s="447"/>
      <c r="BT56" s="447"/>
      <c r="BU56" s="447"/>
      <c r="BV56" s="447"/>
      <c r="BW56" s="447"/>
      <c r="BX56" s="447"/>
      <c r="BY56" s="447"/>
      <c r="BZ56" s="447"/>
      <c r="CA56" s="447"/>
      <c r="CB56" s="447"/>
      <c r="CC56" s="447"/>
      <c r="CD56" s="447"/>
      <c r="CE56" s="447"/>
      <c r="CF56" s="447"/>
      <c r="CG56" s="447"/>
      <c r="CH56" s="447"/>
      <c r="CI56" s="447"/>
      <c r="CJ56" s="447"/>
      <c r="CK56" s="447"/>
      <c r="CL56" s="447"/>
      <c r="CM56" s="447"/>
      <c r="CN56" s="447"/>
      <c r="CO56" s="447"/>
      <c r="CP56" s="447"/>
      <c r="CQ56" s="447"/>
      <c r="CR56" s="447"/>
      <c r="CS56" s="447"/>
      <c r="CT56" s="447"/>
      <c r="CU56" s="447"/>
      <c r="CV56" s="447"/>
      <c r="CW56" s="447"/>
      <c r="CX56" s="447"/>
      <c r="CY56" s="447"/>
      <c r="CZ56" s="447"/>
      <c r="DA56" s="447"/>
      <c r="DB56" s="447"/>
      <c r="DC56" s="447"/>
      <c r="DD56" s="447"/>
      <c r="DE56" s="447"/>
      <c r="DF56" s="447"/>
      <c r="DG56" s="447"/>
      <c r="DH56" s="447"/>
      <c r="DI56" s="447"/>
      <c r="DJ56" s="447"/>
      <c r="DK56" s="447"/>
      <c r="DL56" s="447"/>
      <c r="DM56" s="447"/>
      <c r="DN56" s="447"/>
      <c r="DO56" s="447"/>
      <c r="DP56" s="447"/>
      <c r="DQ56" s="447"/>
      <c r="DR56" s="447"/>
      <c r="DS56" s="447"/>
      <c r="DT56" s="447"/>
      <c r="DU56" s="447"/>
      <c r="DV56" s="447"/>
      <c r="DW56" s="447"/>
      <c r="DX56" s="447"/>
      <c r="DY56" s="447"/>
      <c r="DZ56" s="447"/>
      <c r="EA56" s="447"/>
      <c r="EB56" s="447"/>
      <c r="EC56" s="447"/>
      <c r="ED56" s="447"/>
      <c r="EE56" s="447"/>
      <c r="EF56" s="447"/>
      <c r="EG56" s="447"/>
      <c r="EH56" s="447"/>
      <c r="EI56" s="447"/>
      <c r="EJ56" s="447"/>
      <c r="EK56" s="447"/>
      <c r="EL56" s="447"/>
      <c r="EM56" s="447"/>
      <c r="EN56" s="447"/>
      <c r="EO56" s="447"/>
      <c r="EP56" s="447"/>
      <c r="EQ56" s="447"/>
      <c r="ER56" s="447"/>
      <c r="ES56" s="447"/>
      <c r="ET56" s="447"/>
      <c r="EU56" s="447"/>
      <c r="EV56" s="447"/>
      <c r="EW56" s="447"/>
      <c r="EX56" s="447"/>
      <c r="EY56" s="447"/>
      <c r="EZ56" s="447"/>
      <c r="FA56" s="447"/>
      <c r="FB56" s="447"/>
      <c r="FC56" s="447"/>
      <c r="FD56" s="447"/>
      <c r="FE56" s="447"/>
      <c r="FF56" s="447"/>
      <c r="FG56" s="447"/>
      <c r="FH56" s="447"/>
      <c r="FI56" s="447"/>
      <c r="FJ56" s="447"/>
      <c r="FK56" s="447"/>
      <c r="FL56" s="447"/>
      <c r="FM56" s="447"/>
      <c r="FN56" s="447"/>
      <c r="FO56" s="447"/>
      <c r="FP56" s="447"/>
      <c r="FQ56" s="447"/>
      <c r="FR56" s="447"/>
      <c r="FS56" s="447"/>
      <c r="FT56" s="447"/>
      <c r="FU56" s="447"/>
      <c r="FV56" s="447"/>
      <c r="FW56" s="447"/>
      <c r="FX56" s="447"/>
      <c r="FY56" s="447"/>
      <c r="FZ56" s="447"/>
      <c r="GA56" s="447"/>
      <c r="GB56" s="447"/>
      <c r="GC56" s="447"/>
      <c r="GD56" s="447"/>
      <c r="GE56" s="447"/>
      <c r="GF56" s="447"/>
      <c r="GG56" s="447"/>
      <c r="GH56" s="447"/>
      <c r="GI56" s="447"/>
      <c r="GJ56" s="447"/>
      <c r="GK56" s="447"/>
      <c r="GL56" s="447"/>
      <c r="GM56" s="447"/>
      <c r="GN56" s="447"/>
      <c r="GO56" s="447"/>
      <c r="GP56" s="447"/>
      <c r="GQ56" s="447"/>
      <c r="GR56" s="447"/>
      <c r="GS56" s="447"/>
      <c r="GT56" s="447"/>
      <c r="GU56" s="447"/>
      <c r="GV56" s="447"/>
      <c r="GW56" s="447"/>
      <c r="GX56" s="447"/>
      <c r="GY56" s="447"/>
      <c r="GZ56" s="447"/>
      <c r="HA56" s="447"/>
      <c r="HB56" s="447"/>
      <c r="HC56" s="447"/>
      <c r="HD56" s="447"/>
      <c r="HE56" s="447"/>
      <c r="HF56" s="447"/>
      <c r="HG56" s="447"/>
      <c r="HH56" s="447"/>
      <c r="HI56" s="447"/>
      <c r="HJ56" s="447"/>
      <c r="HK56" s="447"/>
      <c r="HL56" s="447"/>
      <c r="HM56" s="447"/>
      <c r="HN56" s="447"/>
      <c r="HO56" s="447"/>
      <c r="HP56" s="447"/>
      <c r="HQ56" s="447"/>
      <c r="HR56" s="447"/>
      <c r="HS56" s="447"/>
      <c r="HT56" s="447"/>
      <c r="HU56" s="447"/>
      <c r="HV56" s="447"/>
      <c r="HW56" s="447"/>
      <c r="HX56" s="447"/>
      <c r="HY56" s="447"/>
      <c r="HZ56" s="447"/>
      <c r="IA56" s="447"/>
      <c r="IB56" s="447"/>
      <c r="IC56" s="447"/>
      <c r="ID56" s="447"/>
      <c r="IE56" s="447"/>
      <c r="IF56" s="447"/>
      <c r="IG56" s="447"/>
      <c r="IH56" s="447"/>
      <c r="II56" s="447"/>
      <c r="IJ56" s="447"/>
      <c r="IK56" s="447"/>
      <c r="IL56" s="447"/>
      <c r="IM56" s="447"/>
      <c r="IN56" s="447"/>
      <c r="IO56" s="447"/>
      <c r="IP56" s="447"/>
      <c r="IQ56" s="447"/>
      <c r="IR56" s="447"/>
    </row>
    <row r="57" spans="1:252" ht="19.899999999999999" customHeight="1">
      <c r="A57" s="561">
        <v>44</v>
      </c>
      <c r="B57" s="562" t="s">
        <v>1431</v>
      </c>
      <c r="C57" s="563" t="s">
        <v>427</v>
      </c>
      <c r="D57" s="564">
        <v>8</v>
      </c>
      <c r="E57" s="564">
        <v>8</v>
      </c>
      <c r="F57" s="569">
        <f t="shared" si="0"/>
        <v>0</v>
      </c>
      <c r="G57" s="446"/>
      <c r="H57" s="447"/>
      <c r="I57" s="447"/>
      <c r="J57" s="449"/>
      <c r="K57" s="447"/>
      <c r="L57" s="447"/>
      <c r="M57" s="447"/>
      <c r="N57" s="447"/>
      <c r="O57" s="447"/>
      <c r="P57" s="447"/>
      <c r="Q57" s="447"/>
      <c r="R57" s="447"/>
      <c r="S57" s="447"/>
      <c r="T57" s="447"/>
      <c r="U57" s="447"/>
      <c r="V57" s="447"/>
      <c r="W57" s="447"/>
      <c r="X57" s="447"/>
      <c r="Y57" s="447"/>
      <c r="Z57" s="447"/>
      <c r="AA57" s="447"/>
      <c r="AB57" s="447"/>
      <c r="AC57" s="447"/>
      <c r="AD57" s="447"/>
      <c r="AE57" s="447"/>
      <c r="AF57" s="447"/>
      <c r="AG57" s="447"/>
      <c r="AH57" s="447"/>
      <c r="AI57" s="447"/>
      <c r="AJ57" s="447"/>
      <c r="AK57" s="447"/>
      <c r="AL57" s="447"/>
      <c r="AM57" s="447"/>
      <c r="AN57" s="447"/>
      <c r="AO57" s="447"/>
      <c r="AP57" s="447"/>
      <c r="AQ57" s="447"/>
      <c r="AR57" s="447"/>
      <c r="AS57" s="447"/>
      <c r="AT57" s="447"/>
      <c r="AU57" s="447"/>
      <c r="AV57" s="447"/>
      <c r="AW57" s="447"/>
      <c r="AX57" s="447"/>
      <c r="AY57" s="447"/>
      <c r="AZ57" s="447"/>
      <c r="BA57" s="447"/>
      <c r="BB57" s="447"/>
      <c r="BC57" s="447"/>
      <c r="BD57" s="447"/>
      <c r="BE57" s="447"/>
      <c r="BF57" s="447"/>
      <c r="BG57" s="447"/>
      <c r="BH57" s="447"/>
      <c r="BI57" s="447"/>
      <c r="BJ57" s="447"/>
      <c r="BK57" s="447"/>
      <c r="BL57" s="447"/>
      <c r="BM57" s="447"/>
      <c r="BN57" s="447"/>
      <c r="BO57" s="447"/>
      <c r="BP57" s="447"/>
      <c r="BQ57" s="447"/>
      <c r="BR57" s="447"/>
      <c r="BS57" s="447"/>
      <c r="BT57" s="447"/>
      <c r="BU57" s="447"/>
      <c r="BV57" s="447"/>
      <c r="BW57" s="447"/>
      <c r="BX57" s="447"/>
      <c r="BY57" s="447"/>
      <c r="BZ57" s="447"/>
      <c r="CA57" s="447"/>
      <c r="CB57" s="447"/>
      <c r="CC57" s="447"/>
      <c r="CD57" s="447"/>
      <c r="CE57" s="447"/>
      <c r="CF57" s="447"/>
      <c r="CG57" s="447"/>
      <c r="CH57" s="447"/>
      <c r="CI57" s="447"/>
      <c r="CJ57" s="447"/>
      <c r="CK57" s="447"/>
      <c r="CL57" s="447"/>
      <c r="CM57" s="447"/>
      <c r="CN57" s="447"/>
      <c r="CO57" s="447"/>
      <c r="CP57" s="447"/>
      <c r="CQ57" s="447"/>
      <c r="CR57" s="447"/>
      <c r="CS57" s="447"/>
      <c r="CT57" s="447"/>
      <c r="CU57" s="447"/>
      <c r="CV57" s="447"/>
      <c r="CW57" s="447"/>
      <c r="CX57" s="447"/>
      <c r="CY57" s="447"/>
      <c r="CZ57" s="447"/>
      <c r="DA57" s="447"/>
      <c r="DB57" s="447"/>
      <c r="DC57" s="447"/>
      <c r="DD57" s="447"/>
      <c r="DE57" s="447"/>
      <c r="DF57" s="447"/>
      <c r="DG57" s="447"/>
      <c r="DH57" s="447"/>
      <c r="DI57" s="447"/>
      <c r="DJ57" s="447"/>
      <c r="DK57" s="447"/>
      <c r="DL57" s="447"/>
      <c r="DM57" s="447"/>
      <c r="DN57" s="447"/>
      <c r="DO57" s="447"/>
      <c r="DP57" s="447"/>
      <c r="DQ57" s="447"/>
      <c r="DR57" s="447"/>
      <c r="DS57" s="447"/>
      <c r="DT57" s="447"/>
      <c r="DU57" s="447"/>
      <c r="DV57" s="447"/>
      <c r="DW57" s="447"/>
      <c r="DX57" s="447"/>
      <c r="DY57" s="447"/>
      <c r="DZ57" s="447"/>
      <c r="EA57" s="447"/>
      <c r="EB57" s="447"/>
      <c r="EC57" s="447"/>
      <c r="ED57" s="447"/>
      <c r="EE57" s="447"/>
      <c r="EF57" s="447"/>
      <c r="EG57" s="447"/>
      <c r="EH57" s="447"/>
      <c r="EI57" s="447"/>
      <c r="EJ57" s="447"/>
      <c r="EK57" s="447"/>
      <c r="EL57" s="447"/>
      <c r="EM57" s="447"/>
      <c r="EN57" s="447"/>
      <c r="EO57" s="447"/>
      <c r="EP57" s="447"/>
      <c r="EQ57" s="447"/>
      <c r="ER57" s="447"/>
      <c r="ES57" s="447"/>
      <c r="ET57" s="447"/>
      <c r="EU57" s="447"/>
      <c r="EV57" s="447"/>
      <c r="EW57" s="447"/>
      <c r="EX57" s="447"/>
      <c r="EY57" s="447"/>
      <c r="EZ57" s="447"/>
      <c r="FA57" s="447"/>
      <c r="FB57" s="447"/>
      <c r="FC57" s="447"/>
      <c r="FD57" s="447"/>
      <c r="FE57" s="447"/>
      <c r="FF57" s="447"/>
      <c r="FG57" s="447"/>
      <c r="FH57" s="447"/>
      <c r="FI57" s="447"/>
      <c r="FJ57" s="447"/>
      <c r="FK57" s="447"/>
      <c r="FL57" s="447"/>
      <c r="FM57" s="447"/>
      <c r="FN57" s="447"/>
      <c r="FO57" s="447"/>
      <c r="FP57" s="447"/>
      <c r="FQ57" s="447"/>
      <c r="FR57" s="447"/>
      <c r="FS57" s="447"/>
      <c r="FT57" s="447"/>
      <c r="FU57" s="447"/>
      <c r="FV57" s="447"/>
      <c r="FW57" s="447"/>
      <c r="FX57" s="447"/>
      <c r="FY57" s="447"/>
      <c r="FZ57" s="447"/>
      <c r="GA57" s="447"/>
      <c r="GB57" s="447"/>
      <c r="GC57" s="447"/>
      <c r="GD57" s="447"/>
      <c r="GE57" s="447"/>
      <c r="GF57" s="447"/>
      <c r="GG57" s="447"/>
      <c r="GH57" s="447"/>
      <c r="GI57" s="447"/>
      <c r="GJ57" s="447"/>
      <c r="GK57" s="447"/>
      <c r="GL57" s="447"/>
      <c r="GM57" s="447"/>
      <c r="GN57" s="447"/>
      <c r="GO57" s="447"/>
      <c r="GP57" s="447"/>
      <c r="GQ57" s="447"/>
      <c r="GR57" s="447"/>
      <c r="GS57" s="447"/>
      <c r="GT57" s="447"/>
      <c r="GU57" s="447"/>
      <c r="GV57" s="447"/>
      <c r="GW57" s="447"/>
      <c r="GX57" s="447"/>
      <c r="GY57" s="447"/>
      <c r="GZ57" s="447"/>
      <c r="HA57" s="447"/>
      <c r="HB57" s="447"/>
      <c r="HC57" s="447"/>
      <c r="HD57" s="447"/>
      <c r="HE57" s="447"/>
      <c r="HF57" s="447"/>
      <c r="HG57" s="447"/>
      <c r="HH57" s="447"/>
      <c r="HI57" s="447"/>
      <c r="HJ57" s="447"/>
      <c r="HK57" s="447"/>
      <c r="HL57" s="447"/>
      <c r="HM57" s="447"/>
      <c r="HN57" s="447"/>
      <c r="HO57" s="447"/>
      <c r="HP57" s="447"/>
      <c r="HQ57" s="447"/>
      <c r="HR57" s="447"/>
      <c r="HS57" s="447"/>
      <c r="HT57" s="447"/>
      <c r="HU57" s="447"/>
      <c r="HV57" s="447"/>
      <c r="HW57" s="447"/>
      <c r="HX57" s="447"/>
      <c r="HY57" s="447"/>
      <c r="HZ57" s="447"/>
      <c r="IA57" s="447"/>
      <c r="IB57" s="447"/>
      <c r="IC57" s="447"/>
      <c r="ID57" s="447"/>
      <c r="IE57" s="447"/>
      <c r="IF57" s="447"/>
      <c r="IG57" s="447"/>
      <c r="IH57" s="447"/>
      <c r="II57" s="447"/>
      <c r="IJ57" s="447"/>
      <c r="IK57" s="447"/>
      <c r="IL57" s="447"/>
      <c r="IM57" s="447"/>
      <c r="IN57" s="447"/>
      <c r="IO57" s="447"/>
      <c r="IP57" s="447"/>
      <c r="IQ57" s="447"/>
      <c r="IR57" s="447"/>
    </row>
    <row r="58" spans="1:252" ht="19.899999999999999" customHeight="1">
      <c r="A58" s="561">
        <v>45</v>
      </c>
      <c r="B58" s="562" t="s">
        <v>1432</v>
      </c>
      <c r="C58" s="563" t="s">
        <v>427</v>
      </c>
      <c r="D58" s="564">
        <v>8</v>
      </c>
      <c r="E58" s="564">
        <v>8</v>
      </c>
      <c r="F58" s="569">
        <f t="shared" si="0"/>
        <v>0</v>
      </c>
      <c r="G58" s="446"/>
      <c r="H58" s="447"/>
      <c r="I58" s="447"/>
      <c r="J58" s="449"/>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447"/>
      <c r="AH58" s="447"/>
      <c r="AI58" s="447"/>
      <c r="AJ58" s="447"/>
      <c r="AK58" s="447"/>
      <c r="AL58" s="447"/>
      <c r="AM58" s="447"/>
      <c r="AN58" s="447"/>
      <c r="AO58" s="447"/>
      <c r="AP58" s="447"/>
      <c r="AQ58" s="447"/>
      <c r="AR58" s="447"/>
      <c r="AS58" s="447"/>
      <c r="AT58" s="447"/>
      <c r="AU58" s="447"/>
      <c r="AV58" s="447"/>
      <c r="AW58" s="447"/>
      <c r="AX58" s="447"/>
      <c r="AY58" s="447"/>
      <c r="AZ58" s="447"/>
      <c r="BA58" s="447"/>
      <c r="BB58" s="447"/>
      <c r="BC58" s="447"/>
      <c r="BD58" s="447"/>
      <c r="BE58" s="447"/>
      <c r="BF58" s="447"/>
      <c r="BG58" s="447"/>
      <c r="BH58" s="447"/>
      <c r="BI58" s="447"/>
      <c r="BJ58" s="447"/>
      <c r="BK58" s="447"/>
      <c r="BL58" s="447"/>
      <c r="BM58" s="447"/>
      <c r="BN58" s="447"/>
      <c r="BO58" s="447"/>
      <c r="BP58" s="447"/>
      <c r="BQ58" s="447"/>
      <c r="BR58" s="447"/>
      <c r="BS58" s="447"/>
      <c r="BT58" s="447"/>
      <c r="BU58" s="447"/>
      <c r="BV58" s="447"/>
      <c r="BW58" s="447"/>
      <c r="BX58" s="447"/>
      <c r="BY58" s="447"/>
      <c r="BZ58" s="447"/>
      <c r="CA58" s="447"/>
      <c r="CB58" s="447"/>
      <c r="CC58" s="447"/>
      <c r="CD58" s="447"/>
      <c r="CE58" s="447"/>
      <c r="CF58" s="447"/>
      <c r="CG58" s="447"/>
      <c r="CH58" s="447"/>
      <c r="CI58" s="447"/>
      <c r="CJ58" s="447"/>
      <c r="CK58" s="447"/>
      <c r="CL58" s="447"/>
      <c r="CM58" s="447"/>
      <c r="CN58" s="447"/>
      <c r="CO58" s="447"/>
      <c r="CP58" s="447"/>
      <c r="CQ58" s="447"/>
      <c r="CR58" s="447"/>
      <c r="CS58" s="447"/>
      <c r="CT58" s="447"/>
      <c r="CU58" s="447"/>
      <c r="CV58" s="447"/>
      <c r="CW58" s="447"/>
      <c r="CX58" s="447"/>
      <c r="CY58" s="447"/>
      <c r="CZ58" s="447"/>
      <c r="DA58" s="447"/>
      <c r="DB58" s="447"/>
      <c r="DC58" s="447"/>
      <c r="DD58" s="447"/>
      <c r="DE58" s="447"/>
      <c r="DF58" s="447"/>
      <c r="DG58" s="447"/>
      <c r="DH58" s="447"/>
      <c r="DI58" s="447"/>
      <c r="DJ58" s="447"/>
      <c r="DK58" s="447"/>
      <c r="DL58" s="447"/>
      <c r="DM58" s="447"/>
      <c r="DN58" s="447"/>
      <c r="DO58" s="447"/>
      <c r="DP58" s="447"/>
      <c r="DQ58" s="447"/>
      <c r="DR58" s="447"/>
      <c r="DS58" s="447"/>
      <c r="DT58" s="447"/>
      <c r="DU58" s="447"/>
      <c r="DV58" s="447"/>
      <c r="DW58" s="447"/>
      <c r="DX58" s="447"/>
      <c r="DY58" s="447"/>
      <c r="DZ58" s="447"/>
      <c r="EA58" s="447"/>
      <c r="EB58" s="447"/>
      <c r="EC58" s="447"/>
      <c r="ED58" s="447"/>
      <c r="EE58" s="447"/>
      <c r="EF58" s="447"/>
      <c r="EG58" s="447"/>
      <c r="EH58" s="447"/>
      <c r="EI58" s="447"/>
      <c r="EJ58" s="447"/>
      <c r="EK58" s="447"/>
      <c r="EL58" s="447"/>
      <c r="EM58" s="447"/>
      <c r="EN58" s="447"/>
      <c r="EO58" s="447"/>
      <c r="EP58" s="447"/>
      <c r="EQ58" s="447"/>
      <c r="ER58" s="447"/>
      <c r="ES58" s="447"/>
      <c r="ET58" s="447"/>
      <c r="EU58" s="447"/>
      <c r="EV58" s="447"/>
      <c r="EW58" s="447"/>
      <c r="EX58" s="447"/>
      <c r="EY58" s="447"/>
      <c r="EZ58" s="447"/>
      <c r="FA58" s="447"/>
      <c r="FB58" s="447"/>
      <c r="FC58" s="447"/>
      <c r="FD58" s="447"/>
      <c r="FE58" s="447"/>
      <c r="FF58" s="447"/>
      <c r="FG58" s="447"/>
      <c r="FH58" s="447"/>
      <c r="FI58" s="447"/>
      <c r="FJ58" s="447"/>
      <c r="FK58" s="447"/>
      <c r="FL58" s="447"/>
      <c r="FM58" s="447"/>
      <c r="FN58" s="447"/>
      <c r="FO58" s="447"/>
      <c r="FP58" s="447"/>
      <c r="FQ58" s="447"/>
      <c r="FR58" s="447"/>
      <c r="FS58" s="447"/>
      <c r="FT58" s="447"/>
      <c r="FU58" s="447"/>
      <c r="FV58" s="447"/>
      <c r="FW58" s="447"/>
      <c r="FX58" s="447"/>
      <c r="FY58" s="447"/>
      <c r="FZ58" s="447"/>
      <c r="GA58" s="447"/>
      <c r="GB58" s="447"/>
      <c r="GC58" s="447"/>
      <c r="GD58" s="447"/>
      <c r="GE58" s="447"/>
      <c r="GF58" s="447"/>
      <c r="GG58" s="447"/>
      <c r="GH58" s="447"/>
      <c r="GI58" s="447"/>
      <c r="GJ58" s="447"/>
      <c r="GK58" s="447"/>
      <c r="GL58" s="447"/>
      <c r="GM58" s="447"/>
      <c r="GN58" s="447"/>
      <c r="GO58" s="447"/>
      <c r="GP58" s="447"/>
      <c r="GQ58" s="447"/>
      <c r="GR58" s="447"/>
      <c r="GS58" s="447"/>
      <c r="GT58" s="447"/>
      <c r="GU58" s="447"/>
      <c r="GV58" s="447"/>
      <c r="GW58" s="447"/>
      <c r="GX58" s="447"/>
      <c r="GY58" s="447"/>
      <c r="GZ58" s="447"/>
      <c r="HA58" s="447"/>
      <c r="HB58" s="447"/>
      <c r="HC58" s="447"/>
      <c r="HD58" s="447"/>
      <c r="HE58" s="447"/>
      <c r="HF58" s="447"/>
      <c r="HG58" s="447"/>
      <c r="HH58" s="447"/>
      <c r="HI58" s="447"/>
      <c r="HJ58" s="447"/>
      <c r="HK58" s="447"/>
      <c r="HL58" s="447"/>
      <c r="HM58" s="447"/>
      <c r="HN58" s="447"/>
      <c r="HO58" s="447"/>
      <c r="HP58" s="447"/>
      <c r="HQ58" s="447"/>
      <c r="HR58" s="447"/>
      <c r="HS58" s="447"/>
      <c r="HT58" s="447"/>
      <c r="HU58" s="447"/>
      <c r="HV58" s="447"/>
      <c r="HW58" s="447"/>
      <c r="HX58" s="447"/>
      <c r="HY58" s="447"/>
      <c r="HZ58" s="447"/>
      <c r="IA58" s="447"/>
      <c r="IB58" s="447"/>
      <c r="IC58" s="447"/>
      <c r="ID58" s="447"/>
      <c r="IE58" s="447"/>
      <c r="IF58" s="447"/>
      <c r="IG58" s="447"/>
      <c r="IH58" s="447"/>
      <c r="II58" s="447"/>
      <c r="IJ58" s="447"/>
      <c r="IK58" s="447"/>
      <c r="IL58" s="447"/>
      <c r="IM58" s="447"/>
      <c r="IN58" s="447"/>
      <c r="IO58" s="447"/>
      <c r="IP58" s="447"/>
      <c r="IQ58" s="447"/>
      <c r="IR58" s="447"/>
    </row>
    <row r="59" spans="1:252" ht="19.899999999999999" customHeight="1">
      <c r="A59" s="561">
        <v>46</v>
      </c>
      <c r="B59" s="562" t="s">
        <v>1447</v>
      </c>
      <c r="C59" s="563" t="s">
        <v>427</v>
      </c>
      <c r="D59" s="564">
        <v>8</v>
      </c>
      <c r="E59" s="571">
        <v>8</v>
      </c>
      <c r="F59" s="569">
        <f t="shared" si="0"/>
        <v>0</v>
      </c>
      <c r="G59" s="446"/>
      <c r="H59" s="447"/>
      <c r="I59" s="447"/>
      <c r="J59" s="449"/>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c r="AK59" s="447"/>
      <c r="AL59" s="447"/>
      <c r="AM59" s="447"/>
      <c r="AN59" s="447"/>
      <c r="AO59" s="447"/>
      <c r="AP59" s="447"/>
      <c r="AQ59" s="447"/>
      <c r="AR59" s="447"/>
      <c r="AS59" s="447"/>
      <c r="AT59" s="447"/>
      <c r="AU59" s="447"/>
      <c r="AV59" s="447"/>
      <c r="AW59" s="447"/>
      <c r="AX59" s="447"/>
      <c r="AY59" s="447"/>
      <c r="AZ59" s="447"/>
      <c r="BA59" s="447"/>
      <c r="BB59" s="447"/>
      <c r="BC59" s="447"/>
      <c r="BD59" s="447"/>
      <c r="BE59" s="447"/>
      <c r="BF59" s="447"/>
      <c r="BG59" s="447"/>
      <c r="BH59" s="447"/>
      <c r="BI59" s="447"/>
      <c r="BJ59" s="447"/>
      <c r="BK59" s="447"/>
      <c r="BL59" s="447"/>
      <c r="BM59" s="447"/>
      <c r="BN59" s="447"/>
      <c r="BO59" s="447"/>
      <c r="BP59" s="447"/>
      <c r="BQ59" s="447"/>
      <c r="BR59" s="447"/>
      <c r="BS59" s="447"/>
      <c r="BT59" s="447"/>
      <c r="BU59" s="447"/>
      <c r="BV59" s="447"/>
      <c r="BW59" s="447"/>
      <c r="BX59" s="447"/>
      <c r="BY59" s="447"/>
      <c r="BZ59" s="447"/>
      <c r="CA59" s="447"/>
      <c r="CB59" s="447"/>
      <c r="CC59" s="447"/>
      <c r="CD59" s="447"/>
      <c r="CE59" s="447"/>
      <c r="CF59" s="447"/>
      <c r="CG59" s="447"/>
      <c r="CH59" s="447"/>
      <c r="CI59" s="447"/>
      <c r="CJ59" s="447"/>
      <c r="CK59" s="447"/>
      <c r="CL59" s="447"/>
      <c r="CM59" s="447"/>
      <c r="CN59" s="447"/>
      <c r="CO59" s="447"/>
      <c r="CP59" s="447"/>
      <c r="CQ59" s="447"/>
      <c r="CR59" s="447"/>
      <c r="CS59" s="447"/>
      <c r="CT59" s="447"/>
      <c r="CU59" s="447"/>
      <c r="CV59" s="447"/>
      <c r="CW59" s="447"/>
      <c r="CX59" s="447"/>
      <c r="CY59" s="447"/>
      <c r="CZ59" s="447"/>
      <c r="DA59" s="447"/>
      <c r="DB59" s="447"/>
      <c r="DC59" s="447"/>
      <c r="DD59" s="447"/>
      <c r="DE59" s="447"/>
      <c r="DF59" s="447"/>
      <c r="DG59" s="447"/>
      <c r="DH59" s="447"/>
      <c r="DI59" s="447"/>
      <c r="DJ59" s="447"/>
      <c r="DK59" s="447"/>
      <c r="DL59" s="447"/>
      <c r="DM59" s="447"/>
      <c r="DN59" s="447"/>
      <c r="DO59" s="447"/>
      <c r="DP59" s="447"/>
      <c r="DQ59" s="447"/>
      <c r="DR59" s="447"/>
      <c r="DS59" s="447"/>
      <c r="DT59" s="447"/>
      <c r="DU59" s="447"/>
      <c r="DV59" s="447"/>
      <c r="DW59" s="447"/>
      <c r="DX59" s="447"/>
      <c r="DY59" s="447"/>
      <c r="DZ59" s="447"/>
      <c r="EA59" s="447"/>
      <c r="EB59" s="447"/>
      <c r="EC59" s="447"/>
      <c r="ED59" s="447"/>
      <c r="EE59" s="447"/>
      <c r="EF59" s="447"/>
      <c r="EG59" s="447"/>
      <c r="EH59" s="447"/>
      <c r="EI59" s="447"/>
      <c r="EJ59" s="447"/>
      <c r="EK59" s="447"/>
      <c r="EL59" s="447"/>
      <c r="EM59" s="447"/>
      <c r="EN59" s="447"/>
      <c r="EO59" s="447"/>
      <c r="EP59" s="447"/>
      <c r="EQ59" s="447"/>
      <c r="ER59" s="447"/>
      <c r="ES59" s="447"/>
      <c r="ET59" s="447"/>
      <c r="EU59" s="447"/>
      <c r="EV59" s="447"/>
      <c r="EW59" s="447"/>
      <c r="EX59" s="447"/>
      <c r="EY59" s="447"/>
      <c r="EZ59" s="447"/>
      <c r="FA59" s="447"/>
      <c r="FB59" s="447"/>
      <c r="FC59" s="447"/>
      <c r="FD59" s="447"/>
      <c r="FE59" s="447"/>
      <c r="FF59" s="447"/>
      <c r="FG59" s="447"/>
      <c r="FH59" s="447"/>
      <c r="FI59" s="447"/>
      <c r="FJ59" s="447"/>
      <c r="FK59" s="447"/>
      <c r="FL59" s="447"/>
      <c r="FM59" s="447"/>
      <c r="FN59" s="447"/>
      <c r="FO59" s="447"/>
      <c r="FP59" s="447"/>
      <c r="FQ59" s="447"/>
      <c r="FR59" s="447"/>
      <c r="FS59" s="447"/>
      <c r="FT59" s="447"/>
      <c r="FU59" s="447"/>
      <c r="FV59" s="447"/>
      <c r="FW59" s="447"/>
      <c r="FX59" s="447"/>
      <c r="FY59" s="447"/>
      <c r="FZ59" s="447"/>
      <c r="GA59" s="447"/>
      <c r="GB59" s="447"/>
      <c r="GC59" s="447"/>
      <c r="GD59" s="447"/>
      <c r="GE59" s="447"/>
      <c r="GF59" s="447"/>
      <c r="GG59" s="447"/>
      <c r="GH59" s="447"/>
      <c r="GI59" s="447"/>
      <c r="GJ59" s="447"/>
      <c r="GK59" s="447"/>
      <c r="GL59" s="447"/>
      <c r="GM59" s="447"/>
      <c r="GN59" s="447"/>
      <c r="GO59" s="447"/>
      <c r="GP59" s="447"/>
      <c r="GQ59" s="447"/>
      <c r="GR59" s="447"/>
      <c r="GS59" s="447"/>
      <c r="GT59" s="447"/>
      <c r="GU59" s="447"/>
      <c r="GV59" s="447"/>
      <c r="GW59" s="447"/>
      <c r="GX59" s="447"/>
      <c r="GY59" s="447"/>
      <c r="GZ59" s="447"/>
      <c r="HA59" s="447"/>
      <c r="HB59" s="447"/>
      <c r="HC59" s="447"/>
      <c r="HD59" s="447"/>
      <c r="HE59" s="447"/>
      <c r="HF59" s="447"/>
      <c r="HG59" s="447"/>
      <c r="HH59" s="447"/>
      <c r="HI59" s="447"/>
      <c r="HJ59" s="447"/>
      <c r="HK59" s="447"/>
      <c r="HL59" s="447"/>
      <c r="HM59" s="447"/>
      <c r="HN59" s="447"/>
      <c r="HO59" s="447"/>
      <c r="HP59" s="447"/>
      <c r="HQ59" s="447"/>
      <c r="HR59" s="447"/>
      <c r="HS59" s="447"/>
      <c r="HT59" s="447"/>
      <c r="HU59" s="447"/>
      <c r="HV59" s="447"/>
      <c r="HW59" s="447"/>
      <c r="HX59" s="447"/>
      <c r="HY59" s="447"/>
      <c r="HZ59" s="447"/>
      <c r="IA59" s="447"/>
      <c r="IB59" s="447"/>
      <c r="IC59" s="447"/>
      <c r="ID59" s="447"/>
      <c r="IE59" s="447"/>
      <c r="IF59" s="447"/>
      <c r="IG59" s="447"/>
      <c r="IH59" s="447"/>
      <c r="II59" s="447"/>
      <c r="IJ59" s="447"/>
      <c r="IK59" s="447"/>
      <c r="IL59" s="447"/>
      <c r="IM59" s="447"/>
      <c r="IN59" s="447"/>
      <c r="IO59" s="447"/>
      <c r="IP59" s="447"/>
      <c r="IQ59" s="447"/>
      <c r="IR59" s="447"/>
    </row>
    <row r="60" spans="1:252" ht="19.899999999999999" customHeight="1">
      <c r="A60" s="561">
        <v>47</v>
      </c>
      <c r="B60" s="562" t="s">
        <v>1434</v>
      </c>
      <c r="C60" s="563" t="s">
        <v>116</v>
      </c>
      <c r="D60" s="564">
        <v>64</v>
      </c>
      <c r="E60" s="571">
        <v>64</v>
      </c>
      <c r="F60" s="569">
        <f t="shared" si="0"/>
        <v>0</v>
      </c>
      <c r="G60" s="446"/>
      <c r="H60" s="447"/>
      <c r="I60" s="447"/>
      <c r="J60" s="449"/>
      <c r="K60" s="447"/>
      <c r="L60" s="447"/>
      <c r="M60" s="447"/>
      <c r="N60" s="447"/>
      <c r="O60" s="447"/>
      <c r="P60" s="447"/>
      <c r="Q60" s="447"/>
      <c r="R60" s="447"/>
      <c r="S60" s="447"/>
      <c r="T60" s="447"/>
      <c r="U60" s="447"/>
      <c r="V60" s="447"/>
      <c r="W60" s="447"/>
      <c r="X60" s="447"/>
      <c r="Y60" s="447"/>
      <c r="Z60" s="447"/>
      <c r="AA60" s="447"/>
      <c r="AB60" s="447"/>
      <c r="AC60" s="447"/>
      <c r="AD60" s="447"/>
      <c r="AE60" s="447"/>
      <c r="AF60" s="447"/>
      <c r="AG60" s="447"/>
      <c r="AH60" s="447"/>
      <c r="AI60" s="447"/>
      <c r="AJ60" s="447"/>
      <c r="AK60" s="447"/>
      <c r="AL60" s="447"/>
      <c r="AM60" s="447"/>
      <c r="AN60" s="447"/>
      <c r="AO60" s="447"/>
      <c r="AP60" s="447"/>
      <c r="AQ60" s="447"/>
      <c r="AR60" s="447"/>
      <c r="AS60" s="447"/>
      <c r="AT60" s="447"/>
      <c r="AU60" s="447"/>
      <c r="AV60" s="447"/>
      <c r="AW60" s="447"/>
      <c r="AX60" s="447"/>
      <c r="AY60" s="447"/>
      <c r="AZ60" s="447"/>
      <c r="BA60" s="447"/>
      <c r="BB60" s="447"/>
      <c r="BC60" s="447"/>
      <c r="BD60" s="447"/>
      <c r="BE60" s="447"/>
      <c r="BF60" s="447"/>
      <c r="BG60" s="447"/>
      <c r="BH60" s="447"/>
      <c r="BI60" s="447"/>
      <c r="BJ60" s="447"/>
      <c r="BK60" s="447"/>
      <c r="BL60" s="447"/>
      <c r="BM60" s="447"/>
      <c r="BN60" s="447"/>
      <c r="BO60" s="447"/>
      <c r="BP60" s="447"/>
      <c r="BQ60" s="447"/>
      <c r="BR60" s="447"/>
      <c r="BS60" s="447"/>
      <c r="BT60" s="447"/>
      <c r="BU60" s="447"/>
      <c r="BV60" s="447"/>
      <c r="BW60" s="447"/>
      <c r="BX60" s="447"/>
      <c r="BY60" s="447"/>
      <c r="BZ60" s="447"/>
      <c r="CA60" s="447"/>
      <c r="CB60" s="447"/>
      <c r="CC60" s="447"/>
      <c r="CD60" s="447"/>
      <c r="CE60" s="447"/>
      <c r="CF60" s="447"/>
      <c r="CG60" s="447"/>
      <c r="CH60" s="447"/>
      <c r="CI60" s="447"/>
      <c r="CJ60" s="447"/>
      <c r="CK60" s="447"/>
      <c r="CL60" s="447"/>
      <c r="CM60" s="447"/>
      <c r="CN60" s="447"/>
      <c r="CO60" s="447"/>
      <c r="CP60" s="447"/>
      <c r="CQ60" s="447"/>
      <c r="CR60" s="447"/>
      <c r="CS60" s="447"/>
      <c r="CT60" s="447"/>
      <c r="CU60" s="447"/>
      <c r="CV60" s="447"/>
      <c r="CW60" s="447"/>
      <c r="CX60" s="447"/>
      <c r="CY60" s="447"/>
      <c r="CZ60" s="447"/>
      <c r="DA60" s="447"/>
      <c r="DB60" s="447"/>
      <c r="DC60" s="447"/>
      <c r="DD60" s="447"/>
      <c r="DE60" s="447"/>
      <c r="DF60" s="447"/>
      <c r="DG60" s="447"/>
      <c r="DH60" s="447"/>
      <c r="DI60" s="447"/>
      <c r="DJ60" s="447"/>
      <c r="DK60" s="447"/>
      <c r="DL60" s="447"/>
      <c r="DM60" s="447"/>
      <c r="DN60" s="447"/>
      <c r="DO60" s="447"/>
      <c r="DP60" s="447"/>
      <c r="DQ60" s="447"/>
      <c r="DR60" s="447"/>
      <c r="DS60" s="447"/>
      <c r="DT60" s="447"/>
      <c r="DU60" s="447"/>
      <c r="DV60" s="447"/>
      <c r="DW60" s="447"/>
      <c r="DX60" s="447"/>
      <c r="DY60" s="447"/>
      <c r="DZ60" s="447"/>
      <c r="EA60" s="447"/>
      <c r="EB60" s="447"/>
      <c r="EC60" s="447"/>
      <c r="ED60" s="447"/>
      <c r="EE60" s="447"/>
      <c r="EF60" s="447"/>
      <c r="EG60" s="447"/>
      <c r="EH60" s="447"/>
      <c r="EI60" s="447"/>
      <c r="EJ60" s="447"/>
      <c r="EK60" s="447"/>
      <c r="EL60" s="447"/>
      <c r="EM60" s="447"/>
      <c r="EN60" s="447"/>
      <c r="EO60" s="447"/>
      <c r="EP60" s="447"/>
      <c r="EQ60" s="447"/>
      <c r="ER60" s="447"/>
      <c r="ES60" s="447"/>
      <c r="ET60" s="447"/>
      <c r="EU60" s="447"/>
      <c r="EV60" s="447"/>
      <c r="EW60" s="447"/>
      <c r="EX60" s="447"/>
      <c r="EY60" s="447"/>
      <c r="EZ60" s="447"/>
      <c r="FA60" s="447"/>
      <c r="FB60" s="447"/>
      <c r="FC60" s="447"/>
      <c r="FD60" s="447"/>
      <c r="FE60" s="447"/>
      <c r="FF60" s="447"/>
      <c r="FG60" s="447"/>
      <c r="FH60" s="447"/>
      <c r="FI60" s="447"/>
      <c r="FJ60" s="447"/>
      <c r="FK60" s="447"/>
      <c r="FL60" s="447"/>
      <c r="FM60" s="447"/>
      <c r="FN60" s="447"/>
      <c r="FO60" s="447"/>
      <c r="FP60" s="447"/>
      <c r="FQ60" s="447"/>
      <c r="FR60" s="447"/>
      <c r="FS60" s="447"/>
      <c r="FT60" s="447"/>
      <c r="FU60" s="447"/>
      <c r="FV60" s="447"/>
      <c r="FW60" s="447"/>
      <c r="FX60" s="447"/>
      <c r="FY60" s="447"/>
      <c r="FZ60" s="447"/>
      <c r="GA60" s="447"/>
      <c r="GB60" s="447"/>
      <c r="GC60" s="447"/>
      <c r="GD60" s="447"/>
      <c r="GE60" s="447"/>
      <c r="GF60" s="447"/>
      <c r="GG60" s="447"/>
      <c r="GH60" s="447"/>
      <c r="GI60" s="447"/>
      <c r="GJ60" s="447"/>
      <c r="GK60" s="447"/>
      <c r="GL60" s="447"/>
      <c r="GM60" s="447"/>
      <c r="GN60" s="447"/>
      <c r="GO60" s="447"/>
      <c r="GP60" s="447"/>
      <c r="GQ60" s="447"/>
      <c r="GR60" s="447"/>
      <c r="GS60" s="447"/>
      <c r="GT60" s="447"/>
      <c r="GU60" s="447"/>
      <c r="GV60" s="447"/>
      <c r="GW60" s="447"/>
      <c r="GX60" s="447"/>
      <c r="GY60" s="447"/>
      <c r="GZ60" s="447"/>
      <c r="HA60" s="447"/>
      <c r="HB60" s="447"/>
      <c r="HC60" s="447"/>
      <c r="HD60" s="447"/>
      <c r="HE60" s="447"/>
      <c r="HF60" s="447"/>
      <c r="HG60" s="447"/>
      <c r="HH60" s="447"/>
      <c r="HI60" s="447"/>
      <c r="HJ60" s="447"/>
      <c r="HK60" s="447"/>
      <c r="HL60" s="447"/>
      <c r="HM60" s="447"/>
      <c r="HN60" s="447"/>
      <c r="HO60" s="447"/>
      <c r="HP60" s="447"/>
      <c r="HQ60" s="447"/>
      <c r="HR60" s="447"/>
      <c r="HS60" s="447"/>
      <c r="HT60" s="447"/>
      <c r="HU60" s="447"/>
      <c r="HV60" s="447"/>
      <c r="HW60" s="447"/>
      <c r="HX60" s="447"/>
      <c r="HY60" s="447"/>
      <c r="HZ60" s="447"/>
      <c r="IA60" s="447"/>
      <c r="IB60" s="447"/>
      <c r="IC60" s="447"/>
      <c r="ID60" s="447"/>
      <c r="IE60" s="447"/>
      <c r="IF60" s="447"/>
      <c r="IG60" s="447"/>
      <c r="IH60" s="447"/>
      <c r="II60" s="447"/>
      <c r="IJ60" s="447"/>
      <c r="IK60" s="447"/>
      <c r="IL60" s="447"/>
      <c r="IM60" s="447"/>
      <c r="IN60" s="447"/>
      <c r="IO60" s="447"/>
      <c r="IP60" s="447"/>
      <c r="IQ60" s="447"/>
      <c r="IR60" s="447"/>
    </row>
    <row r="61" spans="1:252" ht="19.899999999999999" customHeight="1">
      <c r="A61" s="561">
        <v>48</v>
      </c>
      <c r="B61" s="562" t="s">
        <v>1448</v>
      </c>
      <c r="C61" s="563" t="s">
        <v>192</v>
      </c>
      <c r="D61" s="564">
        <v>0.38700000000000001</v>
      </c>
      <c r="E61" s="564">
        <v>0.38700000000000001</v>
      </c>
      <c r="F61" s="569">
        <f t="shared" si="0"/>
        <v>0</v>
      </c>
      <c r="G61" s="446"/>
      <c r="H61" s="447"/>
      <c r="I61" s="447"/>
      <c r="J61" s="449"/>
      <c r="K61" s="447"/>
      <c r="L61" s="447"/>
      <c r="M61" s="447"/>
      <c r="N61" s="447"/>
      <c r="O61" s="447"/>
      <c r="P61" s="447"/>
      <c r="Q61" s="447"/>
      <c r="R61" s="447"/>
      <c r="S61" s="447"/>
      <c r="T61" s="447"/>
      <c r="U61" s="447"/>
      <c r="V61" s="447"/>
      <c r="W61" s="447"/>
      <c r="X61" s="447"/>
      <c r="Y61" s="447"/>
      <c r="Z61" s="447"/>
      <c r="AA61" s="447"/>
      <c r="AB61" s="447"/>
      <c r="AC61" s="447"/>
      <c r="AD61" s="447"/>
      <c r="AE61" s="447"/>
      <c r="AF61" s="447"/>
      <c r="AG61" s="447"/>
      <c r="AH61" s="447"/>
      <c r="AI61" s="447"/>
      <c r="AJ61" s="447"/>
      <c r="AK61" s="447"/>
      <c r="AL61" s="447"/>
      <c r="AM61" s="447"/>
      <c r="AN61" s="447"/>
      <c r="AO61" s="447"/>
      <c r="AP61" s="447"/>
      <c r="AQ61" s="447"/>
      <c r="AR61" s="447"/>
      <c r="AS61" s="447"/>
      <c r="AT61" s="447"/>
      <c r="AU61" s="447"/>
      <c r="AV61" s="447"/>
      <c r="AW61" s="447"/>
      <c r="AX61" s="447"/>
      <c r="AY61" s="447"/>
      <c r="AZ61" s="447"/>
      <c r="BA61" s="447"/>
      <c r="BB61" s="447"/>
      <c r="BC61" s="447"/>
      <c r="BD61" s="447"/>
      <c r="BE61" s="447"/>
      <c r="BF61" s="447"/>
      <c r="BG61" s="447"/>
      <c r="BH61" s="447"/>
      <c r="BI61" s="447"/>
      <c r="BJ61" s="447"/>
      <c r="BK61" s="447"/>
      <c r="BL61" s="447"/>
      <c r="BM61" s="447"/>
      <c r="BN61" s="447"/>
      <c r="BO61" s="447"/>
      <c r="BP61" s="447"/>
      <c r="BQ61" s="447"/>
      <c r="BR61" s="447"/>
      <c r="BS61" s="447"/>
      <c r="BT61" s="447"/>
      <c r="BU61" s="447"/>
      <c r="BV61" s="447"/>
      <c r="BW61" s="447"/>
      <c r="BX61" s="447"/>
      <c r="BY61" s="447"/>
      <c r="BZ61" s="447"/>
      <c r="CA61" s="447"/>
      <c r="CB61" s="447"/>
      <c r="CC61" s="447"/>
      <c r="CD61" s="447"/>
      <c r="CE61" s="447"/>
      <c r="CF61" s="447"/>
      <c r="CG61" s="447"/>
      <c r="CH61" s="447"/>
      <c r="CI61" s="447"/>
      <c r="CJ61" s="447"/>
      <c r="CK61" s="447"/>
      <c r="CL61" s="447"/>
      <c r="CM61" s="447"/>
      <c r="CN61" s="447"/>
      <c r="CO61" s="447"/>
      <c r="CP61" s="447"/>
      <c r="CQ61" s="447"/>
      <c r="CR61" s="447"/>
      <c r="CS61" s="447"/>
      <c r="CT61" s="447"/>
      <c r="CU61" s="447"/>
      <c r="CV61" s="447"/>
      <c r="CW61" s="447"/>
      <c r="CX61" s="447"/>
      <c r="CY61" s="447"/>
      <c r="CZ61" s="447"/>
      <c r="DA61" s="447"/>
      <c r="DB61" s="447"/>
      <c r="DC61" s="447"/>
      <c r="DD61" s="447"/>
      <c r="DE61" s="447"/>
      <c r="DF61" s="447"/>
      <c r="DG61" s="447"/>
      <c r="DH61" s="447"/>
      <c r="DI61" s="447"/>
      <c r="DJ61" s="447"/>
      <c r="DK61" s="447"/>
      <c r="DL61" s="447"/>
      <c r="DM61" s="447"/>
      <c r="DN61" s="447"/>
      <c r="DO61" s="447"/>
      <c r="DP61" s="447"/>
      <c r="DQ61" s="447"/>
      <c r="DR61" s="447"/>
      <c r="DS61" s="447"/>
      <c r="DT61" s="447"/>
      <c r="DU61" s="447"/>
      <c r="DV61" s="447"/>
      <c r="DW61" s="447"/>
      <c r="DX61" s="447"/>
      <c r="DY61" s="447"/>
      <c r="DZ61" s="447"/>
      <c r="EA61" s="447"/>
      <c r="EB61" s="447"/>
      <c r="EC61" s="447"/>
      <c r="ED61" s="447"/>
      <c r="EE61" s="447"/>
      <c r="EF61" s="447"/>
      <c r="EG61" s="447"/>
      <c r="EH61" s="447"/>
      <c r="EI61" s="447"/>
      <c r="EJ61" s="447"/>
      <c r="EK61" s="447"/>
      <c r="EL61" s="447"/>
      <c r="EM61" s="447"/>
      <c r="EN61" s="447"/>
      <c r="EO61" s="447"/>
      <c r="EP61" s="447"/>
      <c r="EQ61" s="447"/>
      <c r="ER61" s="447"/>
      <c r="ES61" s="447"/>
      <c r="ET61" s="447"/>
      <c r="EU61" s="447"/>
      <c r="EV61" s="447"/>
      <c r="EW61" s="447"/>
      <c r="EX61" s="447"/>
      <c r="EY61" s="447"/>
      <c r="EZ61" s="447"/>
      <c r="FA61" s="447"/>
      <c r="FB61" s="447"/>
      <c r="FC61" s="447"/>
      <c r="FD61" s="447"/>
      <c r="FE61" s="447"/>
      <c r="FF61" s="447"/>
      <c r="FG61" s="447"/>
      <c r="FH61" s="447"/>
      <c r="FI61" s="447"/>
      <c r="FJ61" s="447"/>
      <c r="FK61" s="447"/>
      <c r="FL61" s="447"/>
      <c r="FM61" s="447"/>
      <c r="FN61" s="447"/>
      <c r="FO61" s="447"/>
      <c r="FP61" s="447"/>
      <c r="FQ61" s="447"/>
      <c r="FR61" s="447"/>
      <c r="FS61" s="447"/>
      <c r="FT61" s="447"/>
      <c r="FU61" s="447"/>
      <c r="FV61" s="447"/>
      <c r="FW61" s="447"/>
      <c r="FX61" s="447"/>
      <c r="FY61" s="447"/>
      <c r="FZ61" s="447"/>
      <c r="GA61" s="447"/>
      <c r="GB61" s="447"/>
      <c r="GC61" s="447"/>
      <c r="GD61" s="447"/>
      <c r="GE61" s="447"/>
      <c r="GF61" s="447"/>
      <c r="GG61" s="447"/>
      <c r="GH61" s="447"/>
      <c r="GI61" s="447"/>
      <c r="GJ61" s="447"/>
      <c r="GK61" s="447"/>
      <c r="GL61" s="447"/>
      <c r="GM61" s="447"/>
      <c r="GN61" s="447"/>
      <c r="GO61" s="447"/>
      <c r="GP61" s="447"/>
      <c r="GQ61" s="447"/>
      <c r="GR61" s="447"/>
      <c r="GS61" s="447"/>
      <c r="GT61" s="447"/>
      <c r="GU61" s="447"/>
      <c r="GV61" s="447"/>
      <c r="GW61" s="447"/>
      <c r="GX61" s="447"/>
      <c r="GY61" s="447"/>
      <c r="GZ61" s="447"/>
      <c r="HA61" s="447"/>
      <c r="HB61" s="447"/>
      <c r="HC61" s="447"/>
      <c r="HD61" s="447"/>
      <c r="HE61" s="447"/>
      <c r="HF61" s="447"/>
      <c r="HG61" s="447"/>
      <c r="HH61" s="447"/>
      <c r="HI61" s="447"/>
      <c r="HJ61" s="447"/>
      <c r="HK61" s="447"/>
      <c r="HL61" s="447"/>
      <c r="HM61" s="447"/>
      <c r="HN61" s="447"/>
      <c r="HO61" s="447"/>
      <c r="HP61" s="447"/>
      <c r="HQ61" s="447"/>
      <c r="HR61" s="447"/>
      <c r="HS61" s="447"/>
      <c r="HT61" s="447"/>
      <c r="HU61" s="447"/>
      <c r="HV61" s="447"/>
      <c r="HW61" s="447"/>
      <c r="HX61" s="447"/>
      <c r="HY61" s="447"/>
      <c r="HZ61" s="447"/>
      <c r="IA61" s="447"/>
      <c r="IB61" s="447"/>
      <c r="IC61" s="447"/>
      <c r="ID61" s="447"/>
      <c r="IE61" s="447"/>
      <c r="IF61" s="447"/>
      <c r="IG61" s="447"/>
      <c r="IH61" s="447"/>
      <c r="II61" s="447"/>
      <c r="IJ61" s="447"/>
      <c r="IK61" s="447"/>
      <c r="IL61" s="447"/>
      <c r="IM61" s="447"/>
      <c r="IN61" s="447"/>
      <c r="IO61" s="447"/>
      <c r="IP61" s="447"/>
      <c r="IQ61" s="447"/>
      <c r="IR61" s="447"/>
    </row>
    <row r="62" spans="1:252" ht="39.6" customHeight="1">
      <c r="A62" s="561">
        <v>49</v>
      </c>
      <c r="B62" s="562" t="s">
        <v>1449</v>
      </c>
      <c r="C62" s="563" t="s">
        <v>192</v>
      </c>
      <c r="D62" s="564">
        <v>0.41199999999999998</v>
      </c>
      <c r="E62" s="564">
        <v>0.41199999999999998</v>
      </c>
      <c r="F62" s="569">
        <f t="shared" si="0"/>
        <v>0</v>
      </c>
      <c r="G62" s="446"/>
      <c r="H62" s="447"/>
      <c r="I62" s="447"/>
      <c r="J62" s="449"/>
      <c r="K62" s="447"/>
      <c r="L62" s="447"/>
      <c r="M62" s="447"/>
      <c r="N62" s="447"/>
      <c r="O62" s="447"/>
      <c r="P62" s="447"/>
      <c r="Q62" s="447"/>
      <c r="R62" s="447"/>
      <c r="S62" s="447"/>
      <c r="T62" s="447"/>
      <c r="U62" s="447"/>
      <c r="V62" s="447"/>
      <c r="W62" s="447"/>
      <c r="X62" s="447"/>
      <c r="Y62" s="447"/>
      <c r="Z62" s="447"/>
      <c r="AA62" s="447"/>
      <c r="AB62" s="447"/>
      <c r="AC62" s="447"/>
      <c r="AD62" s="447"/>
      <c r="AE62" s="447"/>
      <c r="AF62" s="447"/>
      <c r="AG62" s="447"/>
      <c r="AH62" s="447"/>
      <c r="AI62" s="447"/>
      <c r="AJ62" s="447"/>
      <c r="AK62" s="447"/>
      <c r="AL62" s="447"/>
      <c r="AM62" s="447"/>
      <c r="AN62" s="447"/>
      <c r="AO62" s="447"/>
      <c r="AP62" s="447"/>
      <c r="AQ62" s="447"/>
      <c r="AR62" s="447"/>
      <c r="AS62" s="447"/>
      <c r="AT62" s="447"/>
      <c r="AU62" s="447"/>
      <c r="AV62" s="447"/>
      <c r="AW62" s="447"/>
      <c r="AX62" s="447"/>
      <c r="AY62" s="447"/>
      <c r="AZ62" s="447"/>
      <c r="BA62" s="447"/>
      <c r="BB62" s="447"/>
      <c r="BC62" s="447"/>
      <c r="BD62" s="447"/>
      <c r="BE62" s="447"/>
      <c r="BF62" s="447"/>
      <c r="BG62" s="447"/>
      <c r="BH62" s="447"/>
      <c r="BI62" s="447"/>
      <c r="BJ62" s="447"/>
      <c r="BK62" s="447"/>
      <c r="BL62" s="447"/>
      <c r="BM62" s="447"/>
      <c r="BN62" s="447"/>
      <c r="BO62" s="447"/>
      <c r="BP62" s="447"/>
      <c r="BQ62" s="447"/>
      <c r="BR62" s="447"/>
      <c r="BS62" s="447"/>
      <c r="BT62" s="447"/>
      <c r="BU62" s="447"/>
      <c r="BV62" s="447"/>
      <c r="BW62" s="447"/>
      <c r="BX62" s="447"/>
      <c r="BY62" s="447"/>
      <c r="BZ62" s="447"/>
      <c r="CA62" s="447"/>
      <c r="CB62" s="447"/>
      <c r="CC62" s="447"/>
      <c r="CD62" s="447"/>
      <c r="CE62" s="447"/>
      <c r="CF62" s="447"/>
      <c r="CG62" s="447"/>
      <c r="CH62" s="447"/>
      <c r="CI62" s="447"/>
      <c r="CJ62" s="447"/>
      <c r="CK62" s="447"/>
      <c r="CL62" s="447"/>
      <c r="CM62" s="447"/>
      <c r="CN62" s="447"/>
      <c r="CO62" s="447"/>
      <c r="CP62" s="447"/>
      <c r="CQ62" s="447"/>
      <c r="CR62" s="447"/>
      <c r="CS62" s="447"/>
      <c r="CT62" s="447"/>
      <c r="CU62" s="447"/>
      <c r="CV62" s="447"/>
      <c r="CW62" s="447"/>
      <c r="CX62" s="447"/>
      <c r="CY62" s="447"/>
      <c r="CZ62" s="447"/>
      <c r="DA62" s="447"/>
      <c r="DB62" s="447"/>
      <c r="DC62" s="447"/>
      <c r="DD62" s="447"/>
      <c r="DE62" s="447"/>
      <c r="DF62" s="447"/>
      <c r="DG62" s="447"/>
      <c r="DH62" s="447"/>
      <c r="DI62" s="447"/>
      <c r="DJ62" s="447"/>
      <c r="DK62" s="447"/>
      <c r="DL62" s="447"/>
      <c r="DM62" s="447"/>
      <c r="DN62" s="447"/>
      <c r="DO62" s="447"/>
      <c r="DP62" s="447"/>
      <c r="DQ62" s="447"/>
      <c r="DR62" s="447"/>
      <c r="DS62" s="447"/>
      <c r="DT62" s="447"/>
      <c r="DU62" s="447"/>
      <c r="DV62" s="447"/>
      <c r="DW62" s="447"/>
      <c r="DX62" s="447"/>
      <c r="DY62" s="447"/>
      <c r="DZ62" s="447"/>
      <c r="EA62" s="447"/>
      <c r="EB62" s="447"/>
      <c r="EC62" s="447"/>
      <c r="ED62" s="447"/>
      <c r="EE62" s="447"/>
      <c r="EF62" s="447"/>
      <c r="EG62" s="447"/>
      <c r="EH62" s="447"/>
      <c r="EI62" s="447"/>
      <c r="EJ62" s="447"/>
      <c r="EK62" s="447"/>
      <c r="EL62" s="447"/>
      <c r="EM62" s="447"/>
      <c r="EN62" s="447"/>
      <c r="EO62" s="447"/>
      <c r="EP62" s="447"/>
      <c r="EQ62" s="447"/>
      <c r="ER62" s="447"/>
      <c r="ES62" s="447"/>
      <c r="ET62" s="447"/>
      <c r="EU62" s="447"/>
      <c r="EV62" s="447"/>
      <c r="EW62" s="447"/>
      <c r="EX62" s="447"/>
      <c r="EY62" s="447"/>
      <c r="EZ62" s="447"/>
      <c r="FA62" s="447"/>
      <c r="FB62" s="447"/>
      <c r="FC62" s="447"/>
      <c r="FD62" s="447"/>
      <c r="FE62" s="447"/>
      <c r="FF62" s="447"/>
      <c r="FG62" s="447"/>
      <c r="FH62" s="447"/>
      <c r="FI62" s="447"/>
      <c r="FJ62" s="447"/>
      <c r="FK62" s="447"/>
      <c r="FL62" s="447"/>
      <c r="FM62" s="447"/>
      <c r="FN62" s="447"/>
      <c r="FO62" s="447"/>
      <c r="FP62" s="447"/>
      <c r="FQ62" s="447"/>
      <c r="FR62" s="447"/>
      <c r="FS62" s="447"/>
      <c r="FT62" s="447"/>
      <c r="FU62" s="447"/>
      <c r="FV62" s="447"/>
      <c r="FW62" s="447"/>
      <c r="FX62" s="447"/>
      <c r="FY62" s="447"/>
      <c r="FZ62" s="447"/>
      <c r="GA62" s="447"/>
      <c r="GB62" s="447"/>
      <c r="GC62" s="447"/>
      <c r="GD62" s="447"/>
      <c r="GE62" s="447"/>
      <c r="GF62" s="447"/>
      <c r="GG62" s="447"/>
      <c r="GH62" s="447"/>
      <c r="GI62" s="447"/>
      <c r="GJ62" s="447"/>
      <c r="GK62" s="447"/>
      <c r="GL62" s="447"/>
      <c r="GM62" s="447"/>
      <c r="GN62" s="447"/>
      <c r="GO62" s="447"/>
      <c r="GP62" s="447"/>
      <c r="GQ62" s="447"/>
      <c r="GR62" s="447"/>
      <c r="GS62" s="447"/>
      <c r="GT62" s="447"/>
      <c r="GU62" s="447"/>
      <c r="GV62" s="447"/>
      <c r="GW62" s="447"/>
      <c r="GX62" s="447"/>
      <c r="GY62" s="447"/>
      <c r="GZ62" s="447"/>
      <c r="HA62" s="447"/>
      <c r="HB62" s="447"/>
      <c r="HC62" s="447"/>
      <c r="HD62" s="447"/>
      <c r="HE62" s="447"/>
      <c r="HF62" s="447"/>
      <c r="HG62" s="447"/>
      <c r="HH62" s="447"/>
      <c r="HI62" s="447"/>
      <c r="HJ62" s="447"/>
      <c r="HK62" s="447"/>
      <c r="HL62" s="447"/>
      <c r="HM62" s="447"/>
      <c r="HN62" s="447"/>
      <c r="HO62" s="447"/>
      <c r="HP62" s="447"/>
      <c r="HQ62" s="447"/>
      <c r="HR62" s="447"/>
      <c r="HS62" s="447"/>
      <c r="HT62" s="447"/>
      <c r="HU62" s="447"/>
      <c r="HV62" s="447"/>
      <c r="HW62" s="447"/>
      <c r="HX62" s="447"/>
      <c r="HY62" s="447"/>
      <c r="HZ62" s="447"/>
      <c r="IA62" s="447"/>
      <c r="IB62" s="447"/>
      <c r="IC62" s="447"/>
      <c r="ID62" s="447"/>
      <c r="IE62" s="447"/>
      <c r="IF62" s="447"/>
      <c r="IG62" s="447"/>
      <c r="IH62" s="447"/>
      <c r="II62" s="447"/>
      <c r="IJ62" s="447"/>
      <c r="IK62" s="447"/>
      <c r="IL62" s="447"/>
      <c r="IM62" s="447"/>
      <c r="IN62" s="447"/>
      <c r="IO62" s="447"/>
      <c r="IP62" s="447"/>
      <c r="IQ62" s="447"/>
      <c r="IR62" s="447"/>
    </row>
    <row r="63" spans="1:252" ht="19.899999999999999" customHeight="1">
      <c r="A63" s="561">
        <v>50</v>
      </c>
      <c r="B63" s="562" t="s">
        <v>1450</v>
      </c>
      <c r="C63" s="563" t="s">
        <v>192</v>
      </c>
      <c r="D63" s="564">
        <v>0.19800000000000001</v>
      </c>
      <c r="E63" s="564">
        <v>0.19800000000000001</v>
      </c>
      <c r="F63" s="569">
        <f t="shared" si="0"/>
        <v>0</v>
      </c>
      <c r="G63" s="446"/>
      <c r="H63" s="447"/>
      <c r="I63" s="447"/>
      <c r="J63" s="449"/>
      <c r="K63" s="447"/>
      <c r="L63" s="447"/>
      <c r="M63" s="447"/>
      <c r="N63" s="447"/>
      <c r="O63" s="447"/>
      <c r="P63" s="447"/>
      <c r="Q63" s="447"/>
      <c r="R63" s="447"/>
      <c r="S63" s="447"/>
      <c r="T63" s="447"/>
      <c r="U63" s="447"/>
      <c r="V63" s="447"/>
      <c r="W63" s="447"/>
      <c r="X63" s="447"/>
      <c r="Y63" s="447"/>
      <c r="Z63" s="447"/>
      <c r="AA63" s="447"/>
      <c r="AB63" s="447"/>
      <c r="AC63" s="447"/>
      <c r="AD63" s="447"/>
      <c r="AE63" s="447"/>
      <c r="AF63" s="447"/>
      <c r="AG63" s="447"/>
      <c r="AH63" s="447"/>
      <c r="AI63" s="447"/>
      <c r="AJ63" s="447"/>
      <c r="AK63" s="447"/>
      <c r="AL63" s="447"/>
      <c r="AM63" s="447"/>
      <c r="AN63" s="447"/>
      <c r="AO63" s="447"/>
      <c r="AP63" s="447"/>
      <c r="AQ63" s="447"/>
      <c r="AR63" s="447"/>
      <c r="AS63" s="447"/>
      <c r="AT63" s="447"/>
      <c r="AU63" s="447"/>
      <c r="AV63" s="447"/>
      <c r="AW63" s="447"/>
      <c r="AX63" s="447"/>
      <c r="AY63" s="447"/>
      <c r="AZ63" s="447"/>
      <c r="BA63" s="447"/>
      <c r="BB63" s="447"/>
      <c r="BC63" s="447"/>
      <c r="BD63" s="447"/>
      <c r="BE63" s="447"/>
      <c r="BF63" s="447"/>
      <c r="BG63" s="447"/>
      <c r="BH63" s="447"/>
      <c r="BI63" s="447"/>
      <c r="BJ63" s="447"/>
      <c r="BK63" s="447"/>
      <c r="BL63" s="447"/>
      <c r="BM63" s="447"/>
      <c r="BN63" s="447"/>
      <c r="BO63" s="447"/>
      <c r="BP63" s="447"/>
      <c r="BQ63" s="447"/>
      <c r="BR63" s="447"/>
      <c r="BS63" s="447"/>
      <c r="BT63" s="447"/>
      <c r="BU63" s="447"/>
      <c r="BV63" s="447"/>
      <c r="BW63" s="447"/>
      <c r="BX63" s="447"/>
      <c r="BY63" s="447"/>
      <c r="BZ63" s="447"/>
      <c r="CA63" s="447"/>
      <c r="CB63" s="447"/>
      <c r="CC63" s="447"/>
      <c r="CD63" s="447"/>
      <c r="CE63" s="447"/>
      <c r="CF63" s="447"/>
      <c r="CG63" s="447"/>
      <c r="CH63" s="447"/>
      <c r="CI63" s="447"/>
      <c r="CJ63" s="447"/>
      <c r="CK63" s="447"/>
      <c r="CL63" s="447"/>
      <c r="CM63" s="447"/>
      <c r="CN63" s="447"/>
      <c r="CO63" s="447"/>
      <c r="CP63" s="447"/>
      <c r="CQ63" s="447"/>
      <c r="CR63" s="447"/>
      <c r="CS63" s="447"/>
      <c r="CT63" s="447"/>
      <c r="CU63" s="447"/>
      <c r="CV63" s="447"/>
      <c r="CW63" s="447"/>
      <c r="CX63" s="447"/>
      <c r="CY63" s="447"/>
      <c r="CZ63" s="447"/>
      <c r="DA63" s="447"/>
      <c r="DB63" s="447"/>
      <c r="DC63" s="447"/>
      <c r="DD63" s="447"/>
      <c r="DE63" s="447"/>
      <c r="DF63" s="447"/>
      <c r="DG63" s="447"/>
      <c r="DH63" s="447"/>
      <c r="DI63" s="447"/>
      <c r="DJ63" s="447"/>
      <c r="DK63" s="447"/>
      <c r="DL63" s="447"/>
      <c r="DM63" s="447"/>
      <c r="DN63" s="447"/>
      <c r="DO63" s="447"/>
      <c r="DP63" s="447"/>
      <c r="DQ63" s="447"/>
      <c r="DR63" s="447"/>
      <c r="DS63" s="447"/>
      <c r="DT63" s="447"/>
      <c r="DU63" s="447"/>
      <c r="DV63" s="447"/>
      <c r="DW63" s="447"/>
      <c r="DX63" s="447"/>
      <c r="DY63" s="447"/>
      <c r="DZ63" s="447"/>
      <c r="EA63" s="447"/>
      <c r="EB63" s="447"/>
      <c r="EC63" s="447"/>
      <c r="ED63" s="447"/>
      <c r="EE63" s="447"/>
      <c r="EF63" s="447"/>
      <c r="EG63" s="447"/>
      <c r="EH63" s="447"/>
      <c r="EI63" s="447"/>
      <c r="EJ63" s="447"/>
      <c r="EK63" s="447"/>
      <c r="EL63" s="447"/>
      <c r="EM63" s="447"/>
      <c r="EN63" s="447"/>
      <c r="EO63" s="447"/>
      <c r="EP63" s="447"/>
      <c r="EQ63" s="447"/>
      <c r="ER63" s="447"/>
      <c r="ES63" s="447"/>
      <c r="ET63" s="447"/>
      <c r="EU63" s="447"/>
      <c r="EV63" s="447"/>
      <c r="EW63" s="447"/>
      <c r="EX63" s="447"/>
      <c r="EY63" s="447"/>
      <c r="EZ63" s="447"/>
      <c r="FA63" s="447"/>
      <c r="FB63" s="447"/>
      <c r="FC63" s="447"/>
      <c r="FD63" s="447"/>
      <c r="FE63" s="447"/>
      <c r="FF63" s="447"/>
      <c r="FG63" s="447"/>
      <c r="FH63" s="447"/>
      <c r="FI63" s="447"/>
      <c r="FJ63" s="447"/>
      <c r="FK63" s="447"/>
      <c r="FL63" s="447"/>
      <c r="FM63" s="447"/>
      <c r="FN63" s="447"/>
      <c r="FO63" s="447"/>
      <c r="FP63" s="447"/>
      <c r="FQ63" s="447"/>
      <c r="FR63" s="447"/>
      <c r="FS63" s="447"/>
      <c r="FT63" s="447"/>
      <c r="FU63" s="447"/>
      <c r="FV63" s="447"/>
      <c r="FW63" s="447"/>
      <c r="FX63" s="447"/>
      <c r="FY63" s="447"/>
      <c r="FZ63" s="447"/>
      <c r="GA63" s="447"/>
      <c r="GB63" s="447"/>
      <c r="GC63" s="447"/>
      <c r="GD63" s="447"/>
      <c r="GE63" s="447"/>
      <c r="GF63" s="447"/>
      <c r="GG63" s="447"/>
      <c r="GH63" s="447"/>
      <c r="GI63" s="447"/>
      <c r="GJ63" s="447"/>
      <c r="GK63" s="447"/>
      <c r="GL63" s="447"/>
      <c r="GM63" s="447"/>
      <c r="GN63" s="447"/>
      <c r="GO63" s="447"/>
      <c r="GP63" s="447"/>
      <c r="GQ63" s="447"/>
      <c r="GR63" s="447"/>
      <c r="GS63" s="447"/>
      <c r="GT63" s="447"/>
      <c r="GU63" s="447"/>
      <c r="GV63" s="447"/>
      <c r="GW63" s="447"/>
      <c r="GX63" s="447"/>
      <c r="GY63" s="447"/>
      <c r="GZ63" s="447"/>
      <c r="HA63" s="447"/>
      <c r="HB63" s="447"/>
      <c r="HC63" s="447"/>
      <c r="HD63" s="447"/>
      <c r="HE63" s="447"/>
      <c r="HF63" s="447"/>
      <c r="HG63" s="447"/>
      <c r="HH63" s="447"/>
      <c r="HI63" s="447"/>
      <c r="HJ63" s="447"/>
      <c r="HK63" s="447"/>
      <c r="HL63" s="447"/>
      <c r="HM63" s="447"/>
      <c r="HN63" s="447"/>
      <c r="HO63" s="447"/>
      <c r="HP63" s="447"/>
      <c r="HQ63" s="447"/>
      <c r="HR63" s="447"/>
      <c r="HS63" s="447"/>
      <c r="HT63" s="447"/>
      <c r="HU63" s="447"/>
      <c r="HV63" s="447"/>
      <c r="HW63" s="447"/>
      <c r="HX63" s="447"/>
      <c r="HY63" s="447"/>
      <c r="HZ63" s="447"/>
      <c r="IA63" s="447"/>
      <c r="IB63" s="447"/>
      <c r="IC63" s="447"/>
      <c r="ID63" s="447"/>
      <c r="IE63" s="447"/>
      <c r="IF63" s="447"/>
      <c r="IG63" s="447"/>
      <c r="IH63" s="447"/>
      <c r="II63" s="447"/>
      <c r="IJ63" s="447"/>
      <c r="IK63" s="447"/>
      <c r="IL63" s="447"/>
      <c r="IM63" s="447"/>
      <c r="IN63" s="447"/>
      <c r="IO63" s="447"/>
      <c r="IP63" s="447"/>
      <c r="IQ63" s="447"/>
      <c r="IR63" s="447"/>
    </row>
    <row r="64" spans="1:252" ht="19.899999999999999" customHeight="1">
      <c r="A64" s="561">
        <v>51</v>
      </c>
      <c r="B64" s="562" t="s">
        <v>1423</v>
      </c>
      <c r="C64" s="563" t="s">
        <v>109</v>
      </c>
      <c r="D64" s="564">
        <v>52.180999999999997</v>
      </c>
      <c r="E64" s="564">
        <v>52.180999999999997</v>
      </c>
      <c r="F64" s="569">
        <f t="shared" si="0"/>
        <v>0</v>
      </c>
      <c r="G64" s="446"/>
      <c r="H64" s="447"/>
      <c r="I64" s="447"/>
      <c r="J64" s="449"/>
      <c r="K64" s="447"/>
      <c r="L64" s="447"/>
      <c r="M64" s="447"/>
      <c r="N64" s="447"/>
      <c r="O64" s="447"/>
      <c r="P64" s="447"/>
      <c r="Q64" s="447"/>
      <c r="R64" s="447"/>
      <c r="S64" s="447"/>
      <c r="T64" s="447"/>
      <c r="U64" s="447"/>
      <c r="V64" s="447"/>
      <c r="W64" s="447"/>
      <c r="X64" s="447"/>
      <c r="Y64" s="447"/>
      <c r="Z64" s="447"/>
      <c r="AA64" s="447"/>
      <c r="AB64" s="447"/>
      <c r="AC64" s="447"/>
      <c r="AD64" s="447"/>
      <c r="AE64" s="447"/>
      <c r="AF64" s="447"/>
      <c r="AG64" s="447"/>
      <c r="AH64" s="447"/>
      <c r="AI64" s="447"/>
      <c r="AJ64" s="447"/>
      <c r="AK64" s="447"/>
      <c r="AL64" s="447"/>
      <c r="AM64" s="447"/>
      <c r="AN64" s="447"/>
      <c r="AO64" s="447"/>
      <c r="AP64" s="447"/>
      <c r="AQ64" s="447"/>
      <c r="AR64" s="447"/>
      <c r="AS64" s="447"/>
      <c r="AT64" s="447"/>
      <c r="AU64" s="447"/>
      <c r="AV64" s="447"/>
      <c r="AW64" s="447"/>
      <c r="AX64" s="447"/>
      <c r="AY64" s="447"/>
      <c r="AZ64" s="447"/>
      <c r="BA64" s="447"/>
      <c r="BB64" s="447"/>
      <c r="BC64" s="447"/>
      <c r="BD64" s="447"/>
      <c r="BE64" s="447"/>
      <c r="BF64" s="447"/>
      <c r="BG64" s="447"/>
      <c r="BH64" s="447"/>
      <c r="BI64" s="447"/>
      <c r="BJ64" s="447"/>
      <c r="BK64" s="447"/>
      <c r="BL64" s="447"/>
      <c r="BM64" s="447"/>
      <c r="BN64" s="447"/>
      <c r="BO64" s="447"/>
      <c r="BP64" s="447"/>
      <c r="BQ64" s="447"/>
      <c r="BR64" s="447"/>
      <c r="BS64" s="447"/>
      <c r="BT64" s="447"/>
      <c r="BU64" s="447"/>
      <c r="BV64" s="447"/>
      <c r="BW64" s="447"/>
      <c r="BX64" s="447"/>
      <c r="BY64" s="447"/>
      <c r="BZ64" s="447"/>
      <c r="CA64" s="447"/>
      <c r="CB64" s="447"/>
      <c r="CC64" s="447"/>
      <c r="CD64" s="447"/>
      <c r="CE64" s="447"/>
      <c r="CF64" s="447"/>
      <c r="CG64" s="447"/>
      <c r="CH64" s="447"/>
      <c r="CI64" s="447"/>
      <c r="CJ64" s="447"/>
      <c r="CK64" s="447"/>
      <c r="CL64" s="447"/>
      <c r="CM64" s="447"/>
      <c r="CN64" s="447"/>
      <c r="CO64" s="447"/>
      <c r="CP64" s="447"/>
      <c r="CQ64" s="447"/>
      <c r="CR64" s="447"/>
      <c r="CS64" s="447"/>
      <c r="CT64" s="447"/>
      <c r="CU64" s="447"/>
      <c r="CV64" s="447"/>
      <c r="CW64" s="447"/>
      <c r="CX64" s="447"/>
      <c r="CY64" s="447"/>
      <c r="CZ64" s="447"/>
      <c r="DA64" s="447"/>
      <c r="DB64" s="447"/>
      <c r="DC64" s="447"/>
      <c r="DD64" s="447"/>
      <c r="DE64" s="447"/>
      <c r="DF64" s="447"/>
      <c r="DG64" s="447"/>
      <c r="DH64" s="447"/>
      <c r="DI64" s="447"/>
      <c r="DJ64" s="447"/>
      <c r="DK64" s="447"/>
      <c r="DL64" s="447"/>
      <c r="DM64" s="447"/>
      <c r="DN64" s="447"/>
      <c r="DO64" s="447"/>
      <c r="DP64" s="447"/>
      <c r="DQ64" s="447"/>
      <c r="DR64" s="447"/>
      <c r="DS64" s="447"/>
      <c r="DT64" s="447"/>
      <c r="DU64" s="447"/>
      <c r="DV64" s="447"/>
      <c r="DW64" s="447"/>
      <c r="DX64" s="447"/>
      <c r="DY64" s="447"/>
      <c r="DZ64" s="447"/>
      <c r="EA64" s="447"/>
      <c r="EB64" s="447"/>
      <c r="EC64" s="447"/>
      <c r="ED64" s="447"/>
      <c r="EE64" s="447"/>
      <c r="EF64" s="447"/>
      <c r="EG64" s="447"/>
      <c r="EH64" s="447"/>
      <c r="EI64" s="447"/>
      <c r="EJ64" s="447"/>
      <c r="EK64" s="447"/>
      <c r="EL64" s="447"/>
      <c r="EM64" s="447"/>
      <c r="EN64" s="447"/>
      <c r="EO64" s="447"/>
      <c r="EP64" s="447"/>
      <c r="EQ64" s="447"/>
      <c r="ER64" s="447"/>
      <c r="ES64" s="447"/>
      <c r="ET64" s="447"/>
      <c r="EU64" s="447"/>
      <c r="EV64" s="447"/>
      <c r="EW64" s="447"/>
      <c r="EX64" s="447"/>
      <c r="EY64" s="447"/>
      <c r="EZ64" s="447"/>
      <c r="FA64" s="447"/>
      <c r="FB64" s="447"/>
      <c r="FC64" s="447"/>
      <c r="FD64" s="447"/>
      <c r="FE64" s="447"/>
      <c r="FF64" s="447"/>
      <c r="FG64" s="447"/>
      <c r="FH64" s="447"/>
      <c r="FI64" s="447"/>
      <c r="FJ64" s="447"/>
      <c r="FK64" s="447"/>
      <c r="FL64" s="447"/>
      <c r="FM64" s="447"/>
      <c r="FN64" s="447"/>
      <c r="FO64" s="447"/>
      <c r="FP64" s="447"/>
      <c r="FQ64" s="447"/>
      <c r="FR64" s="447"/>
      <c r="FS64" s="447"/>
      <c r="FT64" s="447"/>
      <c r="FU64" s="447"/>
      <c r="FV64" s="447"/>
      <c r="FW64" s="447"/>
      <c r="FX64" s="447"/>
      <c r="FY64" s="447"/>
      <c r="FZ64" s="447"/>
      <c r="GA64" s="447"/>
      <c r="GB64" s="447"/>
      <c r="GC64" s="447"/>
      <c r="GD64" s="447"/>
      <c r="GE64" s="447"/>
      <c r="GF64" s="447"/>
      <c r="GG64" s="447"/>
      <c r="GH64" s="447"/>
      <c r="GI64" s="447"/>
      <c r="GJ64" s="447"/>
      <c r="GK64" s="447"/>
      <c r="GL64" s="447"/>
      <c r="GM64" s="447"/>
      <c r="GN64" s="447"/>
      <c r="GO64" s="447"/>
      <c r="GP64" s="447"/>
      <c r="GQ64" s="447"/>
      <c r="GR64" s="447"/>
      <c r="GS64" s="447"/>
      <c r="GT64" s="447"/>
      <c r="GU64" s="447"/>
      <c r="GV64" s="447"/>
      <c r="GW64" s="447"/>
      <c r="GX64" s="447"/>
      <c r="GY64" s="447"/>
      <c r="GZ64" s="447"/>
      <c r="HA64" s="447"/>
      <c r="HB64" s="447"/>
      <c r="HC64" s="447"/>
      <c r="HD64" s="447"/>
      <c r="HE64" s="447"/>
      <c r="HF64" s="447"/>
      <c r="HG64" s="447"/>
      <c r="HH64" s="447"/>
      <c r="HI64" s="447"/>
      <c r="HJ64" s="447"/>
      <c r="HK64" s="447"/>
      <c r="HL64" s="447"/>
      <c r="HM64" s="447"/>
      <c r="HN64" s="447"/>
      <c r="HO64" s="447"/>
      <c r="HP64" s="447"/>
      <c r="HQ64" s="447"/>
      <c r="HR64" s="447"/>
      <c r="HS64" s="447"/>
      <c r="HT64" s="447"/>
      <c r="HU64" s="447"/>
      <c r="HV64" s="447"/>
      <c r="HW64" s="447"/>
      <c r="HX64" s="447"/>
      <c r="HY64" s="447"/>
      <c r="HZ64" s="447"/>
      <c r="IA64" s="447"/>
      <c r="IB64" s="447"/>
      <c r="IC64" s="447"/>
      <c r="ID64" s="447"/>
      <c r="IE64" s="447"/>
      <c r="IF64" s="447"/>
      <c r="IG64" s="447"/>
      <c r="IH64" s="447"/>
      <c r="II64" s="447"/>
      <c r="IJ64" s="447"/>
      <c r="IK64" s="447"/>
      <c r="IL64" s="447"/>
      <c r="IM64" s="447"/>
      <c r="IN64" s="447"/>
      <c r="IO64" s="447"/>
      <c r="IP64" s="447"/>
      <c r="IQ64" s="447"/>
      <c r="IR64" s="447"/>
    </row>
    <row r="65" spans="1:252" ht="19.899999999999999" customHeight="1">
      <c r="A65" s="561">
        <v>52</v>
      </c>
      <c r="B65" s="562" t="s">
        <v>1451</v>
      </c>
      <c r="C65" s="563" t="s">
        <v>427</v>
      </c>
      <c r="D65" s="564">
        <v>24</v>
      </c>
      <c r="E65" s="564">
        <v>24</v>
      </c>
      <c r="F65" s="569">
        <f t="shared" si="0"/>
        <v>0</v>
      </c>
      <c r="G65" s="446"/>
      <c r="H65" s="447"/>
      <c r="I65" s="447"/>
      <c r="J65" s="449"/>
      <c r="K65" s="447"/>
      <c r="L65" s="447"/>
      <c r="M65" s="447"/>
      <c r="N65" s="447"/>
      <c r="O65" s="447"/>
      <c r="P65" s="447"/>
      <c r="Q65" s="447"/>
      <c r="R65" s="447"/>
      <c r="S65" s="447"/>
      <c r="T65" s="447"/>
      <c r="U65" s="447"/>
      <c r="V65" s="447"/>
      <c r="W65" s="447"/>
      <c r="X65" s="447"/>
      <c r="Y65" s="447"/>
      <c r="Z65" s="447"/>
      <c r="AA65" s="447"/>
      <c r="AB65" s="447"/>
      <c r="AC65" s="447"/>
      <c r="AD65" s="447"/>
      <c r="AE65" s="447"/>
      <c r="AF65" s="447"/>
      <c r="AG65" s="447"/>
      <c r="AH65" s="447"/>
      <c r="AI65" s="447"/>
      <c r="AJ65" s="447"/>
      <c r="AK65" s="447"/>
      <c r="AL65" s="447"/>
      <c r="AM65" s="447"/>
      <c r="AN65" s="447"/>
      <c r="AO65" s="447"/>
      <c r="AP65" s="447"/>
      <c r="AQ65" s="447"/>
      <c r="AR65" s="447"/>
      <c r="AS65" s="447"/>
      <c r="AT65" s="447"/>
      <c r="AU65" s="447"/>
      <c r="AV65" s="447"/>
      <c r="AW65" s="447"/>
      <c r="AX65" s="447"/>
      <c r="AY65" s="447"/>
      <c r="AZ65" s="447"/>
      <c r="BA65" s="447"/>
      <c r="BB65" s="447"/>
      <c r="BC65" s="447"/>
      <c r="BD65" s="447"/>
      <c r="BE65" s="447"/>
      <c r="BF65" s="447"/>
      <c r="BG65" s="447"/>
      <c r="BH65" s="447"/>
      <c r="BI65" s="447"/>
      <c r="BJ65" s="447"/>
      <c r="BK65" s="447"/>
      <c r="BL65" s="447"/>
      <c r="BM65" s="447"/>
      <c r="BN65" s="447"/>
      <c r="BO65" s="447"/>
      <c r="BP65" s="447"/>
      <c r="BQ65" s="447"/>
      <c r="BR65" s="447"/>
      <c r="BS65" s="447"/>
      <c r="BT65" s="447"/>
      <c r="BU65" s="447"/>
      <c r="BV65" s="447"/>
      <c r="BW65" s="447"/>
      <c r="BX65" s="447"/>
      <c r="BY65" s="447"/>
      <c r="BZ65" s="447"/>
      <c r="CA65" s="447"/>
      <c r="CB65" s="447"/>
      <c r="CC65" s="447"/>
      <c r="CD65" s="447"/>
      <c r="CE65" s="447"/>
      <c r="CF65" s="447"/>
      <c r="CG65" s="447"/>
      <c r="CH65" s="447"/>
      <c r="CI65" s="447"/>
      <c r="CJ65" s="447"/>
      <c r="CK65" s="447"/>
      <c r="CL65" s="447"/>
      <c r="CM65" s="447"/>
      <c r="CN65" s="447"/>
      <c r="CO65" s="447"/>
      <c r="CP65" s="447"/>
      <c r="CQ65" s="447"/>
      <c r="CR65" s="447"/>
      <c r="CS65" s="447"/>
      <c r="CT65" s="447"/>
      <c r="CU65" s="447"/>
      <c r="CV65" s="447"/>
      <c r="CW65" s="447"/>
      <c r="CX65" s="447"/>
      <c r="CY65" s="447"/>
      <c r="CZ65" s="447"/>
      <c r="DA65" s="447"/>
      <c r="DB65" s="447"/>
      <c r="DC65" s="447"/>
      <c r="DD65" s="447"/>
      <c r="DE65" s="447"/>
      <c r="DF65" s="447"/>
      <c r="DG65" s="447"/>
      <c r="DH65" s="447"/>
      <c r="DI65" s="447"/>
      <c r="DJ65" s="447"/>
      <c r="DK65" s="447"/>
      <c r="DL65" s="447"/>
      <c r="DM65" s="447"/>
      <c r="DN65" s="447"/>
      <c r="DO65" s="447"/>
      <c r="DP65" s="447"/>
      <c r="DQ65" s="447"/>
      <c r="DR65" s="447"/>
      <c r="DS65" s="447"/>
      <c r="DT65" s="447"/>
      <c r="DU65" s="447"/>
      <c r="DV65" s="447"/>
      <c r="DW65" s="447"/>
      <c r="DX65" s="447"/>
      <c r="DY65" s="447"/>
      <c r="DZ65" s="447"/>
      <c r="EA65" s="447"/>
      <c r="EB65" s="447"/>
      <c r="EC65" s="447"/>
      <c r="ED65" s="447"/>
      <c r="EE65" s="447"/>
      <c r="EF65" s="447"/>
      <c r="EG65" s="447"/>
      <c r="EH65" s="447"/>
      <c r="EI65" s="447"/>
      <c r="EJ65" s="447"/>
      <c r="EK65" s="447"/>
      <c r="EL65" s="447"/>
      <c r="EM65" s="447"/>
      <c r="EN65" s="447"/>
      <c r="EO65" s="447"/>
      <c r="EP65" s="447"/>
      <c r="EQ65" s="447"/>
      <c r="ER65" s="447"/>
      <c r="ES65" s="447"/>
      <c r="ET65" s="447"/>
      <c r="EU65" s="447"/>
      <c r="EV65" s="447"/>
      <c r="EW65" s="447"/>
      <c r="EX65" s="447"/>
      <c r="EY65" s="447"/>
      <c r="EZ65" s="447"/>
      <c r="FA65" s="447"/>
      <c r="FB65" s="447"/>
      <c r="FC65" s="447"/>
      <c r="FD65" s="447"/>
      <c r="FE65" s="447"/>
      <c r="FF65" s="447"/>
      <c r="FG65" s="447"/>
      <c r="FH65" s="447"/>
      <c r="FI65" s="447"/>
      <c r="FJ65" s="447"/>
      <c r="FK65" s="447"/>
      <c r="FL65" s="447"/>
      <c r="FM65" s="447"/>
      <c r="FN65" s="447"/>
      <c r="FO65" s="447"/>
      <c r="FP65" s="447"/>
      <c r="FQ65" s="447"/>
      <c r="FR65" s="447"/>
      <c r="FS65" s="447"/>
      <c r="FT65" s="447"/>
      <c r="FU65" s="447"/>
      <c r="FV65" s="447"/>
      <c r="FW65" s="447"/>
      <c r="FX65" s="447"/>
      <c r="FY65" s="447"/>
      <c r="FZ65" s="447"/>
      <c r="GA65" s="447"/>
      <c r="GB65" s="447"/>
      <c r="GC65" s="447"/>
      <c r="GD65" s="447"/>
      <c r="GE65" s="447"/>
      <c r="GF65" s="447"/>
      <c r="GG65" s="447"/>
      <c r="GH65" s="447"/>
      <c r="GI65" s="447"/>
      <c r="GJ65" s="447"/>
      <c r="GK65" s="447"/>
      <c r="GL65" s="447"/>
      <c r="GM65" s="447"/>
      <c r="GN65" s="447"/>
      <c r="GO65" s="447"/>
      <c r="GP65" s="447"/>
      <c r="GQ65" s="447"/>
      <c r="GR65" s="447"/>
      <c r="GS65" s="447"/>
      <c r="GT65" s="447"/>
      <c r="GU65" s="447"/>
      <c r="GV65" s="447"/>
      <c r="GW65" s="447"/>
      <c r="GX65" s="447"/>
      <c r="GY65" s="447"/>
      <c r="GZ65" s="447"/>
      <c r="HA65" s="447"/>
      <c r="HB65" s="447"/>
      <c r="HC65" s="447"/>
      <c r="HD65" s="447"/>
      <c r="HE65" s="447"/>
      <c r="HF65" s="447"/>
      <c r="HG65" s="447"/>
      <c r="HH65" s="447"/>
      <c r="HI65" s="447"/>
      <c r="HJ65" s="447"/>
      <c r="HK65" s="447"/>
      <c r="HL65" s="447"/>
      <c r="HM65" s="447"/>
      <c r="HN65" s="447"/>
      <c r="HO65" s="447"/>
      <c r="HP65" s="447"/>
      <c r="HQ65" s="447"/>
      <c r="HR65" s="447"/>
      <c r="HS65" s="447"/>
      <c r="HT65" s="447"/>
      <c r="HU65" s="447"/>
      <c r="HV65" s="447"/>
      <c r="HW65" s="447"/>
      <c r="HX65" s="447"/>
      <c r="HY65" s="447"/>
      <c r="HZ65" s="447"/>
      <c r="IA65" s="447"/>
      <c r="IB65" s="447"/>
      <c r="IC65" s="447"/>
      <c r="ID65" s="447"/>
      <c r="IE65" s="447"/>
      <c r="IF65" s="447"/>
      <c r="IG65" s="447"/>
      <c r="IH65" s="447"/>
      <c r="II65" s="447"/>
      <c r="IJ65" s="447"/>
      <c r="IK65" s="447"/>
      <c r="IL65" s="447"/>
      <c r="IM65" s="447"/>
      <c r="IN65" s="447"/>
      <c r="IO65" s="447"/>
      <c r="IP65" s="447"/>
      <c r="IQ65" s="447"/>
      <c r="IR65" s="447"/>
    </row>
    <row r="66" spans="1:252" ht="19.899999999999999" customHeight="1">
      <c r="A66" s="561">
        <v>53</v>
      </c>
      <c r="B66" s="562" t="s">
        <v>1452</v>
      </c>
      <c r="C66" s="563" t="s">
        <v>192</v>
      </c>
      <c r="D66" s="564">
        <v>0.38700000000000001</v>
      </c>
      <c r="E66" s="564">
        <v>0.38700000000000001</v>
      </c>
      <c r="F66" s="569">
        <f t="shared" si="0"/>
        <v>0</v>
      </c>
      <c r="G66" s="446"/>
      <c r="H66" s="447"/>
      <c r="I66" s="447"/>
      <c r="J66" s="449"/>
      <c r="K66" s="447"/>
      <c r="L66" s="447"/>
      <c r="M66" s="447"/>
      <c r="N66" s="447"/>
      <c r="O66" s="447"/>
      <c r="P66" s="447"/>
      <c r="Q66" s="447"/>
      <c r="R66" s="447"/>
      <c r="S66" s="447"/>
      <c r="T66" s="447"/>
      <c r="U66" s="447"/>
      <c r="V66" s="447"/>
      <c r="W66" s="447"/>
      <c r="X66" s="447"/>
      <c r="Y66" s="447"/>
      <c r="Z66" s="447"/>
      <c r="AA66" s="447"/>
      <c r="AB66" s="447"/>
      <c r="AC66" s="447"/>
      <c r="AD66" s="447"/>
      <c r="AE66" s="447"/>
      <c r="AF66" s="447"/>
      <c r="AG66" s="447"/>
      <c r="AH66" s="447"/>
      <c r="AI66" s="447"/>
      <c r="AJ66" s="447"/>
      <c r="AK66" s="447"/>
      <c r="AL66" s="447"/>
      <c r="AM66" s="447"/>
      <c r="AN66" s="447"/>
      <c r="AO66" s="447"/>
      <c r="AP66" s="447"/>
      <c r="AQ66" s="447"/>
      <c r="AR66" s="447"/>
      <c r="AS66" s="447"/>
      <c r="AT66" s="447"/>
      <c r="AU66" s="447"/>
      <c r="AV66" s="447"/>
      <c r="AW66" s="447"/>
      <c r="AX66" s="447"/>
      <c r="AY66" s="447"/>
      <c r="AZ66" s="447"/>
      <c r="BA66" s="447"/>
      <c r="BB66" s="447"/>
      <c r="BC66" s="447"/>
      <c r="BD66" s="447"/>
      <c r="BE66" s="447"/>
      <c r="BF66" s="447"/>
      <c r="BG66" s="447"/>
      <c r="BH66" s="447"/>
      <c r="BI66" s="447"/>
      <c r="BJ66" s="447"/>
      <c r="BK66" s="447"/>
      <c r="BL66" s="447"/>
      <c r="BM66" s="447"/>
      <c r="BN66" s="447"/>
      <c r="BO66" s="447"/>
      <c r="BP66" s="447"/>
      <c r="BQ66" s="447"/>
      <c r="BR66" s="447"/>
      <c r="BS66" s="447"/>
      <c r="BT66" s="447"/>
      <c r="BU66" s="447"/>
      <c r="BV66" s="447"/>
      <c r="BW66" s="447"/>
      <c r="BX66" s="447"/>
      <c r="BY66" s="447"/>
      <c r="BZ66" s="447"/>
      <c r="CA66" s="447"/>
      <c r="CB66" s="447"/>
      <c r="CC66" s="447"/>
      <c r="CD66" s="447"/>
      <c r="CE66" s="447"/>
      <c r="CF66" s="447"/>
      <c r="CG66" s="447"/>
      <c r="CH66" s="447"/>
      <c r="CI66" s="447"/>
      <c r="CJ66" s="447"/>
      <c r="CK66" s="447"/>
      <c r="CL66" s="447"/>
      <c r="CM66" s="447"/>
      <c r="CN66" s="447"/>
      <c r="CO66" s="447"/>
      <c r="CP66" s="447"/>
      <c r="CQ66" s="447"/>
      <c r="CR66" s="447"/>
      <c r="CS66" s="447"/>
      <c r="CT66" s="447"/>
      <c r="CU66" s="447"/>
      <c r="CV66" s="447"/>
      <c r="CW66" s="447"/>
      <c r="CX66" s="447"/>
      <c r="CY66" s="447"/>
      <c r="CZ66" s="447"/>
      <c r="DA66" s="447"/>
      <c r="DB66" s="447"/>
      <c r="DC66" s="447"/>
      <c r="DD66" s="447"/>
      <c r="DE66" s="447"/>
      <c r="DF66" s="447"/>
      <c r="DG66" s="447"/>
      <c r="DH66" s="447"/>
      <c r="DI66" s="447"/>
      <c r="DJ66" s="447"/>
      <c r="DK66" s="447"/>
      <c r="DL66" s="447"/>
      <c r="DM66" s="447"/>
      <c r="DN66" s="447"/>
      <c r="DO66" s="447"/>
      <c r="DP66" s="447"/>
      <c r="DQ66" s="447"/>
      <c r="DR66" s="447"/>
      <c r="DS66" s="447"/>
      <c r="DT66" s="447"/>
      <c r="DU66" s="447"/>
      <c r="DV66" s="447"/>
      <c r="DW66" s="447"/>
      <c r="DX66" s="447"/>
      <c r="DY66" s="447"/>
      <c r="DZ66" s="447"/>
      <c r="EA66" s="447"/>
      <c r="EB66" s="447"/>
      <c r="EC66" s="447"/>
      <c r="ED66" s="447"/>
      <c r="EE66" s="447"/>
      <c r="EF66" s="447"/>
      <c r="EG66" s="447"/>
      <c r="EH66" s="447"/>
      <c r="EI66" s="447"/>
      <c r="EJ66" s="447"/>
      <c r="EK66" s="447"/>
      <c r="EL66" s="447"/>
      <c r="EM66" s="447"/>
      <c r="EN66" s="447"/>
      <c r="EO66" s="447"/>
      <c r="EP66" s="447"/>
      <c r="EQ66" s="447"/>
      <c r="ER66" s="447"/>
      <c r="ES66" s="447"/>
      <c r="ET66" s="447"/>
      <c r="EU66" s="447"/>
      <c r="EV66" s="447"/>
      <c r="EW66" s="447"/>
      <c r="EX66" s="447"/>
      <c r="EY66" s="447"/>
      <c r="EZ66" s="447"/>
      <c r="FA66" s="447"/>
      <c r="FB66" s="447"/>
      <c r="FC66" s="447"/>
      <c r="FD66" s="447"/>
      <c r="FE66" s="447"/>
      <c r="FF66" s="447"/>
      <c r="FG66" s="447"/>
      <c r="FH66" s="447"/>
      <c r="FI66" s="447"/>
      <c r="FJ66" s="447"/>
      <c r="FK66" s="447"/>
      <c r="FL66" s="447"/>
      <c r="FM66" s="447"/>
      <c r="FN66" s="447"/>
      <c r="FO66" s="447"/>
      <c r="FP66" s="447"/>
      <c r="FQ66" s="447"/>
      <c r="FR66" s="447"/>
      <c r="FS66" s="447"/>
      <c r="FT66" s="447"/>
      <c r="FU66" s="447"/>
      <c r="FV66" s="447"/>
      <c r="FW66" s="447"/>
      <c r="FX66" s="447"/>
      <c r="FY66" s="447"/>
      <c r="FZ66" s="447"/>
      <c r="GA66" s="447"/>
      <c r="GB66" s="447"/>
      <c r="GC66" s="447"/>
      <c r="GD66" s="447"/>
      <c r="GE66" s="447"/>
      <c r="GF66" s="447"/>
      <c r="GG66" s="447"/>
      <c r="GH66" s="447"/>
      <c r="GI66" s="447"/>
      <c r="GJ66" s="447"/>
      <c r="GK66" s="447"/>
      <c r="GL66" s="447"/>
      <c r="GM66" s="447"/>
      <c r="GN66" s="447"/>
      <c r="GO66" s="447"/>
      <c r="GP66" s="447"/>
      <c r="GQ66" s="447"/>
      <c r="GR66" s="447"/>
      <c r="GS66" s="447"/>
      <c r="GT66" s="447"/>
      <c r="GU66" s="447"/>
      <c r="GV66" s="447"/>
      <c r="GW66" s="447"/>
      <c r="GX66" s="447"/>
      <c r="GY66" s="447"/>
      <c r="GZ66" s="447"/>
      <c r="HA66" s="447"/>
      <c r="HB66" s="447"/>
      <c r="HC66" s="447"/>
      <c r="HD66" s="447"/>
      <c r="HE66" s="447"/>
      <c r="HF66" s="447"/>
      <c r="HG66" s="447"/>
      <c r="HH66" s="447"/>
      <c r="HI66" s="447"/>
      <c r="HJ66" s="447"/>
      <c r="HK66" s="447"/>
      <c r="HL66" s="447"/>
      <c r="HM66" s="447"/>
      <c r="HN66" s="447"/>
      <c r="HO66" s="447"/>
      <c r="HP66" s="447"/>
      <c r="HQ66" s="447"/>
      <c r="HR66" s="447"/>
      <c r="HS66" s="447"/>
      <c r="HT66" s="447"/>
      <c r="HU66" s="447"/>
      <c r="HV66" s="447"/>
      <c r="HW66" s="447"/>
      <c r="HX66" s="447"/>
      <c r="HY66" s="447"/>
      <c r="HZ66" s="447"/>
      <c r="IA66" s="447"/>
      <c r="IB66" s="447"/>
      <c r="IC66" s="447"/>
      <c r="ID66" s="447"/>
      <c r="IE66" s="447"/>
      <c r="IF66" s="447"/>
      <c r="IG66" s="447"/>
      <c r="IH66" s="447"/>
      <c r="II66" s="447"/>
      <c r="IJ66" s="447"/>
      <c r="IK66" s="447"/>
      <c r="IL66" s="447"/>
      <c r="IM66" s="447"/>
      <c r="IN66" s="447"/>
      <c r="IO66" s="447"/>
      <c r="IP66" s="447"/>
      <c r="IQ66" s="447"/>
      <c r="IR66" s="447"/>
    </row>
    <row r="67" spans="1:252" ht="19.899999999999999" customHeight="1">
      <c r="A67" s="561">
        <v>54</v>
      </c>
      <c r="B67" s="562" t="s">
        <v>1453</v>
      </c>
      <c r="C67" s="563" t="s">
        <v>192</v>
      </c>
      <c r="D67" s="564">
        <v>0.41199999999999998</v>
      </c>
      <c r="E67" s="564">
        <v>0.41199999999999998</v>
      </c>
      <c r="F67" s="569">
        <f t="shared" si="0"/>
        <v>0</v>
      </c>
      <c r="G67" s="446"/>
      <c r="H67" s="447"/>
      <c r="I67" s="447"/>
      <c r="J67" s="449"/>
      <c r="K67" s="447"/>
      <c r="L67" s="447"/>
      <c r="M67" s="447"/>
      <c r="N67" s="447"/>
      <c r="O67" s="447"/>
      <c r="P67" s="447"/>
      <c r="Q67" s="447"/>
      <c r="R67" s="447"/>
      <c r="S67" s="447"/>
      <c r="T67" s="447"/>
      <c r="U67" s="447"/>
      <c r="V67" s="447"/>
      <c r="W67" s="447"/>
      <c r="X67" s="447"/>
      <c r="Y67" s="447"/>
      <c r="Z67" s="447"/>
      <c r="AA67" s="447"/>
      <c r="AB67" s="447"/>
      <c r="AC67" s="447"/>
      <c r="AD67" s="447"/>
      <c r="AE67" s="447"/>
      <c r="AF67" s="447"/>
      <c r="AG67" s="447"/>
      <c r="AH67" s="447"/>
      <c r="AI67" s="447"/>
      <c r="AJ67" s="447"/>
      <c r="AK67" s="447"/>
      <c r="AL67" s="447"/>
      <c r="AM67" s="447"/>
      <c r="AN67" s="447"/>
      <c r="AO67" s="447"/>
      <c r="AP67" s="447"/>
      <c r="AQ67" s="447"/>
      <c r="AR67" s="447"/>
      <c r="AS67" s="447"/>
      <c r="AT67" s="447"/>
      <c r="AU67" s="447"/>
      <c r="AV67" s="447"/>
      <c r="AW67" s="447"/>
      <c r="AX67" s="447"/>
      <c r="AY67" s="447"/>
      <c r="AZ67" s="447"/>
      <c r="BA67" s="447"/>
      <c r="BB67" s="447"/>
      <c r="BC67" s="447"/>
      <c r="BD67" s="447"/>
      <c r="BE67" s="447"/>
      <c r="BF67" s="447"/>
      <c r="BG67" s="447"/>
      <c r="BH67" s="447"/>
      <c r="BI67" s="447"/>
      <c r="BJ67" s="447"/>
      <c r="BK67" s="447"/>
      <c r="BL67" s="447"/>
      <c r="BM67" s="447"/>
      <c r="BN67" s="447"/>
      <c r="BO67" s="447"/>
      <c r="BP67" s="447"/>
      <c r="BQ67" s="447"/>
      <c r="BR67" s="447"/>
      <c r="BS67" s="447"/>
      <c r="BT67" s="447"/>
      <c r="BU67" s="447"/>
      <c r="BV67" s="447"/>
      <c r="BW67" s="447"/>
      <c r="BX67" s="447"/>
      <c r="BY67" s="447"/>
      <c r="BZ67" s="447"/>
      <c r="CA67" s="447"/>
      <c r="CB67" s="447"/>
      <c r="CC67" s="447"/>
      <c r="CD67" s="447"/>
      <c r="CE67" s="447"/>
      <c r="CF67" s="447"/>
      <c r="CG67" s="447"/>
      <c r="CH67" s="447"/>
      <c r="CI67" s="447"/>
      <c r="CJ67" s="447"/>
      <c r="CK67" s="447"/>
      <c r="CL67" s="447"/>
      <c r="CM67" s="447"/>
      <c r="CN67" s="447"/>
      <c r="CO67" s="447"/>
      <c r="CP67" s="447"/>
      <c r="CQ67" s="447"/>
      <c r="CR67" s="447"/>
      <c r="CS67" s="447"/>
      <c r="CT67" s="447"/>
      <c r="CU67" s="447"/>
      <c r="CV67" s="447"/>
      <c r="CW67" s="447"/>
      <c r="CX67" s="447"/>
      <c r="CY67" s="447"/>
      <c r="CZ67" s="447"/>
      <c r="DA67" s="447"/>
      <c r="DB67" s="447"/>
      <c r="DC67" s="447"/>
      <c r="DD67" s="447"/>
      <c r="DE67" s="447"/>
      <c r="DF67" s="447"/>
      <c r="DG67" s="447"/>
      <c r="DH67" s="447"/>
      <c r="DI67" s="447"/>
      <c r="DJ67" s="447"/>
      <c r="DK67" s="447"/>
      <c r="DL67" s="447"/>
      <c r="DM67" s="447"/>
      <c r="DN67" s="447"/>
      <c r="DO67" s="447"/>
      <c r="DP67" s="447"/>
      <c r="DQ67" s="447"/>
      <c r="DR67" s="447"/>
      <c r="DS67" s="447"/>
      <c r="DT67" s="447"/>
      <c r="DU67" s="447"/>
      <c r="DV67" s="447"/>
      <c r="DW67" s="447"/>
      <c r="DX67" s="447"/>
      <c r="DY67" s="447"/>
      <c r="DZ67" s="447"/>
      <c r="EA67" s="447"/>
      <c r="EB67" s="447"/>
      <c r="EC67" s="447"/>
      <c r="ED67" s="447"/>
      <c r="EE67" s="447"/>
      <c r="EF67" s="447"/>
      <c r="EG67" s="447"/>
      <c r="EH67" s="447"/>
      <c r="EI67" s="447"/>
      <c r="EJ67" s="447"/>
      <c r="EK67" s="447"/>
      <c r="EL67" s="447"/>
      <c r="EM67" s="447"/>
      <c r="EN67" s="447"/>
      <c r="EO67" s="447"/>
      <c r="EP67" s="447"/>
      <c r="EQ67" s="447"/>
      <c r="ER67" s="447"/>
      <c r="ES67" s="447"/>
      <c r="ET67" s="447"/>
      <c r="EU67" s="447"/>
      <c r="EV67" s="447"/>
      <c r="EW67" s="447"/>
      <c r="EX67" s="447"/>
      <c r="EY67" s="447"/>
      <c r="EZ67" s="447"/>
      <c r="FA67" s="447"/>
      <c r="FB67" s="447"/>
      <c r="FC67" s="447"/>
      <c r="FD67" s="447"/>
      <c r="FE67" s="447"/>
      <c r="FF67" s="447"/>
      <c r="FG67" s="447"/>
      <c r="FH67" s="447"/>
      <c r="FI67" s="447"/>
      <c r="FJ67" s="447"/>
      <c r="FK67" s="447"/>
      <c r="FL67" s="447"/>
      <c r="FM67" s="447"/>
      <c r="FN67" s="447"/>
      <c r="FO67" s="447"/>
      <c r="FP67" s="447"/>
      <c r="FQ67" s="447"/>
      <c r="FR67" s="447"/>
      <c r="FS67" s="447"/>
      <c r="FT67" s="447"/>
      <c r="FU67" s="447"/>
      <c r="FV67" s="447"/>
      <c r="FW67" s="447"/>
      <c r="FX67" s="447"/>
      <c r="FY67" s="447"/>
      <c r="FZ67" s="447"/>
      <c r="GA67" s="447"/>
      <c r="GB67" s="447"/>
      <c r="GC67" s="447"/>
      <c r="GD67" s="447"/>
      <c r="GE67" s="447"/>
      <c r="GF67" s="447"/>
      <c r="GG67" s="447"/>
      <c r="GH67" s="447"/>
      <c r="GI67" s="447"/>
      <c r="GJ67" s="447"/>
      <c r="GK67" s="447"/>
      <c r="GL67" s="447"/>
      <c r="GM67" s="447"/>
      <c r="GN67" s="447"/>
      <c r="GO67" s="447"/>
      <c r="GP67" s="447"/>
      <c r="GQ67" s="447"/>
      <c r="GR67" s="447"/>
      <c r="GS67" s="447"/>
      <c r="GT67" s="447"/>
      <c r="GU67" s="447"/>
      <c r="GV67" s="447"/>
      <c r="GW67" s="447"/>
      <c r="GX67" s="447"/>
      <c r="GY67" s="447"/>
      <c r="GZ67" s="447"/>
      <c r="HA67" s="447"/>
      <c r="HB67" s="447"/>
      <c r="HC67" s="447"/>
      <c r="HD67" s="447"/>
      <c r="HE67" s="447"/>
      <c r="HF67" s="447"/>
      <c r="HG67" s="447"/>
      <c r="HH67" s="447"/>
      <c r="HI67" s="447"/>
      <c r="HJ67" s="447"/>
      <c r="HK67" s="447"/>
      <c r="HL67" s="447"/>
      <c r="HM67" s="447"/>
      <c r="HN67" s="447"/>
      <c r="HO67" s="447"/>
      <c r="HP67" s="447"/>
      <c r="HQ67" s="447"/>
      <c r="HR67" s="447"/>
      <c r="HS67" s="447"/>
      <c r="HT67" s="447"/>
      <c r="HU67" s="447"/>
      <c r="HV67" s="447"/>
      <c r="HW67" s="447"/>
      <c r="HX67" s="447"/>
      <c r="HY67" s="447"/>
      <c r="HZ67" s="447"/>
      <c r="IA67" s="447"/>
      <c r="IB67" s="447"/>
      <c r="IC67" s="447"/>
      <c r="ID67" s="447"/>
      <c r="IE67" s="447"/>
      <c r="IF67" s="447"/>
      <c r="IG67" s="447"/>
      <c r="IH67" s="447"/>
      <c r="II67" s="447"/>
      <c r="IJ67" s="447"/>
      <c r="IK67" s="447"/>
      <c r="IL67" s="447"/>
      <c r="IM67" s="447"/>
      <c r="IN67" s="447"/>
      <c r="IO67" s="447"/>
      <c r="IP67" s="447"/>
      <c r="IQ67" s="447"/>
      <c r="IR67" s="447"/>
    </row>
    <row r="68" spans="1:252" ht="19.899999999999999" customHeight="1">
      <c r="A68" s="561">
        <v>55</v>
      </c>
      <c r="B68" s="562" t="s">
        <v>1454</v>
      </c>
      <c r="C68" s="563" t="s">
        <v>192</v>
      </c>
      <c r="D68" s="564">
        <v>0.19800000000000001</v>
      </c>
      <c r="E68" s="564">
        <v>0.19800000000000001</v>
      </c>
      <c r="F68" s="569">
        <f t="shared" si="0"/>
        <v>0</v>
      </c>
      <c r="G68" s="457"/>
      <c r="H68" s="447"/>
      <c r="I68" s="447"/>
      <c r="J68" s="449"/>
      <c r="K68" s="447"/>
      <c r="L68" s="447"/>
      <c r="M68" s="447"/>
      <c r="N68" s="447"/>
      <c r="O68" s="447"/>
      <c r="P68" s="447"/>
      <c r="Q68" s="447"/>
      <c r="R68" s="447"/>
      <c r="S68" s="447"/>
      <c r="T68" s="447"/>
      <c r="U68" s="447"/>
      <c r="V68" s="447"/>
      <c r="W68" s="447"/>
      <c r="X68" s="447"/>
      <c r="Y68" s="447"/>
      <c r="Z68" s="447"/>
      <c r="AA68" s="447"/>
      <c r="AB68" s="447"/>
      <c r="AC68" s="447"/>
      <c r="AD68" s="447"/>
      <c r="AE68" s="447"/>
      <c r="AF68" s="447"/>
      <c r="AG68" s="447"/>
      <c r="AH68" s="447"/>
      <c r="AI68" s="447"/>
      <c r="AJ68" s="447"/>
      <c r="AK68" s="447"/>
      <c r="AL68" s="447"/>
      <c r="AM68" s="447"/>
      <c r="AN68" s="447"/>
      <c r="AO68" s="447"/>
      <c r="AP68" s="447"/>
      <c r="AQ68" s="447"/>
      <c r="AR68" s="447"/>
      <c r="AS68" s="447"/>
      <c r="AT68" s="447"/>
      <c r="AU68" s="447"/>
      <c r="AV68" s="447"/>
      <c r="AW68" s="447"/>
      <c r="AX68" s="447"/>
      <c r="AY68" s="447"/>
      <c r="AZ68" s="447"/>
      <c r="BA68" s="447"/>
      <c r="BB68" s="447"/>
      <c r="BC68" s="447"/>
      <c r="BD68" s="447"/>
      <c r="BE68" s="447"/>
      <c r="BF68" s="447"/>
      <c r="BG68" s="447"/>
      <c r="BH68" s="447"/>
      <c r="BI68" s="447"/>
      <c r="BJ68" s="447"/>
      <c r="BK68" s="447"/>
      <c r="BL68" s="447"/>
      <c r="BM68" s="447"/>
      <c r="BN68" s="447"/>
      <c r="BO68" s="447"/>
      <c r="BP68" s="447"/>
      <c r="BQ68" s="447"/>
      <c r="BR68" s="447"/>
      <c r="BS68" s="447"/>
      <c r="BT68" s="447"/>
      <c r="BU68" s="447"/>
      <c r="BV68" s="447"/>
      <c r="BW68" s="447"/>
      <c r="BX68" s="447"/>
      <c r="BY68" s="447"/>
      <c r="BZ68" s="447"/>
      <c r="CA68" s="447"/>
      <c r="CB68" s="447"/>
      <c r="CC68" s="447"/>
      <c r="CD68" s="447"/>
      <c r="CE68" s="447"/>
      <c r="CF68" s="447"/>
      <c r="CG68" s="447"/>
      <c r="CH68" s="447"/>
      <c r="CI68" s="447"/>
      <c r="CJ68" s="447"/>
      <c r="CK68" s="447"/>
      <c r="CL68" s="447"/>
      <c r="CM68" s="447"/>
      <c r="CN68" s="447"/>
      <c r="CO68" s="447"/>
      <c r="CP68" s="447"/>
      <c r="CQ68" s="447"/>
      <c r="CR68" s="447"/>
      <c r="CS68" s="447"/>
      <c r="CT68" s="447"/>
      <c r="CU68" s="447"/>
      <c r="CV68" s="447"/>
      <c r="CW68" s="447"/>
      <c r="CX68" s="447"/>
      <c r="CY68" s="447"/>
      <c r="CZ68" s="447"/>
      <c r="DA68" s="447"/>
      <c r="DB68" s="447"/>
      <c r="DC68" s="447"/>
      <c r="DD68" s="447"/>
      <c r="DE68" s="447"/>
      <c r="DF68" s="447"/>
      <c r="DG68" s="447"/>
      <c r="DH68" s="447"/>
      <c r="DI68" s="447"/>
      <c r="DJ68" s="447"/>
      <c r="DK68" s="447"/>
      <c r="DL68" s="447"/>
      <c r="DM68" s="447"/>
      <c r="DN68" s="447"/>
      <c r="DO68" s="447"/>
      <c r="DP68" s="447"/>
      <c r="DQ68" s="447"/>
      <c r="DR68" s="447"/>
      <c r="DS68" s="447"/>
      <c r="DT68" s="447"/>
      <c r="DU68" s="447"/>
      <c r="DV68" s="447"/>
      <c r="DW68" s="447"/>
      <c r="DX68" s="447"/>
      <c r="DY68" s="447"/>
      <c r="DZ68" s="447"/>
      <c r="EA68" s="447"/>
      <c r="EB68" s="447"/>
      <c r="EC68" s="447"/>
      <c r="ED68" s="447"/>
      <c r="EE68" s="447"/>
      <c r="EF68" s="447"/>
      <c r="EG68" s="447"/>
      <c r="EH68" s="447"/>
      <c r="EI68" s="447"/>
      <c r="EJ68" s="447"/>
      <c r="EK68" s="447"/>
      <c r="EL68" s="447"/>
      <c r="EM68" s="447"/>
      <c r="EN68" s="447"/>
      <c r="EO68" s="447"/>
      <c r="EP68" s="447"/>
      <c r="EQ68" s="447"/>
      <c r="ER68" s="447"/>
      <c r="ES68" s="447"/>
      <c r="ET68" s="447"/>
      <c r="EU68" s="447"/>
      <c r="EV68" s="447"/>
      <c r="EW68" s="447"/>
      <c r="EX68" s="447"/>
      <c r="EY68" s="447"/>
      <c r="EZ68" s="447"/>
      <c r="FA68" s="447"/>
      <c r="FB68" s="447"/>
      <c r="FC68" s="447"/>
      <c r="FD68" s="447"/>
      <c r="FE68" s="447"/>
      <c r="FF68" s="447"/>
      <c r="FG68" s="447"/>
      <c r="FH68" s="447"/>
      <c r="FI68" s="447"/>
      <c r="FJ68" s="447"/>
      <c r="FK68" s="447"/>
      <c r="FL68" s="447"/>
      <c r="FM68" s="447"/>
      <c r="FN68" s="447"/>
      <c r="FO68" s="447"/>
      <c r="FP68" s="447"/>
      <c r="FQ68" s="447"/>
      <c r="FR68" s="447"/>
      <c r="FS68" s="447"/>
      <c r="FT68" s="447"/>
      <c r="FU68" s="447"/>
      <c r="FV68" s="447"/>
      <c r="FW68" s="447"/>
      <c r="FX68" s="447"/>
      <c r="FY68" s="447"/>
      <c r="FZ68" s="447"/>
      <c r="GA68" s="447"/>
      <c r="GB68" s="447"/>
      <c r="GC68" s="447"/>
      <c r="GD68" s="447"/>
      <c r="GE68" s="447"/>
      <c r="GF68" s="447"/>
      <c r="GG68" s="447"/>
      <c r="GH68" s="447"/>
      <c r="GI68" s="447"/>
      <c r="GJ68" s="447"/>
      <c r="GK68" s="447"/>
      <c r="GL68" s="447"/>
      <c r="GM68" s="447"/>
      <c r="GN68" s="447"/>
      <c r="GO68" s="447"/>
      <c r="GP68" s="447"/>
      <c r="GQ68" s="447"/>
      <c r="GR68" s="447"/>
      <c r="GS68" s="447"/>
      <c r="GT68" s="447"/>
      <c r="GU68" s="447"/>
      <c r="GV68" s="447"/>
      <c r="GW68" s="447"/>
      <c r="GX68" s="447"/>
      <c r="GY68" s="447"/>
      <c r="GZ68" s="447"/>
      <c r="HA68" s="447"/>
      <c r="HB68" s="447"/>
      <c r="HC68" s="447"/>
      <c r="HD68" s="447"/>
      <c r="HE68" s="447"/>
      <c r="HF68" s="447"/>
      <c r="HG68" s="447"/>
      <c r="HH68" s="447"/>
      <c r="HI68" s="447"/>
      <c r="HJ68" s="447"/>
      <c r="HK68" s="447"/>
      <c r="HL68" s="447"/>
      <c r="HM68" s="447"/>
      <c r="HN68" s="447"/>
      <c r="HO68" s="447"/>
      <c r="HP68" s="447"/>
      <c r="HQ68" s="447"/>
      <c r="HR68" s="447"/>
      <c r="HS68" s="447"/>
      <c r="HT68" s="447"/>
      <c r="HU68" s="447"/>
      <c r="HV68" s="447"/>
      <c r="HW68" s="447"/>
      <c r="HX68" s="447"/>
      <c r="HY68" s="447"/>
      <c r="HZ68" s="447"/>
      <c r="IA68" s="447"/>
      <c r="IB68" s="447"/>
      <c r="IC68" s="447"/>
      <c r="ID68" s="447"/>
      <c r="IE68" s="447"/>
      <c r="IF68" s="447"/>
      <c r="IG68" s="447"/>
      <c r="IH68" s="447"/>
      <c r="II68" s="447"/>
      <c r="IJ68" s="447"/>
      <c r="IK68" s="447"/>
      <c r="IL68" s="447"/>
      <c r="IM68" s="447"/>
      <c r="IN68" s="447"/>
      <c r="IO68" s="447"/>
      <c r="IP68" s="447"/>
      <c r="IQ68" s="447"/>
      <c r="IR68" s="447"/>
    </row>
    <row r="69" spans="1:252" ht="19.899999999999999" customHeight="1">
      <c r="A69" s="561">
        <v>56</v>
      </c>
      <c r="B69" s="562" t="s">
        <v>1455</v>
      </c>
      <c r="C69" s="563" t="s">
        <v>86</v>
      </c>
      <c r="D69" s="564">
        <v>0.76300000000000001</v>
      </c>
      <c r="E69" s="564">
        <v>0.76300000000000001</v>
      </c>
      <c r="F69" s="569">
        <f t="shared" si="0"/>
        <v>0</v>
      </c>
      <c r="G69" s="446"/>
      <c r="H69" s="447"/>
      <c r="I69" s="447"/>
      <c r="J69" s="449"/>
      <c r="K69" s="447"/>
      <c r="L69" s="447"/>
      <c r="M69" s="447"/>
      <c r="N69" s="447"/>
      <c r="O69" s="447"/>
      <c r="P69" s="447"/>
      <c r="Q69" s="447"/>
      <c r="R69" s="447"/>
      <c r="S69" s="447"/>
      <c r="T69" s="447"/>
      <c r="U69" s="447"/>
      <c r="V69" s="447"/>
      <c r="W69" s="447"/>
      <c r="X69" s="447"/>
      <c r="Y69" s="447"/>
      <c r="Z69" s="447"/>
      <c r="AA69" s="447"/>
      <c r="AB69" s="447"/>
      <c r="AC69" s="447"/>
      <c r="AD69" s="447"/>
      <c r="AE69" s="447"/>
      <c r="AF69" s="447"/>
      <c r="AG69" s="447"/>
      <c r="AH69" s="447"/>
      <c r="AI69" s="447"/>
      <c r="AJ69" s="447"/>
      <c r="AK69" s="447"/>
      <c r="AL69" s="447"/>
      <c r="AM69" s="447"/>
      <c r="AN69" s="447"/>
      <c r="AO69" s="447"/>
      <c r="AP69" s="447"/>
      <c r="AQ69" s="447"/>
      <c r="AR69" s="447"/>
      <c r="AS69" s="447"/>
      <c r="AT69" s="447"/>
      <c r="AU69" s="447"/>
      <c r="AV69" s="447"/>
      <c r="AW69" s="447"/>
      <c r="AX69" s="447"/>
      <c r="AY69" s="447"/>
      <c r="AZ69" s="447"/>
      <c r="BA69" s="447"/>
      <c r="BB69" s="447"/>
      <c r="BC69" s="447"/>
      <c r="BD69" s="447"/>
      <c r="BE69" s="447"/>
      <c r="BF69" s="447"/>
      <c r="BG69" s="447"/>
      <c r="BH69" s="447"/>
      <c r="BI69" s="447"/>
      <c r="BJ69" s="447"/>
      <c r="BK69" s="447"/>
      <c r="BL69" s="447"/>
      <c r="BM69" s="447"/>
      <c r="BN69" s="447"/>
      <c r="BO69" s="447"/>
      <c r="BP69" s="447"/>
      <c r="BQ69" s="447"/>
      <c r="BR69" s="447"/>
      <c r="BS69" s="447"/>
      <c r="BT69" s="447"/>
      <c r="BU69" s="447"/>
      <c r="BV69" s="447"/>
      <c r="BW69" s="447"/>
      <c r="BX69" s="447"/>
      <c r="BY69" s="447"/>
      <c r="BZ69" s="447"/>
      <c r="CA69" s="447"/>
      <c r="CB69" s="447"/>
      <c r="CC69" s="447"/>
      <c r="CD69" s="447"/>
      <c r="CE69" s="447"/>
      <c r="CF69" s="447"/>
      <c r="CG69" s="447"/>
      <c r="CH69" s="447"/>
      <c r="CI69" s="447"/>
      <c r="CJ69" s="447"/>
      <c r="CK69" s="447"/>
      <c r="CL69" s="447"/>
      <c r="CM69" s="447"/>
      <c r="CN69" s="447"/>
      <c r="CO69" s="447"/>
      <c r="CP69" s="447"/>
      <c r="CQ69" s="447"/>
      <c r="CR69" s="447"/>
      <c r="CS69" s="447"/>
      <c r="CT69" s="447"/>
      <c r="CU69" s="447"/>
      <c r="CV69" s="447"/>
      <c r="CW69" s="447"/>
      <c r="CX69" s="447"/>
      <c r="CY69" s="447"/>
      <c r="CZ69" s="447"/>
      <c r="DA69" s="447"/>
      <c r="DB69" s="447"/>
      <c r="DC69" s="447"/>
      <c r="DD69" s="447"/>
      <c r="DE69" s="447"/>
      <c r="DF69" s="447"/>
      <c r="DG69" s="447"/>
      <c r="DH69" s="447"/>
      <c r="DI69" s="447"/>
      <c r="DJ69" s="447"/>
      <c r="DK69" s="447"/>
      <c r="DL69" s="447"/>
      <c r="DM69" s="447"/>
      <c r="DN69" s="447"/>
      <c r="DO69" s="447"/>
      <c r="DP69" s="447"/>
      <c r="DQ69" s="447"/>
      <c r="DR69" s="447"/>
      <c r="DS69" s="447"/>
      <c r="DT69" s="447"/>
      <c r="DU69" s="447"/>
      <c r="DV69" s="447"/>
      <c r="DW69" s="447"/>
      <c r="DX69" s="447"/>
      <c r="DY69" s="447"/>
      <c r="DZ69" s="447"/>
      <c r="EA69" s="447"/>
      <c r="EB69" s="447"/>
      <c r="EC69" s="447"/>
      <c r="ED69" s="447"/>
      <c r="EE69" s="447"/>
      <c r="EF69" s="447"/>
      <c r="EG69" s="447"/>
      <c r="EH69" s="447"/>
      <c r="EI69" s="447"/>
      <c r="EJ69" s="447"/>
      <c r="EK69" s="447"/>
      <c r="EL69" s="447"/>
      <c r="EM69" s="447"/>
      <c r="EN69" s="447"/>
      <c r="EO69" s="447"/>
      <c r="EP69" s="447"/>
      <c r="EQ69" s="447"/>
      <c r="ER69" s="447"/>
      <c r="ES69" s="447"/>
      <c r="ET69" s="447"/>
      <c r="EU69" s="447"/>
      <c r="EV69" s="447"/>
      <c r="EW69" s="447"/>
      <c r="EX69" s="447"/>
      <c r="EY69" s="447"/>
      <c r="EZ69" s="447"/>
      <c r="FA69" s="447"/>
      <c r="FB69" s="447"/>
      <c r="FC69" s="447"/>
      <c r="FD69" s="447"/>
      <c r="FE69" s="447"/>
      <c r="FF69" s="447"/>
      <c r="FG69" s="447"/>
      <c r="FH69" s="447"/>
      <c r="FI69" s="447"/>
      <c r="FJ69" s="447"/>
      <c r="FK69" s="447"/>
      <c r="FL69" s="447"/>
      <c r="FM69" s="447"/>
      <c r="FN69" s="447"/>
      <c r="FO69" s="447"/>
      <c r="FP69" s="447"/>
      <c r="FQ69" s="447"/>
      <c r="FR69" s="447"/>
      <c r="FS69" s="447"/>
      <c r="FT69" s="447"/>
      <c r="FU69" s="447"/>
      <c r="FV69" s="447"/>
      <c r="FW69" s="447"/>
      <c r="FX69" s="447"/>
      <c r="FY69" s="447"/>
      <c r="FZ69" s="447"/>
      <c r="GA69" s="447"/>
      <c r="GB69" s="447"/>
      <c r="GC69" s="447"/>
      <c r="GD69" s="447"/>
      <c r="GE69" s="447"/>
      <c r="GF69" s="447"/>
      <c r="GG69" s="447"/>
      <c r="GH69" s="447"/>
      <c r="GI69" s="447"/>
      <c r="GJ69" s="447"/>
      <c r="GK69" s="447"/>
      <c r="GL69" s="447"/>
      <c r="GM69" s="447"/>
      <c r="GN69" s="447"/>
      <c r="GO69" s="447"/>
      <c r="GP69" s="447"/>
      <c r="GQ69" s="447"/>
      <c r="GR69" s="447"/>
      <c r="GS69" s="447"/>
      <c r="GT69" s="447"/>
      <c r="GU69" s="447"/>
      <c r="GV69" s="447"/>
      <c r="GW69" s="447"/>
      <c r="GX69" s="447"/>
      <c r="GY69" s="447"/>
      <c r="GZ69" s="447"/>
      <c r="HA69" s="447"/>
      <c r="HB69" s="447"/>
      <c r="HC69" s="447"/>
      <c r="HD69" s="447"/>
      <c r="HE69" s="447"/>
      <c r="HF69" s="447"/>
      <c r="HG69" s="447"/>
      <c r="HH69" s="447"/>
      <c r="HI69" s="447"/>
      <c r="HJ69" s="447"/>
      <c r="HK69" s="447"/>
      <c r="HL69" s="447"/>
      <c r="HM69" s="447"/>
      <c r="HN69" s="447"/>
      <c r="HO69" s="447"/>
      <c r="HP69" s="447"/>
      <c r="HQ69" s="447"/>
      <c r="HR69" s="447"/>
      <c r="HS69" s="447"/>
      <c r="HT69" s="447"/>
      <c r="HU69" s="447"/>
      <c r="HV69" s="447"/>
      <c r="HW69" s="447"/>
      <c r="HX69" s="447"/>
      <c r="HY69" s="447"/>
      <c r="HZ69" s="447"/>
      <c r="IA69" s="447"/>
      <c r="IB69" s="447"/>
      <c r="IC69" s="447"/>
      <c r="ID69" s="447"/>
      <c r="IE69" s="447"/>
      <c r="IF69" s="447"/>
      <c r="IG69" s="447"/>
      <c r="IH69" s="447"/>
      <c r="II69" s="447"/>
      <c r="IJ69" s="447"/>
      <c r="IK69" s="447"/>
      <c r="IL69" s="447"/>
      <c r="IM69" s="447"/>
      <c r="IN69" s="447"/>
      <c r="IO69" s="447"/>
      <c r="IP69" s="447"/>
      <c r="IQ69" s="447"/>
      <c r="IR69" s="447"/>
    </row>
    <row r="70" spans="1:252" ht="31.5">
      <c r="A70" s="561">
        <v>57</v>
      </c>
      <c r="B70" s="562" t="s">
        <v>1456</v>
      </c>
      <c r="C70" s="563" t="s">
        <v>296</v>
      </c>
      <c r="D70" s="564">
        <v>0.1</v>
      </c>
      <c r="E70" s="564">
        <v>0.1</v>
      </c>
      <c r="F70" s="569">
        <f t="shared" si="0"/>
        <v>0</v>
      </c>
      <c r="G70" s="446"/>
      <c r="H70" s="447"/>
      <c r="I70" s="447"/>
      <c r="J70" s="449"/>
      <c r="K70" s="447"/>
      <c r="L70" s="447"/>
      <c r="M70" s="447"/>
      <c r="N70" s="447"/>
      <c r="O70" s="447"/>
      <c r="P70" s="447"/>
      <c r="Q70" s="447"/>
      <c r="R70" s="447"/>
      <c r="S70" s="447"/>
      <c r="T70" s="447"/>
      <c r="U70" s="447"/>
      <c r="V70" s="447"/>
      <c r="W70" s="447"/>
      <c r="X70" s="447"/>
      <c r="Y70" s="447"/>
      <c r="Z70" s="447"/>
      <c r="AA70" s="447"/>
      <c r="AB70" s="447"/>
      <c r="AC70" s="447"/>
      <c r="AD70" s="447"/>
      <c r="AE70" s="447"/>
      <c r="AF70" s="447"/>
      <c r="AG70" s="447"/>
      <c r="AH70" s="447"/>
      <c r="AI70" s="447"/>
      <c r="AJ70" s="447"/>
      <c r="AK70" s="447"/>
      <c r="AL70" s="447"/>
      <c r="AM70" s="447"/>
      <c r="AN70" s="447"/>
      <c r="AO70" s="447"/>
      <c r="AP70" s="447"/>
      <c r="AQ70" s="447"/>
      <c r="AR70" s="447"/>
      <c r="AS70" s="447"/>
      <c r="AT70" s="447"/>
      <c r="AU70" s="447"/>
      <c r="AV70" s="447"/>
      <c r="AW70" s="447"/>
      <c r="AX70" s="447"/>
      <c r="AY70" s="447"/>
      <c r="AZ70" s="447"/>
      <c r="BA70" s="447"/>
      <c r="BB70" s="447"/>
      <c r="BC70" s="447"/>
      <c r="BD70" s="447"/>
      <c r="BE70" s="447"/>
      <c r="BF70" s="447"/>
      <c r="BG70" s="447"/>
      <c r="BH70" s="447"/>
      <c r="BI70" s="447"/>
      <c r="BJ70" s="447"/>
      <c r="BK70" s="447"/>
      <c r="BL70" s="447"/>
      <c r="BM70" s="447"/>
      <c r="BN70" s="447"/>
      <c r="BO70" s="447"/>
      <c r="BP70" s="447"/>
      <c r="BQ70" s="447"/>
      <c r="BR70" s="447"/>
      <c r="BS70" s="447"/>
      <c r="BT70" s="447"/>
      <c r="BU70" s="447"/>
      <c r="BV70" s="447"/>
      <c r="BW70" s="447"/>
      <c r="BX70" s="447"/>
      <c r="BY70" s="447"/>
      <c r="BZ70" s="447"/>
      <c r="CA70" s="447"/>
      <c r="CB70" s="447"/>
      <c r="CC70" s="447"/>
      <c r="CD70" s="447"/>
      <c r="CE70" s="447"/>
      <c r="CF70" s="447"/>
      <c r="CG70" s="447"/>
      <c r="CH70" s="447"/>
      <c r="CI70" s="447"/>
      <c r="CJ70" s="447"/>
      <c r="CK70" s="447"/>
      <c r="CL70" s="447"/>
      <c r="CM70" s="447"/>
      <c r="CN70" s="447"/>
      <c r="CO70" s="447"/>
      <c r="CP70" s="447"/>
      <c r="CQ70" s="447"/>
      <c r="CR70" s="447"/>
      <c r="CS70" s="447"/>
      <c r="CT70" s="447"/>
      <c r="CU70" s="447"/>
      <c r="CV70" s="447"/>
      <c r="CW70" s="447"/>
      <c r="CX70" s="447"/>
      <c r="CY70" s="447"/>
      <c r="CZ70" s="447"/>
      <c r="DA70" s="447"/>
      <c r="DB70" s="447"/>
      <c r="DC70" s="447"/>
      <c r="DD70" s="447"/>
      <c r="DE70" s="447"/>
      <c r="DF70" s="447"/>
      <c r="DG70" s="447"/>
      <c r="DH70" s="447"/>
      <c r="DI70" s="447"/>
      <c r="DJ70" s="447"/>
      <c r="DK70" s="447"/>
      <c r="DL70" s="447"/>
      <c r="DM70" s="447"/>
      <c r="DN70" s="447"/>
      <c r="DO70" s="447"/>
      <c r="DP70" s="447"/>
      <c r="DQ70" s="447"/>
      <c r="DR70" s="447"/>
      <c r="DS70" s="447"/>
      <c r="DT70" s="447"/>
      <c r="DU70" s="447"/>
      <c r="DV70" s="447"/>
      <c r="DW70" s="447"/>
      <c r="DX70" s="447"/>
      <c r="DY70" s="447"/>
      <c r="DZ70" s="447"/>
      <c r="EA70" s="447"/>
      <c r="EB70" s="447"/>
      <c r="EC70" s="447"/>
      <c r="ED70" s="447"/>
      <c r="EE70" s="447"/>
      <c r="EF70" s="447"/>
      <c r="EG70" s="447"/>
      <c r="EH70" s="447"/>
      <c r="EI70" s="447"/>
      <c r="EJ70" s="447"/>
      <c r="EK70" s="447"/>
      <c r="EL70" s="447"/>
      <c r="EM70" s="447"/>
      <c r="EN70" s="447"/>
      <c r="EO70" s="447"/>
      <c r="EP70" s="447"/>
      <c r="EQ70" s="447"/>
      <c r="ER70" s="447"/>
      <c r="ES70" s="447"/>
      <c r="ET70" s="447"/>
      <c r="EU70" s="447"/>
      <c r="EV70" s="447"/>
      <c r="EW70" s="447"/>
      <c r="EX70" s="447"/>
      <c r="EY70" s="447"/>
      <c r="EZ70" s="447"/>
      <c r="FA70" s="447"/>
      <c r="FB70" s="447"/>
      <c r="FC70" s="447"/>
      <c r="FD70" s="447"/>
      <c r="FE70" s="447"/>
      <c r="FF70" s="447"/>
      <c r="FG70" s="447"/>
      <c r="FH70" s="447"/>
      <c r="FI70" s="447"/>
      <c r="FJ70" s="447"/>
      <c r="FK70" s="447"/>
      <c r="FL70" s="447"/>
      <c r="FM70" s="447"/>
      <c r="FN70" s="447"/>
      <c r="FO70" s="447"/>
      <c r="FP70" s="447"/>
      <c r="FQ70" s="447"/>
      <c r="FR70" s="447"/>
      <c r="FS70" s="447"/>
      <c r="FT70" s="447"/>
      <c r="FU70" s="447"/>
      <c r="FV70" s="447"/>
      <c r="FW70" s="447"/>
      <c r="FX70" s="447"/>
      <c r="FY70" s="447"/>
      <c r="FZ70" s="447"/>
      <c r="GA70" s="447"/>
      <c r="GB70" s="447"/>
      <c r="GC70" s="447"/>
      <c r="GD70" s="447"/>
      <c r="GE70" s="447"/>
      <c r="GF70" s="447"/>
      <c r="GG70" s="447"/>
      <c r="GH70" s="447"/>
      <c r="GI70" s="447"/>
      <c r="GJ70" s="447"/>
      <c r="GK70" s="447"/>
      <c r="GL70" s="447"/>
      <c r="GM70" s="447"/>
      <c r="GN70" s="447"/>
      <c r="GO70" s="447"/>
      <c r="GP70" s="447"/>
      <c r="GQ70" s="447"/>
      <c r="GR70" s="447"/>
      <c r="GS70" s="447"/>
      <c r="GT70" s="447"/>
      <c r="GU70" s="447"/>
      <c r="GV70" s="447"/>
      <c r="GW70" s="447"/>
      <c r="GX70" s="447"/>
      <c r="GY70" s="447"/>
      <c r="GZ70" s="447"/>
      <c r="HA70" s="447"/>
      <c r="HB70" s="447"/>
      <c r="HC70" s="447"/>
      <c r="HD70" s="447"/>
      <c r="HE70" s="447"/>
      <c r="HF70" s="447"/>
      <c r="HG70" s="447"/>
      <c r="HH70" s="447"/>
      <c r="HI70" s="447"/>
      <c r="HJ70" s="447"/>
      <c r="HK70" s="447"/>
      <c r="HL70" s="447"/>
      <c r="HM70" s="447"/>
      <c r="HN70" s="447"/>
      <c r="HO70" s="447"/>
      <c r="HP70" s="447"/>
      <c r="HQ70" s="447"/>
      <c r="HR70" s="447"/>
      <c r="HS70" s="447"/>
      <c r="HT70" s="447"/>
      <c r="HU70" s="447"/>
      <c r="HV70" s="447"/>
      <c r="HW70" s="447"/>
      <c r="HX70" s="447"/>
      <c r="HY70" s="447"/>
      <c r="HZ70" s="447"/>
      <c r="IA70" s="447"/>
      <c r="IB70" s="447"/>
      <c r="IC70" s="447"/>
      <c r="ID70" s="447"/>
      <c r="IE70" s="447"/>
      <c r="IF70" s="447"/>
      <c r="IG70" s="447"/>
      <c r="IH70" s="447"/>
      <c r="II70" s="447"/>
      <c r="IJ70" s="447"/>
      <c r="IK70" s="447"/>
      <c r="IL70" s="447"/>
      <c r="IM70" s="447"/>
      <c r="IN70" s="447"/>
      <c r="IO70" s="447"/>
      <c r="IP70" s="447"/>
      <c r="IQ70" s="447"/>
      <c r="IR70" s="447"/>
    </row>
    <row r="71" spans="1:252" ht="31.5">
      <c r="A71" s="561">
        <v>58</v>
      </c>
      <c r="B71" s="562" t="s">
        <v>1457</v>
      </c>
      <c r="C71" s="563" t="s">
        <v>427</v>
      </c>
      <c r="D71" s="564">
        <v>8</v>
      </c>
      <c r="E71" s="564">
        <v>8</v>
      </c>
      <c r="F71" s="569">
        <f t="shared" si="0"/>
        <v>0</v>
      </c>
      <c r="G71" s="446"/>
      <c r="H71" s="447"/>
      <c r="I71" s="447"/>
      <c r="J71" s="449"/>
      <c r="K71" s="447"/>
      <c r="L71" s="447"/>
      <c r="M71" s="447"/>
      <c r="N71" s="447"/>
      <c r="O71" s="447"/>
      <c r="P71" s="447"/>
      <c r="Q71" s="447"/>
      <c r="R71" s="447"/>
      <c r="S71" s="447"/>
      <c r="T71" s="447"/>
      <c r="U71" s="447"/>
      <c r="V71" s="447"/>
      <c r="W71" s="447"/>
      <c r="X71" s="447"/>
      <c r="Y71" s="447"/>
      <c r="Z71" s="447"/>
      <c r="AA71" s="447"/>
      <c r="AB71" s="447"/>
      <c r="AC71" s="447"/>
      <c r="AD71" s="447"/>
      <c r="AE71" s="447"/>
      <c r="AF71" s="447"/>
      <c r="AG71" s="447"/>
      <c r="AH71" s="447"/>
      <c r="AI71" s="447"/>
      <c r="AJ71" s="447"/>
      <c r="AK71" s="447"/>
      <c r="AL71" s="447"/>
      <c r="AM71" s="447"/>
      <c r="AN71" s="447"/>
      <c r="AO71" s="447"/>
      <c r="AP71" s="447"/>
      <c r="AQ71" s="447"/>
      <c r="AR71" s="447"/>
      <c r="AS71" s="447"/>
      <c r="AT71" s="447"/>
      <c r="AU71" s="447"/>
      <c r="AV71" s="447"/>
      <c r="AW71" s="447"/>
      <c r="AX71" s="447"/>
      <c r="AY71" s="447"/>
      <c r="AZ71" s="447"/>
      <c r="BA71" s="447"/>
      <c r="BB71" s="447"/>
      <c r="BC71" s="447"/>
      <c r="BD71" s="447"/>
      <c r="BE71" s="447"/>
      <c r="BF71" s="447"/>
      <c r="BG71" s="447"/>
      <c r="BH71" s="447"/>
      <c r="BI71" s="447"/>
      <c r="BJ71" s="447"/>
      <c r="BK71" s="447"/>
      <c r="BL71" s="447"/>
      <c r="BM71" s="447"/>
      <c r="BN71" s="447"/>
      <c r="BO71" s="447"/>
      <c r="BP71" s="447"/>
      <c r="BQ71" s="447"/>
      <c r="BR71" s="447"/>
      <c r="BS71" s="447"/>
      <c r="BT71" s="447"/>
      <c r="BU71" s="447"/>
      <c r="BV71" s="447"/>
      <c r="BW71" s="447"/>
      <c r="BX71" s="447"/>
      <c r="BY71" s="447"/>
      <c r="BZ71" s="447"/>
      <c r="CA71" s="447"/>
      <c r="CB71" s="447"/>
      <c r="CC71" s="447"/>
      <c r="CD71" s="447"/>
      <c r="CE71" s="447"/>
      <c r="CF71" s="447"/>
      <c r="CG71" s="447"/>
      <c r="CH71" s="447"/>
      <c r="CI71" s="447"/>
      <c r="CJ71" s="447"/>
      <c r="CK71" s="447"/>
      <c r="CL71" s="447"/>
      <c r="CM71" s="447"/>
      <c r="CN71" s="447"/>
      <c r="CO71" s="447"/>
      <c r="CP71" s="447"/>
      <c r="CQ71" s="447"/>
      <c r="CR71" s="447"/>
      <c r="CS71" s="447"/>
      <c r="CT71" s="447"/>
      <c r="CU71" s="447"/>
      <c r="CV71" s="447"/>
      <c r="CW71" s="447"/>
      <c r="CX71" s="447"/>
      <c r="CY71" s="447"/>
      <c r="CZ71" s="447"/>
      <c r="DA71" s="447"/>
      <c r="DB71" s="447"/>
      <c r="DC71" s="447"/>
      <c r="DD71" s="447"/>
      <c r="DE71" s="447"/>
      <c r="DF71" s="447"/>
      <c r="DG71" s="447"/>
      <c r="DH71" s="447"/>
      <c r="DI71" s="447"/>
      <c r="DJ71" s="447"/>
      <c r="DK71" s="447"/>
      <c r="DL71" s="447"/>
      <c r="DM71" s="447"/>
      <c r="DN71" s="447"/>
      <c r="DO71" s="447"/>
      <c r="DP71" s="447"/>
      <c r="DQ71" s="447"/>
      <c r="DR71" s="447"/>
      <c r="DS71" s="447"/>
      <c r="DT71" s="447"/>
      <c r="DU71" s="447"/>
      <c r="DV71" s="447"/>
      <c r="DW71" s="447"/>
      <c r="DX71" s="447"/>
      <c r="DY71" s="447"/>
      <c r="DZ71" s="447"/>
      <c r="EA71" s="447"/>
      <c r="EB71" s="447"/>
      <c r="EC71" s="447"/>
      <c r="ED71" s="447"/>
      <c r="EE71" s="447"/>
      <c r="EF71" s="447"/>
      <c r="EG71" s="447"/>
      <c r="EH71" s="447"/>
      <c r="EI71" s="447"/>
      <c r="EJ71" s="447"/>
      <c r="EK71" s="447"/>
      <c r="EL71" s="447"/>
      <c r="EM71" s="447"/>
      <c r="EN71" s="447"/>
      <c r="EO71" s="447"/>
      <c r="EP71" s="447"/>
      <c r="EQ71" s="447"/>
      <c r="ER71" s="447"/>
      <c r="ES71" s="447"/>
      <c r="ET71" s="447"/>
      <c r="EU71" s="447"/>
      <c r="EV71" s="447"/>
      <c r="EW71" s="447"/>
      <c r="EX71" s="447"/>
      <c r="EY71" s="447"/>
      <c r="EZ71" s="447"/>
      <c r="FA71" s="447"/>
      <c r="FB71" s="447"/>
      <c r="FC71" s="447"/>
      <c r="FD71" s="447"/>
      <c r="FE71" s="447"/>
      <c r="FF71" s="447"/>
      <c r="FG71" s="447"/>
      <c r="FH71" s="447"/>
      <c r="FI71" s="447"/>
      <c r="FJ71" s="447"/>
      <c r="FK71" s="447"/>
      <c r="FL71" s="447"/>
      <c r="FM71" s="447"/>
      <c r="FN71" s="447"/>
      <c r="FO71" s="447"/>
      <c r="FP71" s="447"/>
      <c r="FQ71" s="447"/>
      <c r="FR71" s="447"/>
      <c r="FS71" s="447"/>
      <c r="FT71" s="447"/>
      <c r="FU71" s="447"/>
      <c r="FV71" s="447"/>
      <c r="FW71" s="447"/>
      <c r="FX71" s="447"/>
      <c r="FY71" s="447"/>
      <c r="FZ71" s="447"/>
      <c r="GA71" s="447"/>
      <c r="GB71" s="447"/>
      <c r="GC71" s="447"/>
      <c r="GD71" s="447"/>
      <c r="GE71" s="447"/>
      <c r="GF71" s="447"/>
      <c r="GG71" s="447"/>
      <c r="GH71" s="447"/>
      <c r="GI71" s="447"/>
      <c r="GJ71" s="447"/>
      <c r="GK71" s="447"/>
      <c r="GL71" s="447"/>
      <c r="GM71" s="447"/>
      <c r="GN71" s="447"/>
      <c r="GO71" s="447"/>
      <c r="GP71" s="447"/>
      <c r="GQ71" s="447"/>
      <c r="GR71" s="447"/>
      <c r="GS71" s="447"/>
      <c r="GT71" s="447"/>
      <c r="GU71" s="447"/>
      <c r="GV71" s="447"/>
      <c r="GW71" s="447"/>
      <c r="GX71" s="447"/>
      <c r="GY71" s="447"/>
      <c r="GZ71" s="447"/>
      <c r="HA71" s="447"/>
      <c r="HB71" s="447"/>
      <c r="HC71" s="447"/>
      <c r="HD71" s="447"/>
      <c r="HE71" s="447"/>
      <c r="HF71" s="447"/>
      <c r="HG71" s="447"/>
      <c r="HH71" s="447"/>
      <c r="HI71" s="447"/>
      <c r="HJ71" s="447"/>
      <c r="HK71" s="447"/>
      <c r="HL71" s="447"/>
      <c r="HM71" s="447"/>
      <c r="HN71" s="447"/>
      <c r="HO71" s="447"/>
      <c r="HP71" s="447"/>
      <c r="HQ71" s="447"/>
      <c r="HR71" s="447"/>
      <c r="HS71" s="447"/>
      <c r="HT71" s="447"/>
      <c r="HU71" s="447"/>
      <c r="HV71" s="447"/>
      <c r="HW71" s="447"/>
      <c r="HX71" s="447"/>
      <c r="HY71" s="447"/>
      <c r="HZ71" s="447"/>
      <c r="IA71" s="447"/>
      <c r="IB71" s="447"/>
      <c r="IC71" s="447"/>
      <c r="ID71" s="447"/>
      <c r="IE71" s="447"/>
      <c r="IF71" s="447"/>
      <c r="IG71" s="447"/>
      <c r="IH71" s="447"/>
      <c r="II71" s="447"/>
      <c r="IJ71" s="447"/>
      <c r="IK71" s="447"/>
      <c r="IL71" s="447"/>
      <c r="IM71" s="447"/>
      <c r="IN71" s="447"/>
      <c r="IO71" s="447"/>
      <c r="IP71" s="447"/>
      <c r="IQ71" s="447"/>
      <c r="IR71" s="447"/>
    </row>
    <row r="72" spans="1:252" ht="19.899999999999999" customHeight="1">
      <c r="A72" s="561">
        <v>59</v>
      </c>
      <c r="B72" s="562" t="s">
        <v>1468</v>
      </c>
      <c r="C72" s="563" t="s">
        <v>116</v>
      </c>
      <c r="D72" s="564">
        <v>7.4</v>
      </c>
      <c r="E72" s="564">
        <v>7.4</v>
      </c>
      <c r="F72" s="569">
        <f t="shared" si="0"/>
        <v>0</v>
      </c>
      <c r="G72" s="446"/>
      <c r="H72" s="447"/>
      <c r="I72" s="447"/>
      <c r="J72" s="449"/>
      <c r="K72" s="447"/>
      <c r="L72" s="447"/>
      <c r="M72" s="447"/>
      <c r="N72" s="447"/>
      <c r="O72" s="447"/>
      <c r="P72" s="447"/>
      <c r="Q72" s="447"/>
      <c r="R72" s="447"/>
      <c r="S72" s="447"/>
      <c r="T72" s="447"/>
      <c r="U72" s="447"/>
      <c r="V72" s="447"/>
      <c r="W72" s="447"/>
      <c r="X72" s="447"/>
      <c r="Y72" s="447"/>
      <c r="Z72" s="447"/>
      <c r="AA72" s="447"/>
      <c r="AB72" s="447"/>
      <c r="AC72" s="447"/>
      <c r="AD72" s="447"/>
      <c r="AE72" s="447"/>
      <c r="AF72" s="447"/>
      <c r="AG72" s="447"/>
      <c r="AH72" s="447"/>
      <c r="AI72" s="447"/>
      <c r="AJ72" s="447"/>
      <c r="AK72" s="447"/>
      <c r="AL72" s="447"/>
      <c r="AM72" s="447"/>
      <c r="AN72" s="447"/>
      <c r="AO72" s="447"/>
      <c r="AP72" s="447"/>
      <c r="AQ72" s="447"/>
      <c r="AR72" s="447"/>
      <c r="AS72" s="447"/>
      <c r="AT72" s="447"/>
      <c r="AU72" s="447"/>
      <c r="AV72" s="447"/>
      <c r="AW72" s="447"/>
      <c r="AX72" s="447"/>
      <c r="AY72" s="447"/>
      <c r="AZ72" s="447"/>
      <c r="BA72" s="447"/>
      <c r="BB72" s="447"/>
      <c r="BC72" s="447"/>
      <c r="BD72" s="447"/>
      <c r="BE72" s="447"/>
      <c r="BF72" s="447"/>
      <c r="BG72" s="447"/>
      <c r="BH72" s="447"/>
      <c r="BI72" s="447"/>
      <c r="BJ72" s="447"/>
      <c r="BK72" s="447"/>
      <c r="BL72" s="447"/>
      <c r="BM72" s="447"/>
      <c r="BN72" s="447"/>
      <c r="BO72" s="447"/>
      <c r="BP72" s="447"/>
      <c r="BQ72" s="447"/>
      <c r="BR72" s="447"/>
      <c r="BS72" s="447"/>
      <c r="BT72" s="447"/>
      <c r="BU72" s="447"/>
      <c r="BV72" s="447"/>
      <c r="BW72" s="447"/>
      <c r="BX72" s="447"/>
      <c r="BY72" s="447"/>
      <c r="BZ72" s="447"/>
      <c r="CA72" s="447"/>
      <c r="CB72" s="447"/>
      <c r="CC72" s="447"/>
      <c r="CD72" s="447"/>
      <c r="CE72" s="447"/>
      <c r="CF72" s="447"/>
      <c r="CG72" s="447"/>
      <c r="CH72" s="447"/>
      <c r="CI72" s="447"/>
      <c r="CJ72" s="447"/>
      <c r="CK72" s="447"/>
      <c r="CL72" s="447"/>
      <c r="CM72" s="447"/>
      <c r="CN72" s="447"/>
      <c r="CO72" s="447"/>
      <c r="CP72" s="447"/>
      <c r="CQ72" s="447"/>
      <c r="CR72" s="447"/>
      <c r="CS72" s="447"/>
      <c r="CT72" s="447"/>
      <c r="CU72" s="447"/>
      <c r="CV72" s="447"/>
      <c r="CW72" s="447"/>
      <c r="CX72" s="447"/>
      <c r="CY72" s="447"/>
      <c r="CZ72" s="447"/>
      <c r="DA72" s="447"/>
      <c r="DB72" s="447"/>
      <c r="DC72" s="447"/>
      <c r="DD72" s="447"/>
      <c r="DE72" s="447"/>
      <c r="DF72" s="447"/>
      <c r="DG72" s="447"/>
      <c r="DH72" s="447"/>
      <c r="DI72" s="447"/>
      <c r="DJ72" s="447"/>
      <c r="DK72" s="447"/>
      <c r="DL72" s="447"/>
      <c r="DM72" s="447"/>
      <c r="DN72" s="447"/>
      <c r="DO72" s="447"/>
      <c r="DP72" s="447"/>
      <c r="DQ72" s="447"/>
      <c r="DR72" s="447"/>
      <c r="DS72" s="447"/>
      <c r="DT72" s="447"/>
      <c r="DU72" s="447"/>
      <c r="DV72" s="447"/>
      <c r="DW72" s="447"/>
      <c r="DX72" s="447"/>
      <c r="DY72" s="447"/>
      <c r="DZ72" s="447"/>
      <c r="EA72" s="447"/>
      <c r="EB72" s="447"/>
      <c r="EC72" s="447"/>
      <c r="ED72" s="447"/>
      <c r="EE72" s="447"/>
      <c r="EF72" s="447"/>
      <c r="EG72" s="447"/>
      <c r="EH72" s="447"/>
      <c r="EI72" s="447"/>
      <c r="EJ72" s="447"/>
      <c r="EK72" s="447"/>
      <c r="EL72" s="447"/>
      <c r="EM72" s="447"/>
      <c r="EN72" s="447"/>
      <c r="EO72" s="447"/>
      <c r="EP72" s="447"/>
      <c r="EQ72" s="447"/>
      <c r="ER72" s="447"/>
      <c r="ES72" s="447"/>
      <c r="ET72" s="447"/>
      <c r="EU72" s="447"/>
      <c r="EV72" s="447"/>
      <c r="EW72" s="447"/>
      <c r="EX72" s="447"/>
      <c r="EY72" s="447"/>
      <c r="EZ72" s="447"/>
      <c r="FA72" s="447"/>
      <c r="FB72" s="447"/>
      <c r="FC72" s="447"/>
      <c r="FD72" s="447"/>
      <c r="FE72" s="447"/>
      <c r="FF72" s="447"/>
      <c r="FG72" s="447"/>
      <c r="FH72" s="447"/>
      <c r="FI72" s="447"/>
      <c r="FJ72" s="447"/>
      <c r="FK72" s="447"/>
      <c r="FL72" s="447"/>
      <c r="FM72" s="447"/>
      <c r="FN72" s="447"/>
      <c r="FO72" s="447"/>
      <c r="FP72" s="447"/>
      <c r="FQ72" s="447"/>
      <c r="FR72" s="447"/>
      <c r="FS72" s="447"/>
      <c r="FT72" s="447"/>
      <c r="FU72" s="447"/>
      <c r="FV72" s="447"/>
      <c r="FW72" s="447"/>
      <c r="FX72" s="447"/>
      <c r="FY72" s="447"/>
      <c r="FZ72" s="447"/>
      <c r="GA72" s="447"/>
      <c r="GB72" s="447"/>
      <c r="GC72" s="447"/>
      <c r="GD72" s="447"/>
      <c r="GE72" s="447"/>
      <c r="GF72" s="447"/>
      <c r="GG72" s="447"/>
      <c r="GH72" s="447"/>
      <c r="GI72" s="447"/>
      <c r="GJ72" s="447"/>
      <c r="GK72" s="447"/>
      <c r="GL72" s="447"/>
      <c r="GM72" s="447"/>
      <c r="GN72" s="447"/>
      <c r="GO72" s="447"/>
      <c r="GP72" s="447"/>
      <c r="GQ72" s="447"/>
      <c r="GR72" s="447"/>
      <c r="GS72" s="447"/>
      <c r="GT72" s="447"/>
      <c r="GU72" s="447"/>
      <c r="GV72" s="447"/>
      <c r="GW72" s="447"/>
      <c r="GX72" s="447"/>
      <c r="GY72" s="447"/>
      <c r="GZ72" s="447"/>
      <c r="HA72" s="447"/>
      <c r="HB72" s="447"/>
      <c r="HC72" s="447"/>
      <c r="HD72" s="447"/>
      <c r="HE72" s="447"/>
      <c r="HF72" s="447"/>
      <c r="HG72" s="447"/>
      <c r="HH72" s="447"/>
      <c r="HI72" s="447"/>
      <c r="HJ72" s="447"/>
      <c r="HK72" s="447"/>
      <c r="HL72" s="447"/>
      <c r="HM72" s="447"/>
      <c r="HN72" s="447"/>
      <c r="HO72" s="447"/>
      <c r="HP72" s="447"/>
      <c r="HQ72" s="447"/>
      <c r="HR72" s="447"/>
      <c r="HS72" s="447"/>
      <c r="HT72" s="447"/>
      <c r="HU72" s="447"/>
      <c r="HV72" s="447"/>
      <c r="HW72" s="447"/>
      <c r="HX72" s="447"/>
      <c r="HY72" s="447"/>
      <c r="HZ72" s="447"/>
      <c r="IA72" s="447"/>
      <c r="IB72" s="447"/>
      <c r="IC72" s="447"/>
      <c r="ID72" s="447"/>
      <c r="IE72" s="447"/>
      <c r="IF72" s="447"/>
      <c r="IG72" s="447"/>
      <c r="IH72" s="447"/>
      <c r="II72" s="447"/>
      <c r="IJ72" s="447"/>
      <c r="IK72" s="447"/>
      <c r="IL72" s="447"/>
      <c r="IM72" s="447"/>
      <c r="IN72" s="447"/>
      <c r="IO72" s="447"/>
      <c r="IP72" s="447"/>
      <c r="IQ72" s="447"/>
      <c r="IR72" s="447"/>
    </row>
    <row r="73" spans="1:252" ht="19.899999999999999" customHeight="1">
      <c r="A73" s="561">
        <v>60</v>
      </c>
      <c r="B73" s="562" t="s">
        <v>1458</v>
      </c>
      <c r="C73" s="563" t="s">
        <v>427</v>
      </c>
      <c r="D73" s="564">
        <v>8</v>
      </c>
      <c r="E73" s="564">
        <v>8</v>
      </c>
      <c r="F73" s="569">
        <f t="shared" si="0"/>
        <v>0</v>
      </c>
      <c r="G73" s="446"/>
      <c r="H73" s="447"/>
      <c r="I73" s="447"/>
      <c r="J73" s="449"/>
      <c r="K73" s="447"/>
      <c r="L73" s="447"/>
      <c r="M73" s="447"/>
      <c r="N73" s="447"/>
      <c r="O73" s="456"/>
      <c r="P73" s="447"/>
      <c r="Q73" s="447"/>
      <c r="R73" s="447"/>
      <c r="S73" s="447"/>
      <c r="T73" s="447"/>
      <c r="U73" s="447"/>
      <c r="V73" s="447"/>
      <c r="W73" s="447"/>
      <c r="X73" s="447"/>
      <c r="Y73" s="447"/>
      <c r="Z73" s="447"/>
      <c r="AA73" s="447"/>
      <c r="AB73" s="447"/>
      <c r="AC73" s="447"/>
      <c r="AD73" s="447"/>
      <c r="AE73" s="447"/>
      <c r="AF73" s="447"/>
      <c r="AG73" s="447"/>
      <c r="AH73" s="447"/>
      <c r="AI73" s="447"/>
      <c r="AJ73" s="447"/>
      <c r="AK73" s="447"/>
      <c r="AL73" s="447"/>
      <c r="AM73" s="447"/>
      <c r="AN73" s="447"/>
      <c r="AO73" s="447"/>
      <c r="AP73" s="447"/>
      <c r="AQ73" s="447"/>
      <c r="AR73" s="447"/>
      <c r="AS73" s="447"/>
      <c r="AT73" s="447"/>
      <c r="AU73" s="447"/>
      <c r="AV73" s="447"/>
      <c r="AW73" s="447"/>
      <c r="AX73" s="447"/>
      <c r="AY73" s="447"/>
      <c r="AZ73" s="447"/>
      <c r="BA73" s="447"/>
      <c r="BB73" s="447"/>
      <c r="BC73" s="447"/>
      <c r="BD73" s="447"/>
      <c r="BE73" s="447"/>
      <c r="BF73" s="447"/>
      <c r="BG73" s="447"/>
      <c r="BH73" s="447"/>
      <c r="BI73" s="447"/>
      <c r="BJ73" s="447"/>
      <c r="BK73" s="447"/>
      <c r="BL73" s="447"/>
      <c r="BM73" s="447"/>
      <c r="BN73" s="447"/>
      <c r="BO73" s="447"/>
      <c r="BP73" s="447"/>
      <c r="BQ73" s="447"/>
      <c r="BR73" s="447"/>
      <c r="BS73" s="447"/>
      <c r="BT73" s="447"/>
      <c r="BU73" s="447"/>
      <c r="BV73" s="447"/>
      <c r="BW73" s="447"/>
      <c r="BX73" s="447"/>
      <c r="BY73" s="447"/>
      <c r="BZ73" s="447"/>
      <c r="CA73" s="447"/>
      <c r="CB73" s="447"/>
      <c r="CC73" s="447"/>
      <c r="CD73" s="447"/>
      <c r="CE73" s="447"/>
      <c r="CF73" s="447"/>
      <c r="CG73" s="447"/>
      <c r="CH73" s="447"/>
      <c r="CI73" s="447"/>
      <c r="CJ73" s="447"/>
      <c r="CK73" s="447"/>
      <c r="CL73" s="447"/>
      <c r="CM73" s="447"/>
      <c r="CN73" s="447"/>
      <c r="CO73" s="447"/>
      <c r="CP73" s="447"/>
      <c r="CQ73" s="447"/>
      <c r="CR73" s="447"/>
      <c r="CS73" s="447"/>
      <c r="CT73" s="447"/>
      <c r="CU73" s="447"/>
      <c r="CV73" s="447"/>
      <c r="CW73" s="447"/>
      <c r="CX73" s="447"/>
      <c r="CY73" s="447"/>
      <c r="CZ73" s="447"/>
      <c r="DA73" s="447"/>
      <c r="DB73" s="447"/>
      <c r="DC73" s="447"/>
      <c r="DD73" s="447"/>
      <c r="DE73" s="447"/>
      <c r="DF73" s="447"/>
      <c r="DG73" s="447"/>
      <c r="DH73" s="447"/>
      <c r="DI73" s="447"/>
      <c r="DJ73" s="447"/>
      <c r="DK73" s="447"/>
      <c r="DL73" s="447"/>
      <c r="DM73" s="447"/>
      <c r="DN73" s="447"/>
      <c r="DO73" s="447"/>
      <c r="DP73" s="447"/>
      <c r="DQ73" s="447"/>
      <c r="DR73" s="447"/>
      <c r="DS73" s="447"/>
      <c r="DT73" s="447"/>
      <c r="DU73" s="447"/>
      <c r="DV73" s="447"/>
      <c r="DW73" s="447"/>
      <c r="DX73" s="447"/>
      <c r="DY73" s="447"/>
      <c r="DZ73" s="447"/>
      <c r="EA73" s="447"/>
      <c r="EB73" s="447"/>
      <c r="EC73" s="447"/>
      <c r="ED73" s="447"/>
      <c r="EE73" s="447"/>
      <c r="EF73" s="447"/>
      <c r="EG73" s="447"/>
      <c r="EH73" s="447"/>
      <c r="EI73" s="447"/>
      <c r="EJ73" s="447"/>
      <c r="EK73" s="447"/>
      <c r="EL73" s="447"/>
      <c r="EM73" s="447"/>
      <c r="EN73" s="447"/>
      <c r="EO73" s="447"/>
      <c r="EP73" s="447"/>
      <c r="EQ73" s="447"/>
      <c r="ER73" s="447"/>
      <c r="ES73" s="447"/>
      <c r="ET73" s="447"/>
      <c r="EU73" s="447"/>
      <c r="EV73" s="447"/>
      <c r="EW73" s="447"/>
      <c r="EX73" s="447"/>
      <c r="EY73" s="447"/>
      <c r="EZ73" s="447"/>
      <c r="FA73" s="447"/>
      <c r="FB73" s="447"/>
      <c r="FC73" s="447"/>
      <c r="FD73" s="447"/>
      <c r="FE73" s="447"/>
      <c r="FF73" s="447"/>
      <c r="FG73" s="447"/>
      <c r="FH73" s="447"/>
      <c r="FI73" s="447"/>
      <c r="FJ73" s="447"/>
      <c r="FK73" s="447"/>
      <c r="FL73" s="447"/>
      <c r="FM73" s="447"/>
      <c r="FN73" s="447"/>
      <c r="FO73" s="447"/>
      <c r="FP73" s="447"/>
      <c r="FQ73" s="447"/>
      <c r="FR73" s="447"/>
      <c r="FS73" s="447"/>
      <c r="FT73" s="447"/>
      <c r="FU73" s="447"/>
      <c r="FV73" s="447"/>
      <c r="FW73" s="447"/>
      <c r="FX73" s="447"/>
      <c r="FY73" s="447"/>
      <c r="FZ73" s="447"/>
      <c r="GA73" s="447"/>
      <c r="GB73" s="447"/>
      <c r="GC73" s="447"/>
      <c r="GD73" s="447"/>
      <c r="GE73" s="447"/>
      <c r="GF73" s="447"/>
      <c r="GG73" s="447"/>
      <c r="GH73" s="447"/>
      <c r="GI73" s="447"/>
      <c r="GJ73" s="447"/>
      <c r="GK73" s="447"/>
      <c r="GL73" s="447"/>
      <c r="GM73" s="447"/>
      <c r="GN73" s="447"/>
      <c r="GO73" s="447"/>
      <c r="GP73" s="447"/>
      <c r="GQ73" s="447"/>
      <c r="GR73" s="447"/>
      <c r="GS73" s="447"/>
      <c r="GT73" s="447"/>
      <c r="GU73" s="447"/>
      <c r="GV73" s="447"/>
      <c r="GW73" s="447"/>
      <c r="GX73" s="447"/>
      <c r="GY73" s="447"/>
      <c r="GZ73" s="447"/>
      <c r="HA73" s="447"/>
      <c r="HB73" s="447"/>
      <c r="HC73" s="447"/>
      <c r="HD73" s="447"/>
      <c r="HE73" s="447"/>
      <c r="HF73" s="447"/>
      <c r="HG73" s="447"/>
      <c r="HH73" s="447"/>
      <c r="HI73" s="447"/>
      <c r="HJ73" s="447"/>
      <c r="HK73" s="447"/>
      <c r="HL73" s="447"/>
      <c r="HM73" s="447"/>
      <c r="HN73" s="447"/>
      <c r="HO73" s="447"/>
      <c r="HP73" s="447"/>
      <c r="HQ73" s="447"/>
      <c r="HR73" s="447"/>
      <c r="HS73" s="447"/>
      <c r="HT73" s="447"/>
      <c r="HU73" s="447"/>
      <c r="HV73" s="447"/>
      <c r="HW73" s="447"/>
      <c r="HX73" s="447"/>
      <c r="HY73" s="447"/>
      <c r="HZ73" s="447"/>
      <c r="IA73" s="447"/>
      <c r="IB73" s="447"/>
      <c r="IC73" s="447"/>
      <c r="ID73" s="447"/>
      <c r="IE73" s="447"/>
      <c r="IF73" s="447"/>
      <c r="IG73" s="447"/>
      <c r="IH73" s="447"/>
      <c r="II73" s="447"/>
      <c r="IJ73" s="447"/>
      <c r="IK73" s="447"/>
      <c r="IL73" s="447"/>
      <c r="IM73" s="447"/>
      <c r="IN73" s="447"/>
      <c r="IO73" s="447"/>
      <c r="IP73" s="447"/>
      <c r="IQ73" s="447"/>
      <c r="IR73" s="447"/>
    </row>
    <row r="74" spans="1:252" ht="31.5">
      <c r="A74" s="561">
        <v>61</v>
      </c>
      <c r="B74" s="562" t="s">
        <v>1438</v>
      </c>
      <c r="C74" s="563" t="s">
        <v>43</v>
      </c>
      <c r="D74" s="564">
        <v>2.6040000000000001</v>
      </c>
      <c r="E74" s="564">
        <v>2.6040000000000001</v>
      </c>
      <c r="F74" s="569">
        <f t="shared" si="0"/>
        <v>0</v>
      </c>
      <c r="G74" s="446"/>
      <c r="H74" s="447"/>
      <c r="I74" s="447"/>
      <c r="J74" s="449"/>
      <c r="K74" s="447"/>
      <c r="L74" s="447"/>
      <c r="M74" s="447"/>
      <c r="N74" s="447"/>
      <c r="O74" s="447"/>
      <c r="P74" s="447"/>
      <c r="Q74" s="447"/>
      <c r="R74" s="447"/>
      <c r="S74" s="447"/>
      <c r="T74" s="447"/>
      <c r="U74" s="447"/>
      <c r="V74" s="447"/>
      <c r="W74" s="447"/>
      <c r="X74" s="447"/>
      <c r="Y74" s="447"/>
      <c r="Z74" s="447"/>
      <c r="AA74" s="447"/>
      <c r="AB74" s="447"/>
      <c r="AC74" s="447"/>
      <c r="AD74" s="447"/>
      <c r="AE74" s="447"/>
      <c r="AF74" s="447"/>
      <c r="AG74" s="447"/>
      <c r="AH74" s="447"/>
      <c r="AI74" s="447"/>
      <c r="AJ74" s="447"/>
      <c r="AK74" s="447"/>
      <c r="AL74" s="447"/>
      <c r="AM74" s="447"/>
      <c r="AN74" s="447"/>
      <c r="AO74" s="447"/>
      <c r="AP74" s="447"/>
      <c r="AQ74" s="447"/>
      <c r="AR74" s="447"/>
      <c r="AS74" s="447"/>
      <c r="AT74" s="447"/>
      <c r="AU74" s="447"/>
      <c r="AV74" s="447"/>
      <c r="AW74" s="447"/>
      <c r="AX74" s="447"/>
      <c r="AY74" s="447"/>
      <c r="AZ74" s="447"/>
      <c r="BA74" s="447"/>
      <c r="BB74" s="447"/>
      <c r="BC74" s="447"/>
      <c r="BD74" s="447"/>
      <c r="BE74" s="447"/>
      <c r="BF74" s="447"/>
      <c r="BG74" s="447"/>
      <c r="BH74" s="447"/>
      <c r="BI74" s="447"/>
      <c r="BJ74" s="447"/>
      <c r="BK74" s="447"/>
      <c r="BL74" s="447"/>
      <c r="BM74" s="447"/>
      <c r="BN74" s="447"/>
      <c r="BO74" s="447"/>
      <c r="BP74" s="447"/>
      <c r="BQ74" s="447"/>
      <c r="BR74" s="447"/>
      <c r="BS74" s="447"/>
      <c r="BT74" s="447"/>
      <c r="BU74" s="447"/>
      <c r="BV74" s="447"/>
      <c r="BW74" s="447"/>
      <c r="BX74" s="447"/>
      <c r="BY74" s="447"/>
      <c r="BZ74" s="447"/>
      <c r="CA74" s="447"/>
      <c r="CB74" s="447"/>
      <c r="CC74" s="447"/>
      <c r="CD74" s="447"/>
      <c r="CE74" s="447"/>
      <c r="CF74" s="447"/>
      <c r="CG74" s="447"/>
      <c r="CH74" s="447"/>
      <c r="CI74" s="447"/>
      <c r="CJ74" s="447"/>
      <c r="CK74" s="447"/>
      <c r="CL74" s="447"/>
      <c r="CM74" s="447"/>
      <c r="CN74" s="447"/>
      <c r="CO74" s="447"/>
      <c r="CP74" s="447"/>
      <c r="CQ74" s="447"/>
      <c r="CR74" s="447"/>
      <c r="CS74" s="447"/>
      <c r="CT74" s="447"/>
      <c r="CU74" s="447"/>
      <c r="CV74" s="447"/>
      <c r="CW74" s="447"/>
      <c r="CX74" s="447"/>
      <c r="CY74" s="447"/>
      <c r="CZ74" s="447"/>
      <c r="DA74" s="447"/>
      <c r="DB74" s="447"/>
      <c r="DC74" s="447"/>
      <c r="DD74" s="447"/>
      <c r="DE74" s="447"/>
      <c r="DF74" s="447"/>
      <c r="DG74" s="447"/>
      <c r="DH74" s="447"/>
      <c r="DI74" s="447"/>
      <c r="DJ74" s="447"/>
      <c r="DK74" s="447"/>
      <c r="DL74" s="447"/>
      <c r="DM74" s="447"/>
      <c r="DN74" s="447"/>
      <c r="DO74" s="447"/>
      <c r="DP74" s="447"/>
      <c r="DQ74" s="447"/>
      <c r="DR74" s="447"/>
      <c r="DS74" s="447"/>
      <c r="DT74" s="447"/>
      <c r="DU74" s="447"/>
      <c r="DV74" s="447"/>
      <c r="DW74" s="447"/>
      <c r="DX74" s="447"/>
      <c r="DY74" s="447"/>
      <c r="DZ74" s="447"/>
      <c r="EA74" s="447"/>
      <c r="EB74" s="447"/>
      <c r="EC74" s="447"/>
      <c r="ED74" s="447"/>
      <c r="EE74" s="447"/>
      <c r="EF74" s="447"/>
      <c r="EG74" s="447"/>
      <c r="EH74" s="447"/>
      <c r="EI74" s="447"/>
      <c r="EJ74" s="447"/>
      <c r="EK74" s="447"/>
      <c r="EL74" s="447"/>
      <c r="EM74" s="447"/>
      <c r="EN74" s="447"/>
      <c r="EO74" s="447"/>
      <c r="EP74" s="447"/>
      <c r="EQ74" s="447"/>
      <c r="ER74" s="447"/>
      <c r="ES74" s="447"/>
      <c r="ET74" s="447"/>
      <c r="EU74" s="447"/>
      <c r="EV74" s="447"/>
      <c r="EW74" s="447"/>
      <c r="EX74" s="447"/>
      <c r="EY74" s="447"/>
      <c r="EZ74" s="447"/>
      <c r="FA74" s="447"/>
      <c r="FB74" s="447"/>
      <c r="FC74" s="447"/>
      <c r="FD74" s="447"/>
      <c r="FE74" s="447"/>
      <c r="FF74" s="447"/>
      <c r="FG74" s="447"/>
      <c r="FH74" s="447"/>
      <c r="FI74" s="447"/>
      <c r="FJ74" s="447"/>
      <c r="FK74" s="447"/>
      <c r="FL74" s="447"/>
      <c r="FM74" s="447"/>
      <c r="FN74" s="447"/>
      <c r="FO74" s="447"/>
      <c r="FP74" s="447"/>
      <c r="FQ74" s="447"/>
      <c r="FR74" s="447"/>
      <c r="FS74" s="447"/>
      <c r="FT74" s="447"/>
      <c r="FU74" s="447"/>
      <c r="FV74" s="447"/>
      <c r="FW74" s="447"/>
      <c r="FX74" s="447"/>
      <c r="FY74" s="447"/>
      <c r="FZ74" s="447"/>
      <c r="GA74" s="447"/>
      <c r="GB74" s="447"/>
      <c r="GC74" s="447"/>
      <c r="GD74" s="447"/>
      <c r="GE74" s="447"/>
      <c r="GF74" s="447"/>
      <c r="GG74" s="447"/>
      <c r="GH74" s="447"/>
      <c r="GI74" s="447"/>
      <c r="GJ74" s="447"/>
      <c r="GK74" s="447"/>
      <c r="GL74" s="447"/>
      <c r="GM74" s="447"/>
      <c r="GN74" s="447"/>
      <c r="GO74" s="447"/>
      <c r="GP74" s="447"/>
      <c r="GQ74" s="447"/>
      <c r="GR74" s="447"/>
      <c r="GS74" s="447"/>
      <c r="GT74" s="447"/>
      <c r="GU74" s="447"/>
      <c r="GV74" s="447"/>
      <c r="GW74" s="447"/>
      <c r="GX74" s="447"/>
      <c r="GY74" s="447"/>
      <c r="GZ74" s="447"/>
      <c r="HA74" s="447"/>
      <c r="HB74" s="447"/>
      <c r="HC74" s="447"/>
      <c r="HD74" s="447"/>
      <c r="HE74" s="447"/>
      <c r="HF74" s="447"/>
      <c r="HG74" s="447"/>
      <c r="HH74" s="447"/>
      <c r="HI74" s="447"/>
      <c r="HJ74" s="447"/>
      <c r="HK74" s="447"/>
      <c r="HL74" s="447"/>
      <c r="HM74" s="447"/>
      <c r="HN74" s="447"/>
      <c r="HO74" s="447"/>
      <c r="HP74" s="447"/>
      <c r="HQ74" s="447"/>
      <c r="HR74" s="447"/>
      <c r="HS74" s="447"/>
      <c r="HT74" s="447"/>
      <c r="HU74" s="447"/>
      <c r="HV74" s="447"/>
      <c r="HW74" s="447"/>
      <c r="HX74" s="447"/>
      <c r="HY74" s="447"/>
      <c r="HZ74" s="447"/>
      <c r="IA74" s="447"/>
      <c r="IB74" s="447"/>
      <c r="IC74" s="447"/>
      <c r="ID74" s="447"/>
      <c r="IE74" s="447"/>
      <c r="IF74" s="447"/>
      <c r="IG74" s="447"/>
      <c r="IH74" s="447"/>
      <c r="II74" s="447"/>
      <c r="IJ74" s="447"/>
      <c r="IK74" s="447"/>
      <c r="IL74" s="447"/>
      <c r="IM74" s="447"/>
      <c r="IN74" s="447"/>
      <c r="IO74" s="447"/>
      <c r="IP74" s="447"/>
      <c r="IQ74" s="447"/>
      <c r="IR74" s="447"/>
    </row>
    <row r="75" spans="1:252" ht="31.5">
      <c r="A75" s="561">
        <v>62</v>
      </c>
      <c r="B75" s="562" t="s">
        <v>1439</v>
      </c>
      <c r="C75" s="563" t="s">
        <v>43</v>
      </c>
      <c r="D75" s="564">
        <v>2.6040000000000001</v>
      </c>
      <c r="E75" s="564">
        <v>2.6040000000000001</v>
      </c>
      <c r="F75" s="569">
        <f t="shared" si="0"/>
        <v>0</v>
      </c>
      <c r="G75" s="446"/>
      <c r="H75" s="447"/>
      <c r="I75" s="447"/>
      <c r="J75" s="449"/>
      <c r="K75" s="447"/>
      <c r="L75" s="447"/>
      <c r="M75" s="447"/>
      <c r="N75" s="447"/>
      <c r="O75" s="447"/>
      <c r="P75" s="447"/>
      <c r="Q75" s="447"/>
      <c r="R75" s="447"/>
      <c r="S75" s="447"/>
      <c r="T75" s="447"/>
      <c r="U75" s="447"/>
      <c r="V75" s="447"/>
      <c r="W75" s="447"/>
      <c r="X75" s="447"/>
      <c r="Y75" s="447"/>
      <c r="Z75" s="447"/>
      <c r="AA75" s="447"/>
      <c r="AB75" s="447"/>
      <c r="AC75" s="447"/>
      <c r="AD75" s="447"/>
      <c r="AE75" s="447"/>
      <c r="AF75" s="447"/>
      <c r="AG75" s="447"/>
      <c r="AH75" s="447"/>
      <c r="AI75" s="447"/>
      <c r="AJ75" s="447"/>
      <c r="AK75" s="447"/>
      <c r="AL75" s="447"/>
      <c r="AM75" s="447"/>
      <c r="AN75" s="447"/>
      <c r="AO75" s="447"/>
      <c r="AP75" s="447"/>
      <c r="AQ75" s="447"/>
      <c r="AR75" s="447"/>
      <c r="AS75" s="447"/>
      <c r="AT75" s="447"/>
      <c r="AU75" s="447"/>
      <c r="AV75" s="447"/>
      <c r="AW75" s="447"/>
      <c r="AX75" s="447"/>
      <c r="AY75" s="447"/>
      <c r="AZ75" s="447"/>
      <c r="BA75" s="447"/>
      <c r="BB75" s="447"/>
      <c r="BC75" s="447"/>
      <c r="BD75" s="447"/>
      <c r="BE75" s="447"/>
      <c r="BF75" s="447"/>
      <c r="BG75" s="447"/>
      <c r="BH75" s="447"/>
      <c r="BI75" s="447"/>
      <c r="BJ75" s="447"/>
      <c r="BK75" s="447"/>
      <c r="BL75" s="447"/>
      <c r="BM75" s="447"/>
      <c r="BN75" s="447"/>
      <c r="BO75" s="447"/>
      <c r="BP75" s="447"/>
      <c r="BQ75" s="447"/>
      <c r="BR75" s="447"/>
      <c r="BS75" s="447"/>
      <c r="BT75" s="447"/>
      <c r="BU75" s="447"/>
      <c r="BV75" s="447"/>
      <c r="BW75" s="447"/>
      <c r="BX75" s="447"/>
      <c r="BY75" s="447"/>
      <c r="BZ75" s="447"/>
      <c r="CA75" s="447"/>
      <c r="CB75" s="447"/>
      <c r="CC75" s="447"/>
      <c r="CD75" s="447"/>
      <c r="CE75" s="447"/>
      <c r="CF75" s="447"/>
      <c r="CG75" s="447"/>
      <c r="CH75" s="447"/>
      <c r="CI75" s="447"/>
      <c r="CJ75" s="447"/>
      <c r="CK75" s="447"/>
      <c r="CL75" s="447"/>
      <c r="CM75" s="447"/>
      <c r="CN75" s="447"/>
      <c r="CO75" s="447"/>
      <c r="CP75" s="447"/>
      <c r="CQ75" s="447"/>
      <c r="CR75" s="447"/>
      <c r="CS75" s="447"/>
      <c r="CT75" s="447"/>
      <c r="CU75" s="447"/>
      <c r="CV75" s="447"/>
      <c r="CW75" s="447"/>
      <c r="CX75" s="447"/>
      <c r="CY75" s="447"/>
      <c r="CZ75" s="447"/>
      <c r="DA75" s="447"/>
      <c r="DB75" s="447"/>
      <c r="DC75" s="447"/>
      <c r="DD75" s="447"/>
      <c r="DE75" s="447"/>
      <c r="DF75" s="447"/>
      <c r="DG75" s="447"/>
      <c r="DH75" s="447"/>
      <c r="DI75" s="447"/>
      <c r="DJ75" s="447"/>
      <c r="DK75" s="447"/>
      <c r="DL75" s="447"/>
      <c r="DM75" s="447"/>
      <c r="DN75" s="447"/>
      <c r="DO75" s="447"/>
      <c r="DP75" s="447"/>
      <c r="DQ75" s="447"/>
      <c r="DR75" s="447"/>
      <c r="DS75" s="447"/>
      <c r="DT75" s="447"/>
      <c r="DU75" s="447"/>
      <c r="DV75" s="447"/>
      <c r="DW75" s="447"/>
      <c r="DX75" s="447"/>
      <c r="DY75" s="447"/>
      <c r="DZ75" s="447"/>
      <c r="EA75" s="447"/>
      <c r="EB75" s="447"/>
      <c r="EC75" s="447"/>
      <c r="ED75" s="447"/>
      <c r="EE75" s="447"/>
      <c r="EF75" s="447"/>
      <c r="EG75" s="447"/>
      <c r="EH75" s="447"/>
      <c r="EI75" s="447"/>
      <c r="EJ75" s="447"/>
      <c r="EK75" s="447"/>
      <c r="EL75" s="447"/>
      <c r="EM75" s="447"/>
      <c r="EN75" s="447"/>
      <c r="EO75" s="447"/>
      <c r="EP75" s="447"/>
      <c r="EQ75" s="447"/>
      <c r="ER75" s="447"/>
      <c r="ES75" s="447"/>
      <c r="ET75" s="447"/>
      <c r="EU75" s="447"/>
      <c r="EV75" s="447"/>
      <c r="EW75" s="447"/>
      <c r="EX75" s="447"/>
      <c r="EY75" s="447"/>
      <c r="EZ75" s="447"/>
      <c r="FA75" s="447"/>
      <c r="FB75" s="447"/>
      <c r="FC75" s="447"/>
      <c r="FD75" s="447"/>
      <c r="FE75" s="447"/>
      <c r="FF75" s="447"/>
      <c r="FG75" s="447"/>
      <c r="FH75" s="447"/>
      <c r="FI75" s="447"/>
      <c r="FJ75" s="447"/>
      <c r="FK75" s="447"/>
      <c r="FL75" s="447"/>
      <c r="FM75" s="447"/>
      <c r="FN75" s="447"/>
      <c r="FO75" s="447"/>
      <c r="FP75" s="447"/>
      <c r="FQ75" s="447"/>
      <c r="FR75" s="447"/>
      <c r="FS75" s="447"/>
      <c r="FT75" s="447"/>
      <c r="FU75" s="447"/>
      <c r="FV75" s="447"/>
      <c r="FW75" s="447"/>
      <c r="FX75" s="447"/>
      <c r="FY75" s="447"/>
      <c r="FZ75" s="447"/>
      <c r="GA75" s="447"/>
      <c r="GB75" s="447"/>
      <c r="GC75" s="447"/>
      <c r="GD75" s="447"/>
      <c r="GE75" s="447"/>
      <c r="GF75" s="447"/>
      <c r="GG75" s="447"/>
      <c r="GH75" s="447"/>
      <c r="GI75" s="447"/>
      <c r="GJ75" s="447"/>
      <c r="GK75" s="447"/>
      <c r="GL75" s="447"/>
      <c r="GM75" s="447"/>
      <c r="GN75" s="447"/>
      <c r="GO75" s="447"/>
      <c r="GP75" s="447"/>
      <c r="GQ75" s="447"/>
      <c r="GR75" s="447"/>
      <c r="GS75" s="447"/>
      <c r="GT75" s="447"/>
      <c r="GU75" s="447"/>
      <c r="GV75" s="447"/>
      <c r="GW75" s="447"/>
      <c r="GX75" s="447"/>
      <c r="GY75" s="447"/>
      <c r="GZ75" s="447"/>
      <c r="HA75" s="447"/>
      <c r="HB75" s="447"/>
      <c r="HC75" s="447"/>
      <c r="HD75" s="447"/>
      <c r="HE75" s="447"/>
      <c r="HF75" s="447"/>
      <c r="HG75" s="447"/>
      <c r="HH75" s="447"/>
      <c r="HI75" s="447"/>
      <c r="HJ75" s="447"/>
      <c r="HK75" s="447"/>
      <c r="HL75" s="447"/>
      <c r="HM75" s="447"/>
      <c r="HN75" s="447"/>
      <c r="HO75" s="447"/>
      <c r="HP75" s="447"/>
      <c r="HQ75" s="447"/>
      <c r="HR75" s="447"/>
      <c r="HS75" s="447"/>
      <c r="HT75" s="447"/>
      <c r="HU75" s="447"/>
      <c r="HV75" s="447"/>
      <c r="HW75" s="447"/>
      <c r="HX75" s="447"/>
      <c r="HY75" s="447"/>
      <c r="HZ75" s="447"/>
      <c r="IA75" s="447"/>
      <c r="IB75" s="447"/>
      <c r="IC75" s="447"/>
      <c r="ID75" s="447"/>
      <c r="IE75" s="447"/>
      <c r="IF75" s="447"/>
      <c r="IG75" s="447"/>
      <c r="IH75" s="447"/>
      <c r="II75" s="447"/>
      <c r="IJ75" s="447"/>
      <c r="IK75" s="447"/>
      <c r="IL75" s="447"/>
      <c r="IM75" s="447"/>
      <c r="IN75" s="447"/>
      <c r="IO75" s="447"/>
      <c r="IP75" s="447"/>
      <c r="IQ75" s="447"/>
      <c r="IR75" s="447"/>
    </row>
    <row r="76" spans="1:252">
      <c r="A76" s="561">
        <v>63</v>
      </c>
      <c r="B76" s="562" t="s">
        <v>1440</v>
      </c>
      <c r="C76" s="563" t="s">
        <v>43</v>
      </c>
      <c r="D76" s="564">
        <v>2.6040000000000001</v>
      </c>
      <c r="E76" s="564">
        <v>2.6040000000000001</v>
      </c>
      <c r="F76" s="569">
        <f t="shared" si="0"/>
        <v>0</v>
      </c>
      <c r="G76" s="446"/>
      <c r="H76" s="447"/>
      <c r="I76" s="447"/>
      <c r="J76" s="449"/>
      <c r="K76" s="447"/>
      <c r="L76" s="447"/>
      <c r="M76" s="447"/>
      <c r="N76" s="447"/>
      <c r="O76" s="447"/>
      <c r="P76" s="447"/>
      <c r="Q76" s="447"/>
      <c r="R76" s="447"/>
      <c r="S76" s="447"/>
      <c r="T76" s="447"/>
      <c r="U76" s="447"/>
      <c r="V76" s="447"/>
      <c r="W76" s="447"/>
      <c r="X76" s="447"/>
      <c r="Y76" s="447"/>
      <c r="Z76" s="447"/>
      <c r="AA76" s="447"/>
      <c r="AB76" s="447"/>
      <c r="AC76" s="447"/>
      <c r="AD76" s="447"/>
      <c r="AE76" s="447"/>
      <c r="AF76" s="447"/>
      <c r="AG76" s="447"/>
      <c r="AH76" s="447"/>
      <c r="AI76" s="447"/>
      <c r="AJ76" s="447"/>
      <c r="AK76" s="447"/>
      <c r="AL76" s="447"/>
      <c r="AM76" s="447"/>
      <c r="AN76" s="447"/>
      <c r="AO76" s="447"/>
      <c r="AP76" s="447"/>
      <c r="AQ76" s="447"/>
      <c r="AR76" s="447"/>
      <c r="AS76" s="447"/>
      <c r="AT76" s="447"/>
      <c r="AU76" s="447"/>
      <c r="AV76" s="447"/>
      <c r="AW76" s="447"/>
      <c r="AX76" s="447"/>
      <c r="AY76" s="447"/>
      <c r="AZ76" s="447"/>
      <c r="BA76" s="447"/>
      <c r="BB76" s="447"/>
      <c r="BC76" s="447"/>
      <c r="BD76" s="447"/>
      <c r="BE76" s="447"/>
      <c r="BF76" s="447"/>
      <c r="BG76" s="447"/>
      <c r="BH76" s="447"/>
      <c r="BI76" s="447"/>
      <c r="BJ76" s="447"/>
      <c r="BK76" s="447"/>
      <c r="BL76" s="447"/>
      <c r="BM76" s="447"/>
      <c r="BN76" s="447"/>
      <c r="BO76" s="447"/>
      <c r="BP76" s="447"/>
      <c r="BQ76" s="447"/>
      <c r="BR76" s="447"/>
      <c r="BS76" s="447"/>
      <c r="BT76" s="447"/>
      <c r="BU76" s="447"/>
      <c r="BV76" s="447"/>
      <c r="BW76" s="447"/>
      <c r="BX76" s="447"/>
      <c r="BY76" s="447"/>
      <c r="BZ76" s="447"/>
      <c r="CA76" s="447"/>
      <c r="CB76" s="447"/>
      <c r="CC76" s="447"/>
      <c r="CD76" s="447"/>
      <c r="CE76" s="447"/>
      <c r="CF76" s="447"/>
      <c r="CG76" s="447"/>
      <c r="CH76" s="447"/>
      <c r="CI76" s="447"/>
      <c r="CJ76" s="447"/>
      <c r="CK76" s="447"/>
      <c r="CL76" s="447"/>
      <c r="CM76" s="447"/>
      <c r="CN76" s="447"/>
      <c r="CO76" s="447"/>
      <c r="CP76" s="447"/>
      <c r="CQ76" s="447"/>
      <c r="CR76" s="447"/>
      <c r="CS76" s="447"/>
      <c r="CT76" s="447"/>
      <c r="CU76" s="447"/>
      <c r="CV76" s="447"/>
      <c r="CW76" s="447"/>
      <c r="CX76" s="447"/>
      <c r="CY76" s="447"/>
      <c r="CZ76" s="447"/>
      <c r="DA76" s="447"/>
      <c r="DB76" s="447"/>
      <c r="DC76" s="447"/>
      <c r="DD76" s="447"/>
      <c r="DE76" s="447"/>
      <c r="DF76" s="447"/>
      <c r="DG76" s="447"/>
      <c r="DH76" s="447"/>
      <c r="DI76" s="447"/>
      <c r="DJ76" s="447"/>
      <c r="DK76" s="447"/>
      <c r="DL76" s="447"/>
      <c r="DM76" s="447"/>
      <c r="DN76" s="447"/>
      <c r="DO76" s="447"/>
      <c r="DP76" s="447"/>
      <c r="DQ76" s="447"/>
      <c r="DR76" s="447"/>
      <c r="DS76" s="447"/>
      <c r="DT76" s="447"/>
      <c r="DU76" s="447"/>
      <c r="DV76" s="447"/>
      <c r="DW76" s="447"/>
      <c r="DX76" s="447"/>
      <c r="DY76" s="447"/>
      <c r="DZ76" s="447"/>
      <c r="EA76" s="447"/>
      <c r="EB76" s="447"/>
      <c r="EC76" s="447"/>
      <c r="ED76" s="447"/>
      <c r="EE76" s="447"/>
      <c r="EF76" s="447"/>
      <c r="EG76" s="447"/>
      <c r="EH76" s="447"/>
      <c r="EI76" s="447"/>
      <c r="EJ76" s="447"/>
      <c r="EK76" s="447"/>
      <c r="EL76" s="447"/>
      <c r="EM76" s="447"/>
      <c r="EN76" s="447"/>
      <c r="EO76" s="447"/>
      <c r="EP76" s="447"/>
      <c r="EQ76" s="447"/>
      <c r="ER76" s="447"/>
      <c r="ES76" s="447"/>
      <c r="ET76" s="447"/>
      <c r="EU76" s="447"/>
      <c r="EV76" s="447"/>
      <c r="EW76" s="447"/>
      <c r="EX76" s="447"/>
      <c r="EY76" s="447"/>
      <c r="EZ76" s="447"/>
      <c r="FA76" s="447"/>
      <c r="FB76" s="447"/>
      <c r="FC76" s="447"/>
      <c r="FD76" s="447"/>
      <c r="FE76" s="447"/>
      <c r="FF76" s="447"/>
      <c r="FG76" s="447"/>
      <c r="FH76" s="447"/>
      <c r="FI76" s="447"/>
      <c r="FJ76" s="447"/>
      <c r="FK76" s="447"/>
      <c r="FL76" s="447"/>
      <c r="FM76" s="447"/>
      <c r="FN76" s="447"/>
      <c r="FO76" s="447"/>
      <c r="FP76" s="447"/>
      <c r="FQ76" s="447"/>
      <c r="FR76" s="447"/>
      <c r="FS76" s="447"/>
      <c r="FT76" s="447"/>
      <c r="FU76" s="447"/>
      <c r="FV76" s="447"/>
      <c r="FW76" s="447"/>
      <c r="FX76" s="447"/>
      <c r="FY76" s="447"/>
      <c r="FZ76" s="447"/>
      <c r="GA76" s="447"/>
      <c r="GB76" s="447"/>
      <c r="GC76" s="447"/>
      <c r="GD76" s="447"/>
      <c r="GE76" s="447"/>
      <c r="GF76" s="447"/>
      <c r="GG76" s="447"/>
      <c r="GH76" s="447"/>
      <c r="GI76" s="447"/>
      <c r="GJ76" s="447"/>
      <c r="GK76" s="447"/>
      <c r="GL76" s="447"/>
      <c r="GM76" s="447"/>
      <c r="GN76" s="447"/>
      <c r="GO76" s="447"/>
      <c r="GP76" s="447"/>
      <c r="GQ76" s="447"/>
      <c r="GR76" s="447"/>
      <c r="GS76" s="447"/>
      <c r="GT76" s="447"/>
      <c r="GU76" s="447"/>
      <c r="GV76" s="447"/>
      <c r="GW76" s="447"/>
      <c r="GX76" s="447"/>
      <c r="GY76" s="447"/>
      <c r="GZ76" s="447"/>
      <c r="HA76" s="447"/>
      <c r="HB76" s="447"/>
      <c r="HC76" s="447"/>
      <c r="HD76" s="447"/>
      <c r="HE76" s="447"/>
      <c r="HF76" s="447"/>
      <c r="HG76" s="447"/>
      <c r="HH76" s="447"/>
      <c r="HI76" s="447"/>
      <c r="HJ76" s="447"/>
      <c r="HK76" s="447"/>
      <c r="HL76" s="447"/>
      <c r="HM76" s="447"/>
      <c r="HN76" s="447"/>
      <c r="HO76" s="447"/>
      <c r="HP76" s="447"/>
      <c r="HQ76" s="447"/>
      <c r="HR76" s="447"/>
      <c r="HS76" s="447"/>
      <c r="HT76" s="447"/>
      <c r="HU76" s="447"/>
      <c r="HV76" s="447"/>
      <c r="HW76" s="447"/>
      <c r="HX76" s="447"/>
      <c r="HY76" s="447"/>
      <c r="HZ76" s="447"/>
      <c r="IA76" s="447"/>
      <c r="IB76" s="447"/>
      <c r="IC76" s="447"/>
      <c r="ID76" s="447"/>
      <c r="IE76" s="447"/>
      <c r="IF76" s="447"/>
      <c r="IG76" s="447"/>
      <c r="IH76" s="447"/>
      <c r="II76" s="447"/>
      <c r="IJ76" s="447"/>
      <c r="IK76" s="447"/>
      <c r="IL76" s="447"/>
      <c r="IM76" s="447"/>
      <c r="IN76" s="447"/>
      <c r="IO76" s="447"/>
      <c r="IP76" s="447"/>
      <c r="IQ76" s="447"/>
      <c r="IR76" s="447"/>
    </row>
    <row r="77" spans="1:252" ht="19.899999999999999" customHeight="1">
      <c r="A77" s="565" t="s">
        <v>503</v>
      </c>
      <c r="B77" s="566" t="s">
        <v>1459</v>
      </c>
      <c r="C77" s="562"/>
      <c r="D77" s="567"/>
      <c r="E77" s="567"/>
      <c r="F77" s="569">
        <f t="shared" si="0"/>
        <v>0</v>
      </c>
      <c r="G77" s="446"/>
      <c r="H77" s="447"/>
      <c r="I77" s="447"/>
      <c r="J77" s="449"/>
      <c r="K77" s="447"/>
      <c r="L77" s="447"/>
      <c r="M77" s="447"/>
      <c r="N77" s="447"/>
      <c r="O77" s="447"/>
      <c r="P77" s="447"/>
      <c r="Q77" s="447"/>
      <c r="R77" s="447"/>
      <c r="S77" s="447"/>
      <c r="T77" s="447"/>
      <c r="U77" s="447"/>
      <c r="V77" s="447"/>
      <c r="W77" s="447"/>
      <c r="X77" s="447"/>
      <c r="Y77" s="447"/>
      <c r="Z77" s="447"/>
      <c r="AA77" s="447"/>
      <c r="AB77" s="447"/>
      <c r="AC77" s="447"/>
      <c r="AD77" s="447"/>
      <c r="AE77" s="447"/>
      <c r="AF77" s="447"/>
      <c r="AG77" s="447"/>
      <c r="AH77" s="447"/>
      <c r="AI77" s="447"/>
      <c r="AJ77" s="447"/>
      <c r="AK77" s="447"/>
      <c r="AL77" s="447"/>
      <c r="AM77" s="447"/>
      <c r="AN77" s="447"/>
      <c r="AO77" s="447"/>
      <c r="AP77" s="447"/>
      <c r="AQ77" s="447"/>
      <c r="AR77" s="447"/>
      <c r="AS77" s="447"/>
      <c r="AT77" s="447"/>
      <c r="AU77" s="447"/>
      <c r="AV77" s="447"/>
      <c r="AW77" s="447"/>
      <c r="AX77" s="447"/>
      <c r="AY77" s="447"/>
      <c r="AZ77" s="447"/>
      <c r="BA77" s="447"/>
      <c r="BB77" s="447"/>
      <c r="BC77" s="447"/>
      <c r="BD77" s="447"/>
      <c r="BE77" s="447"/>
      <c r="BF77" s="447"/>
      <c r="BG77" s="447"/>
      <c r="BH77" s="447"/>
      <c r="BI77" s="447"/>
      <c r="BJ77" s="447"/>
      <c r="BK77" s="447"/>
      <c r="BL77" s="447"/>
      <c r="BM77" s="447"/>
      <c r="BN77" s="447"/>
      <c r="BO77" s="447"/>
      <c r="BP77" s="447"/>
      <c r="BQ77" s="447"/>
      <c r="BR77" s="447"/>
      <c r="BS77" s="447"/>
      <c r="BT77" s="447"/>
      <c r="BU77" s="447"/>
      <c r="BV77" s="447"/>
      <c r="BW77" s="447"/>
      <c r="BX77" s="447"/>
      <c r="BY77" s="447"/>
      <c r="BZ77" s="447"/>
      <c r="CA77" s="447"/>
      <c r="CB77" s="447"/>
      <c r="CC77" s="447"/>
      <c r="CD77" s="447"/>
      <c r="CE77" s="447"/>
      <c r="CF77" s="447"/>
      <c r="CG77" s="447"/>
      <c r="CH77" s="447"/>
      <c r="CI77" s="447"/>
      <c r="CJ77" s="447"/>
      <c r="CK77" s="447"/>
      <c r="CL77" s="447"/>
      <c r="CM77" s="447"/>
      <c r="CN77" s="447"/>
      <c r="CO77" s="447"/>
      <c r="CP77" s="447"/>
      <c r="CQ77" s="447"/>
      <c r="CR77" s="447"/>
      <c r="CS77" s="447"/>
      <c r="CT77" s="447"/>
      <c r="CU77" s="447"/>
      <c r="CV77" s="447"/>
      <c r="CW77" s="447"/>
      <c r="CX77" s="447"/>
      <c r="CY77" s="447"/>
      <c r="CZ77" s="447"/>
      <c r="DA77" s="447"/>
      <c r="DB77" s="447"/>
      <c r="DC77" s="447"/>
      <c r="DD77" s="447"/>
      <c r="DE77" s="447"/>
      <c r="DF77" s="447"/>
      <c r="DG77" s="447"/>
      <c r="DH77" s="447"/>
      <c r="DI77" s="447"/>
      <c r="DJ77" s="447"/>
      <c r="DK77" s="447"/>
      <c r="DL77" s="447"/>
      <c r="DM77" s="447"/>
      <c r="DN77" s="447"/>
      <c r="DO77" s="447"/>
      <c r="DP77" s="447"/>
      <c r="DQ77" s="447"/>
      <c r="DR77" s="447"/>
      <c r="DS77" s="447"/>
      <c r="DT77" s="447"/>
      <c r="DU77" s="447"/>
      <c r="DV77" s="447"/>
      <c r="DW77" s="447"/>
      <c r="DX77" s="447"/>
      <c r="DY77" s="447"/>
      <c r="DZ77" s="447"/>
      <c r="EA77" s="447"/>
      <c r="EB77" s="447"/>
      <c r="EC77" s="447"/>
      <c r="ED77" s="447"/>
      <c r="EE77" s="447"/>
      <c r="EF77" s="447"/>
      <c r="EG77" s="447"/>
      <c r="EH77" s="447"/>
      <c r="EI77" s="447"/>
      <c r="EJ77" s="447"/>
      <c r="EK77" s="447"/>
      <c r="EL77" s="447"/>
      <c r="EM77" s="447"/>
      <c r="EN77" s="447"/>
      <c r="EO77" s="447"/>
      <c r="EP77" s="447"/>
      <c r="EQ77" s="447"/>
      <c r="ER77" s="447"/>
      <c r="ES77" s="447"/>
      <c r="ET77" s="447"/>
      <c r="EU77" s="447"/>
      <c r="EV77" s="447"/>
      <c r="EW77" s="447"/>
      <c r="EX77" s="447"/>
      <c r="EY77" s="447"/>
      <c r="EZ77" s="447"/>
      <c r="FA77" s="447"/>
      <c r="FB77" s="447"/>
      <c r="FC77" s="447"/>
      <c r="FD77" s="447"/>
      <c r="FE77" s="447"/>
      <c r="FF77" s="447"/>
      <c r="FG77" s="447"/>
      <c r="FH77" s="447"/>
      <c r="FI77" s="447"/>
      <c r="FJ77" s="447"/>
      <c r="FK77" s="447"/>
      <c r="FL77" s="447"/>
      <c r="FM77" s="447"/>
      <c r="FN77" s="447"/>
      <c r="FO77" s="447"/>
      <c r="FP77" s="447"/>
      <c r="FQ77" s="447"/>
      <c r="FR77" s="447"/>
      <c r="FS77" s="447"/>
      <c r="FT77" s="447"/>
      <c r="FU77" s="447"/>
      <c r="FV77" s="447"/>
      <c r="FW77" s="447"/>
      <c r="FX77" s="447"/>
      <c r="FY77" s="447"/>
      <c r="FZ77" s="447"/>
      <c r="GA77" s="447"/>
      <c r="GB77" s="447"/>
      <c r="GC77" s="447"/>
      <c r="GD77" s="447"/>
      <c r="GE77" s="447"/>
      <c r="GF77" s="447"/>
      <c r="GG77" s="447"/>
      <c r="GH77" s="447"/>
      <c r="GI77" s="447"/>
      <c r="GJ77" s="447"/>
      <c r="GK77" s="447"/>
      <c r="GL77" s="447"/>
      <c r="GM77" s="447"/>
      <c r="GN77" s="447"/>
      <c r="GO77" s="447"/>
      <c r="GP77" s="447"/>
      <c r="GQ77" s="447"/>
      <c r="GR77" s="447"/>
      <c r="GS77" s="447"/>
      <c r="GT77" s="447"/>
      <c r="GU77" s="447"/>
      <c r="GV77" s="447"/>
      <c r="GW77" s="447"/>
      <c r="GX77" s="447"/>
      <c r="GY77" s="447"/>
      <c r="GZ77" s="447"/>
      <c r="HA77" s="447"/>
      <c r="HB77" s="447"/>
      <c r="HC77" s="447"/>
      <c r="HD77" s="447"/>
      <c r="HE77" s="447"/>
      <c r="HF77" s="447"/>
      <c r="HG77" s="447"/>
      <c r="HH77" s="447"/>
      <c r="HI77" s="447"/>
      <c r="HJ77" s="447"/>
      <c r="HK77" s="447"/>
      <c r="HL77" s="447"/>
      <c r="HM77" s="447"/>
      <c r="HN77" s="447"/>
      <c r="HO77" s="447"/>
      <c r="HP77" s="447"/>
      <c r="HQ77" s="447"/>
      <c r="HR77" s="447"/>
      <c r="HS77" s="447"/>
      <c r="HT77" s="447"/>
      <c r="HU77" s="447"/>
      <c r="HV77" s="447"/>
      <c r="HW77" s="447"/>
      <c r="HX77" s="447"/>
      <c r="HY77" s="447"/>
      <c r="HZ77" s="447"/>
      <c r="IA77" s="447"/>
      <c r="IB77" s="447"/>
      <c r="IC77" s="447"/>
      <c r="ID77" s="447"/>
      <c r="IE77" s="447"/>
      <c r="IF77" s="447"/>
      <c r="IG77" s="447"/>
      <c r="IH77" s="447"/>
      <c r="II77" s="447"/>
      <c r="IJ77" s="447"/>
      <c r="IK77" s="447"/>
      <c r="IL77" s="447"/>
      <c r="IM77" s="447"/>
      <c r="IN77" s="447"/>
      <c r="IO77" s="447"/>
      <c r="IP77" s="447"/>
      <c r="IQ77" s="447"/>
      <c r="IR77" s="447"/>
    </row>
    <row r="78" spans="1:252" ht="19.899999999999999" customHeight="1">
      <c r="A78" s="561">
        <v>64</v>
      </c>
      <c r="B78" s="562" t="s">
        <v>1460</v>
      </c>
      <c r="C78" s="563" t="s">
        <v>116</v>
      </c>
      <c r="D78" s="564">
        <v>50</v>
      </c>
      <c r="E78" s="564">
        <v>50</v>
      </c>
      <c r="F78" s="569">
        <f t="shared" ref="F78:F84" si="1">E78-D78</f>
        <v>0</v>
      </c>
      <c r="G78" s="446"/>
      <c r="H78" s="447"/>
      <c r="I78" s="447"/>
      <c r="J78" s="449"/>
      <c r="K78" s="447"/>
      <c r="L78" s="447"/>
      <c r="M78" s="447"/>
      <c r="N78" s="447"/>
      <c r="O78" s="447"/>
      <c r="P78" s="447"/>
      <c r="Q78" s="447"/>
      <c r="R78" s="447"/>
      <c r="S78" s="447"/>
      <c r="T78" s="447"/>
      <c r="U78" s="447"/>
      <c r="V78" s="447"/>
      <c r="W78" s="447"/>
      <c r="X78" s="447"/>
      <c r="Y78" s="447"/>
      <c r="Z78" s="447"/>
      <c r="AA78" s="447"/>
      <c r="AB78" s="447"/>
      <c r="AC78" s="447"/>
      <c r="AD78" s="447"/>
      <c r="AE78" s="447"/>
      <c r="AF78" s="447"/>
      <c r="AG78" s="447"/>
      <c r="AH78" s="447"/>
      <c r="AI78" s="447"/>
      <c r="AJ78" s="447"/>
      <c r="AK78" s="447"/>
      <c r="AL78" s="447"/>
      <c r="AM78" s="447"/>
      <c r="AN78" s="447"/>
      <c r="AO78" s="447"/>
      <c r="AP78" s="447"/>
      <c r="AQ78" s="447"/>
      <c r="AR78" s="447"/>
      <c r="AS78" s="447"/>
      <c r="AT78" s="447"/>
      <c r="AU78" s="447"/>
      <c r="AV78" s="447"/>
      <c r="AW78" s="447"/>
      <c r="AX78" s="447"/>
      <c r="AY78" s="447"/>
      <c r="AZ78" s="447"/>
      <c r="BA78" s="447"/>
      <c r="BB78" s="447"/>
      <c r="BC78" s="447"/>
      <c r="BD78" s="447"/>
      <c r="BE78" s="447"/>
      <c r="BF78" s="447"/>
      <c r="BG78" s="447"/>
      <c r="BH78" s="447"/>
      <c r="BI78" s="447"/>
      <c r="BJ78" s="447"/>
      <c r="BK78" s="447"/>
      <c r="BL78" s="447"/>
      <c r="BM78" s="447"/>
      <c r="BN78" s="447"/>
      <c r="BO78" s="447"/>
      <c r="BP78" s="447"/>
      <c r="BQ78" s="447"/>
      <c r="BR78" s="447"/>
      <c r="BS78" s="447"/>
      <c r="BT78" s="447"/>
      <c r="BU78" s="447"/>
      <c r="BV78" s="447"/>
      <c r="BW78" s="447"/>
      <c r="BX78" s="447"/>
      <c r="BY78" s="447"/>
      <c r="BZ78" s="447"/>
      <c r="CA78" s="447"/>
      <c r="CB78" s="447"/>
      <c r="CC78" s="447"/>
      <c r="CD78" s="447"/>
      <c r="CE78" s="447"/>
      <c r="CF78" s="447"/>
      <c r="CG78" s="447"/>
      <c r="CH78" s="447"/>
      <c r="CI78" s="447"/>
      <c r="CJ78" s="447"/>
      <c r="CK78" s="447"/>
      <c r="CL78" s="447"/>
      <c r="CM78" s="447"/>
      <c r="CN78" s="447"/>
      <c r="CO78" s="447"/>
      <c r="CP78" s="447"/>
      <c r="CQ78" s="447"/>
      <c r="CR78" s="447"/>
      <c r="CS78" s="447"/>
      <c r="CT78" s="447"/>
      <c r="CU78" s="447"/>
      <c r="CV78" s="447"/>
      <c r="CW78" s="447"/>
      <c r="CX78" s="447"/>
      <c r="CY78" s="447"/>
      <c r="CZ78" s="447"/>
      <c r="DA78" s="447"/>
      <c r="DB78" s="447"/>
      <c r="DC78" s="447"/>
      <c r="DD78" s="447"/>
      <c r="DE78" s="447"/>
      <c r="DF78" s="447"/>
      <c r="DG78" s="447"/>
      <c r="DH78" s="447"/>
      <c r="DI78" s="447"/>
      <c r="DJ78" s="447"/>
      <c r="DK78" s="447"/>
      <c r="DL78" s="447"/>
      <c r="DM78" s="447"/>
      <c r="DN78" s="447"/>
      <c r="DO78" s="447"/>
      <c r="DP78" s="447"/>
      <c r="DQ78" s="447"/>
      <c r="DR78" s="447"/>
      <c r="DS78" s="447"/>
      <c r="DT78" s="447"/>
      <c r="DU78" s="447"/>
      <c r="DV78" s="447"/>
      <c r="DW78" s="447"/>
      <c r="DX78" s="447"/>
      <c r="DY78" s="447"/>
      <c r="DZ78" s="447"/>
      <c r="EA78" s="447"/>
      <c r="EB78" s="447"/>
      <c r="EC78" s="447"/>
      <c r="ED78" s="447"/>
      <c r="EE78" s="447"/>
      <c r="EF78" s="447"/>
      <c r="EG78" s="447"/>
      <c r="EH78" s="447"/>
      <c r="EI78" s="447"/>
      <c r="EJ78" s="447"/>
      <c r="EK78" s="447"/>
      <c r="EL78" s="447"/>
      <c r="EM78" s="447"/>
      <c r="EN78" s="447"/>
      <c r="EO78" s="447"/>
      <c r="EP78" s="447"/>
      <c r="EQ78" s="447"/>
      <c r="ER78" s="447"/>
      <c r="ES78" s="447"/>
      <c r="ET78" s="447"/>
      <c r="EU78" s="447"/>
      <c r="EV78" s="447"/>
      <c r="EW78" s="447"/>
      <c r="EX78" s="447"/>
      <c r="EY78" s="447"/>
      <c r="EZ78" s="447"/>
      <c r="FA78" s="447"/>
      <c r="FB78" s="447"/>
      <c r="FC78" s="447"/>
      <c r="FD78" s="447"/>
      <c r="FE78" s="447"/>
      <c r="FF78" s="447"/>
      <c r="FG78" s="447"/>
      <c r="FH78" s="447"/>
      <c r="FI78" s="447"/>
      <c r="FJ78" s="447"/>
      <c r="FK78" s="447"/>
      <c r="FL78" s="447"/>
      <c r="FM78" s="447"/>
      <c r="FN78" s="447"/>
      <c r="FO78" s="447"/>
      <c r="FP78" s="447"/>
      <c r="FQ78" s="447"/>
      <c r="FR78" s="447"/>
      <c r="FS78" s="447"/>
      <c r="FT78" s="447"/>
      <c r="FU78" s="447"/>
      <c r="FV78" s="447"/>
      <c r="FW78" s="447"/>
      <c r="FX78" s="447"/>
      <c r="FY78" s="447"/>
      <c r="FZ78" s="447"/>
      <c r="GA78" s="447"/>
      <c r="GB78" s="447"/>
      <c r="GC78" s="447"/>
      <c r="GD78" s="447"/>
      <c r="GE78" s="447"/>
      <c r="GF78" s="447"/>
      <c r="GG78" s="447"/>
      <c r="GH78" s="447"/>
      <c r="GI78" s="447"/>
      <c r="GJ78" s="447"/>
      <c r="GK78" s="447"/>
      <c r="GL78" s="447"/>
      <c r="GM78" s="447"/>
      <c r="GN78" s="447"/>
      <c r="GO78" s="447"/>
      <c r="GP78" s="447"/>
      <c r="GQ78" s="447"/>
      <c r="GR78" s="447"/>
      <c r="GS78" s="447"/>
      <c r="GT78" s="447"/>
      <c r="GU78" s="447"/>
      <c r="GV78" s="447"/>
      <c r="GW78" s="447"/>
      <c r="GX78" s="447"/>
      <c r="GY78" s="447"/>
      <c r="GZ78" s="447"/>
      <c r="HA78" s="447"/>
      <c r="HB78" s="447"/>
      <c r="HC78" s="447"/>
      <c r="HD78" s="447"/>
      <c r="HE78" s="447"/>
      <c r="HF78" s="447"/>
      <c r="HG78" s="447"/>
      <c r="HH78" s="447"/>
      <c r="HI78" s="447"/>
      <c r="HJ78" s="447"/>
      <c r="HK78" s="447"/>
      <c r="HL78" s="447"/>
      <c r="HM78" s="447"/>
      <c r="HN78" s="447"/>
      <c r="HO78" s="447"/>
      <c r="HP78" s="447"/>
      <c r="HQ78" s="447"/>
      <c r="HR78" s="447"/>
      <c r="HS78" s="447"/>
      <c r="HT78" s="447"/>
      <c r="HU78" s="447"/>
      <c r="HV78" s="447"/>
      <c r="HW78" s="447"/>
      <c r="HX78" s="447"/>
      <c r="HY78" s="447"/>
      <c r="HZ78" s="447"/>
      <c r="IA78" s="447"/>
      <c r="IB78" s="447"/>
      <c r="IC78" s="447"/>
      <c r="ID78" s="447"/>
      <c r="IE78" s="447"/>
      <c r="IF78" s="447"/>
      <c r="IG78" s="447"/>
      <c r="IH78" s="447"/>
      <c r="II78" s="447"/>
      <c r="IJ78" s="447"/>
      <c r="IK78" s="447"/>
      <c r="IL78" s="447"/>
      <c r="IM78" s="447"/>
      <c r="IN78" s="447"/>
      <c r="IO78" s="447"/>
      <c r="IP78" s="447"/>
      <c r="IQ78" s="447"/>
      <c r="IR78" s="447"/>
    </row>
    <row r="79" spans="1:252" ht="19.899999999999999" customHeight="1">
      <c r="A79" s="561">
        <v>65</v>
      </c>
      <c r="B79" s="562" t="s">
        <v>1461</v>
      </c>
      <c r="C79" s="563"/>
      <c r="D79" s="564">
        <v>10</v>
      </c>
      <c r="E79" s="564">
        <v>10</v>
      </c>
      <c r="F79" s="569">
        <f t="shared" si="1"/>
        <v>0</v>
      </c>
      <c r="G79" s="446"/>
      <c r="H79" s="447"/>
      <c r="I79" s="447"/>
      <c r="J79" s="449"/>
      <c r="K79" s="447"/>
      <c r="L79" s="447"/>
      <c r="M79" s="447"/>
      <c r="N79" s="447"/>
      <c r="O79" s="447"/>
      <c r="P79" s="447"/>
      <c r="Q79" s="447"/>
      <c r="R79" s="447"/>
      <c r="S79" s="447"/>
      <c r="T79" s="447"/>
      <c r="U79" s="447"/>
      <c r="V79" s="447"/>
      <c r="W79" s="447"/>
      <c r="X79" s="447"/>
      <c r="Y79" s="447"/>
      <c r="Z79" s="447"/>
      <c r="AA79" s="447"/>
      <c r="AB79" s="447"/>
      <c r="AC79" s="447"/>
      <c r="AD79" s="447"/>
      <c r="AE79" s="447"/>
      <c r="AF79" s="447"/>
      <c r="AG79" s="447"/>
      <c r="AH79" s="447"/>
      <c r="AI79" s="447"/>
      <c r="AJ79" s="447"/>
      <c r="AK79" s="447"/>
      <c r="AL79" s="447"/>
      <c r="AM79" s="447"/>
      <c r="AN79" s="447"/>
      <c r="AO79" s="447"/>
      <c r="AP79" s="447"/>
      <c r="AQ79" s="447"/>
      <c r="AR79" s="447"/>
      <c r="AS79" s="447"/>
      <c r="AT79" s="447"/>
      <c r="AU79" s="447"/>
      <c r="AV79" s="447"/>
      <c r="AW79" s="447"/>
      <c r="AX79" s="447"/>
      <c r="AY79" s="447"/>
      <c r="AZ79" s="447"/>
      <c r="BA79" s="447"/>
      <c r="BB79" s="447"/>
      <c r="BC79" s="447"/>
      <c r="BD79" s="447"/>
      <c r="BE79" s="447"/>
      <c r="BF79" s="447"/>
      <c r="BG79" s="447"/>
      <c r="BH79" s="447"/>
      <c r="BI79" s="447"/>
      <c r="BJ79" s="447"/>
      <c r="BK79" s="447"/>
      <c r="BL79" s="447"/>
      <c r="BM79" s="447"/>
      <c r="BN79" s="447"/>
      <c r="BO79" s="447"/>
      <c r="BP79" s="447"/>
      <c r="BQ79" s="447"/>
      <c r="BR79" s="447"/>
      <c r="BS79" s="447"/>
      <c r="BT79" s="447"/>
      <c r="BU79" s="447"/>
      <c r="BV79" s="447"/>
      <c r="BW79" s="447"/>
      <c r="BX79" s="447"/>
      <c r="BY79" s="447"/>
      <c r="BZ79" s="447"/>
      <c r="CA79" s="447"/>
      <c r="CB79" s="447"/>
      <c r="CC79" s="447"/>
      <c r="CD79" s="447"/>
      <c r="CE79" s="447"/>
      <c r="CF79" s="447"/>
      <c r="CG79" s="447"/>
      <c r="CH79" s="447"/>
      <c r="CI79" s="447"/>
      <c r="CJ79" s="447"/>
      <c r="CK79" s="447"/>
      <c r="CL79" s="447"/>
      <c r="CM79" s="447"/>
      <c r="CN79" s="447"/>
      <c r="CO79" s="447"/>
      <c r="CP79" s="447"/>
      <c r="CQ79" s="447"/>
      <c r="CR79" s="447"/>
      <c r="CS79" s="447"/>
      <c r="CT79" s="447"/>
      <c r="CU79" s="447"/>
      <c r="CV79" s="447"/>
      <c r="CW79" s="447"/>
      <c r="CX79" s="447"/>
      <c r="CY79" s="447"/>
      <c r="CZ79" s="447"/>
      <c r="DA79" s="447"/>
      <c r="DB79" s="447"/>
      <c r="DC79" s="447"/>
      <c r="DD79" s="447"/>
      <c r="DE79" s="447"/>
      <c r="DF79" s="447"/>
      <c r="DG79" s="447"/>
      <c r="DH79" s="447"/>
      <c r="DI79" s="447"/>
      <c r="DJ79" s="447"/>
      <c r="DK79" s="447"/>
      <c r="DL79" s="447"/>
      <c r="DM79" s="447"/>
      <c r="DN79" s="447"/>
      <c r="DO79" s="447"/>
      <c r="DP79" s="447"/>
      <c r="DQ79" s="447"/>
      <c r="DR79" s="447"/>
      <c r="DS79" s="447"/>
      <c r="DT79" s="447"/>
      <c r="DU79" s="447"/>
      <c r="DV79" s="447"/>
      <c r="DW79" s="447"/>
      <c r="DX79" s="447"/>
      <c r="DY79" s="447"/>
      <c r="DZ79" s="447"/>
      <c r="EA79" s="447"/>
      <c r="EB79" s="447"/>
      <c r="EC79" s="447"/>
      <c r="ED79" s="447"/>
      <c r="EE79" s="447"/>
      <c r="EF79" s="447"/>
      <c r="EG79" s="447"/>
      <c r="EH79" s="447"/>
      <c r="EI79" s="447"/>
      <c r="EJ79" s="447"/>
      <c r="EK79" s="447"/>
      <c r="EL79" s="447"/>
      <c r="EM79" s="447"/>
      <c r="EN79" s="447"/>
      <c r="EO79" s="447"/>
      <c r="EP79" s="447"/>
      <c r="EQ79" s="447"/>
      <c r="ER79" s="447"/>
      <c r="ES79" s="447"/>
      <c r="ET79" s="447"/>
      <c r="EU79" s="447"/>
      <c r="EV79" s="447"/>
      <c r="EW79" s="447"/>
      <c r="EX79" s="447"/>
      <c r="EY79" s="447"/>
      <c r="EZ79" s="447"/>
      <c r="FA79" s="447"/>
      <c r="FB79" s="447"/>
      <c r="FC79" s="447"/>
      <c r="FD79" s="447"/>
      <c r="FE79" s="447"/>
      <c r="FF79" s="447"/>
      <c r="FG79" s="447"/>
      <c r="FH79" s="447"/>
      <c r="FI79" s="447"/>
      <c r="FJ79" s="447"/>
      <c r="FK79" s="447"/>
      <c r="FL79" s="447"/>
      <c r="FM79" s="447"/>
      <c r="FN79" s="447"/>
      <c r="FO79" s="447"/>
      <c r="FP79" s="447"/>
      <c r="FQ79" s="447"/>
      <c r="FR79" s="447"/>
      <c r="FS79" s="447"/>
      <c r="FT79" s="447"/>
      <c r="FU79" s="447"/>
      <c r="FV79" s="447"/>
      <c r="FW79" s="447"/>
      <c r="FX79" s="447"/>
      <c r="FY79" s="447"/>
      <c r="FZ79" s="447"/>
      <c r="GA79" s="447"/>
      <c r="GB79" s="447"/>
      <c r="GC79" s="447"/>
      <c r="GD79" s="447"/>
      <c r="GE79" s="447"/>
      <c r="GF79" s="447"/>
      <c r="GG79" s="447"/>
      <c r="GH79" s="447"/>
      <c r="GI79" s="447"/>
      <c r="GJ79" s="447"/>
      <c r="GK79" s="447"/>
      <c r="GL79" s="447"/>
      <c r="GM79" s="447"/>
      <c r="GN79" s="447"/>
      <c r="GO79" s="447"/>
      <c r="GP79" s="447"/>
      <c r="GQ79" s="447"/>
      <c r="GR79" s="447"/>
      <c r="GS79" s="447"/>
      <c r="GT79" s="447"/>
      <c r="GU79" s="447"/>
      <c r="GV79" s="447"/>
      <c r="GW79" s="447"/>
      <c r="GX79" s="447"/>
      <c r="GY79" s="447"/>
      <c r="GZ79" s="447"/>
      <c r="HA79" s="447"/>
      <c r="HB79" s="447"/>
      <c r="HC79" s="447"/>
      <c r="HD79" s="447"/>
      <c r="HE79" s="447"/>
      <c r="HF79" s="447"/>
      <c r="HG79" s="447"/>
      <c r="HH79" s="447"/>
      <c r="HI79" s="447"/>
      <c r="HJ79" s="447"/>
      <c r="HK79" s="447"/>
      <c r="HL79" s="447"/>
      <c r="HM79" s="447"/>
      <c r="HN79" s="447"/>
      <c r="HO79" s="447"/>
      <c r="HP79" s="447"/>
      <c r="HQ79" s="447"/>
      <c r="HR79" s="447"/>
      <c r="HS79" s="447"/>
      <c r="HT79" s="447"/>
      <c r="HU79" s="447"/>
      <c r="HV79" s="447"/>
      <c r="HW79" s="447"/>
      <c r="HX79" s="447"/>
      <c r="HY79" s="447"/>
      <c r="HZ79" s="447"/>
      <c r="IA79" s="447"/>
      <c r="IB79" s="447"/>
      <c r="IC79" s="447"/>
      <c r="ID79" s="447"/>
      <c r="IE79" s="447"/>
      <c r="IF79" s="447"/>
      <c r="IG79" s="447"/>
      <c r="IH79" s="447"/>
      <c r="II79" s="447"/>
      <c r="IJ79" s="447"/>
      <c r="IK79" s="447"/>
      <c r="IL79" s="447"/>
      <c r="IM79" s="447"/>
      <c r="IN79" s="447"/>
      <c r="IO79" s="447"/>
      <c r="IP79" s="447"/>
      <c r="IQ79" s="447"/>
      <c r="IR79" s="447"/>
    </row>
    <row r="80" spans="1:252" ht="19.899999999999999" customHeight="1">
      <c r="A80" s="561">
        <v>66</v>
      </c>
      <c r="B80" s="562" t="s">
        <v>1462</v>
      </c>
      <c r="C80" s="563" t="s">
        <v>427</v>
      </c>
      <c r="D80" s="564">
        <v>1</v>
      </c>
      <c r="E80" s="564">
        <v>1</v>
      </c>
      <c r="F80" s="569">
        <f t="shared" si="1"/>
        <v>0</v>
      </c>
      <c r="G80" s="446"/>
      <c r="H80" s="447"/>
      <c r="I80" s="447"/>
      <c r="J80" s="449"/>
      <c r="K80" s="447"/>
      <c r="L80" s="447"/>
      <c r="M80" s="447"/>
      <c r="N80" s="447"/>
      <c r="O80" s="447"/>
      <c r="P80" s="447"/>
      <c r="Q80" s="447"/>
      <c r="R80" s="447"/>
      <c r="S80" s="447"/>
      <c r="T80" s="447"/>
      <c r="U80" s="447"/>
      <c r="V80" s="447"/>
      <c r="W80" s="447"/>
      <c r="X80" s="447"/>
      <c r="Y80" s="447"/>
      <c r="Z80" s="447"/>
      <c r="AA80" s="447"/>
      <c r="AB80" s="447"/>
      <c r="AC80" s="447"/>
      <c r="AD80" s="447"/>
      <c r="AE80" s="447"/>
      <c r="AF80" s="447"/>
      <c r="AG80" s="447"/>
      <c r="AH80" s="447"/>
      <c r="AI80" s="447"/>
      <c r="AJ80" s="447"/>
      <c r="AK80" s="447"/>
      <c r="AL80" s="447"/>
      <c r="AM80" s="447"/>
      <c r="AN80" s="447"/>
      <c r="AO80" s="447"/>
      <c r="AP80" s="447"/>
      <c r="AQ80" s="447"/>
      <c r="AR80" s="447"/>
      <c r="AS80" s="447"/>
      <c r="AT80" s="447"/>
      <c r="AU80" s="447"/>
      <c r="AV80" s="447"/>
      <c r="AW80" s="447"/>
      <c r="AX80" s="447"/>
      <c r="AY80" s="447"/>
      <c r="AZ80" s="447"/>
      <c r="BA80" s="447"/>
      <c r="BB80" s="447"/>
      <c r="BC80" s="447"/>
      <c r="BD80" s="447"/>
      <c r="BE80" s="447"/>
      <c r="BF80" s="447"/>
      <c r="BG80" s="447"/>
      <c r="BH80" s="447"/>
      <c r="BI80" s="447"/>
      <c r="BJ80" s="447"/>
      <c r="BK80" s="447"/>
      <c r="BL80" s="447"/>
      <c r="BM80" s="447"/>
      <c r="BN80" s="447"/>
      <c r="BO80" s="447"/>
      <c r="BP80" s="447"/>
      <c r="BQ80" s="447"/>
      <c r="BR80" s="447"/>
      <c r="BS80" s="447"/>
      <c r="BT80" s="447"/>
      <c r="BU80" s="447"/>
      <c r="BV80" s="447"/>
      <c r="BW80" s="447"/>
      <c r="BX80" s="447"/>
      <c r="BY80" s="447"/>
      <c r="BZ80" s="447"/>
      <c r="CA80" s="447"/>
      <c r="CB80" s="447"/>
      <c r="CC80" s="447"/>
      <c r="CD80" s="447"/>
      <c r="CE80" s="447"/>
      <c r="CF80" s="447"/>
      <c r="CG80" s="447"/>
      <c r="CH80" s="447"/>
      <c r="CI80" s="447"/>
      <c r="CJ80" s="447"/>
      <c r="CK80" s="447"/>
      <c r="CL80" s="447"/>
      <c r="CM80" s="447"/>
      <c r="CN80" s="447"/>
      <c r="CO80" s="447"/>
      <c r="CP80" s="447"/>
      <c r="CQ80" s="447"/>
      <c r="CR80" s="447"/>
      <c r="CS80" s="447"/>
      <c r="CT80" s="447"/>
      <c r="CU80" s="447"/>
      <c r="CV80" s="447"/>
      <c r="CW80" s="447"/>
      <c r="CX80" s="447"/>
      <c r="CY80" s="447"/>
      <c r="CZ80" s="447"/>
      <c r="DA80" s="447"/>
      <c r="DB80" s="447"/>
      <c r="DC80" s="447"/>
      <c r="DD80" s="447"/>
      <c r="DE80" s="447"/>
      <c r="DF80" s="447"/>
      <c r="DG80" s="447"/>
      <c r="DH80" s="447"/>
      <c r="DI80" s="447"/>
      <c r="DJ80" s="447"/>
      <c r="DK80" s="447"/>
      <c r="DL80" s="447"/>
      <c r="DM80" s="447"/>
      <c r="DN80" s="447"/>
      <c r="DO80" s="447"/>
      <c r="DP80" s="447"/>
      <c r="DQ80" s="447"/>
      <c r="DR80" s="447"/>
      <c r="DS80" s="447"/>
      <c r="DT80" s="447"/>
      <c r="DU80" s="447"/>
      <c r="DV80" s="447"/>
      <c r="DW80" s="447"/>
      <c r="DX80" s="447"/>
      <c r="DY80" s="447"/>
      <c r="DZ80" s="447"/>
      <c r="EA80" s="447"/>
      <c r="EB80" s="447"/>
      <c r="EC80" s="447"/>
      <c r="ED80" s="447"/>
      <c r="EE80" s="447"/>
      <c r="EF80" s="447"/>
      <c r="EG80" s="447"/>
      <c r="EH80" s="447"/>
      <c r="EI80" s="447"/>
      <c r="EJ80" s="447"/>
      <c r="EK80" s="447"/>
      <c r="EL80" s="447"/>
      <c r="EM80" s="447"/>
      <c r="EN80" s="447"/>
      <c r="EO80" s="447"/>
      <c r="EP80" s="447"/>
      <c r="EQ80" s="447"/>
      <c r="ER80" s="447"/>
      <c r="ES80" s="447"/>
      <c r="ET80" s="447"/>
      <c r="EU80" s="447"/>
      <c r="EV80" s="447"/>
      <c r="EW80" s="447"/>
      <c r="EX80" s="447"/>
      <c r="EY80" s="447"/>
      <c r="EZ80" s="447"/>
      <c r="FA80" s="447"/>
      <c r="FB80" s="447"/>
      <c r="FC80" s="447"/>
      <c r="FD80" s="447"/>
      <c r="FE80" s="447"/>
      <c r="FF80" s="447"/>
      <c r="FG80" s="447"/>
      <c r="FH80" s="447"/>
      <c r="FI80" s="447"/>
      <c r="FJ80" s="447"/>
      <c r="FK80" s="447"/>
      <c r="FL80" s="447"/>
      <c r="FM80" s="447"/>
      <c r="FN80" s="447"/>
      <c r="FO80" s="447"/>
      <c r="FP80" s="447"/>
      <c r="FQ80" s="447"/>
      <c r="FR80" s="447"/>
      <c r="FS80" s="447"/>
      <c r="FT80" s="447"/>
      <c r="FU80" s="447"/>
      <c r="FV80" s="447"/>
      <c r="FW80" s="447"/>
      <c r="FX80" s="447"/>
      <c r="FY80" s="447"/>
      <c r="FZ80" s="447"/>
      <c r="GA80" s="447"/>
      <c r="GB80" s="447"/>
      <c r="GC80" s="447"/>
      <c r="GD80" s="447"/>
      <c r="GE80" s="447"/>
      <c r="GF80" s="447"/>
      <c r="GG80" s="447"/>
      <c r="GH80" s="447"/>
      <c r="GI80" s="447"/>
      <c r="GJ80" s="447"/>
      <c r="GK80" s="447"/>
      <c r="GL80" s="447"/>
      <c r="GM80" s="447"/>
      <c r="GN80" s="447"/>
      <c r="GO80" s="447"/>
      <c r="GP80" s="447"/>
      <c r="GQ80" s="447"/>
      <c r="GR80" s="447"/>
      <c r="GS80" s="447"/>
      <c r="GT80" s="447"/>
      <c r="GU80" s="447"/>
      <c r="GV80" s="447"/>
      <c r="GW80" s="447"/>
      <c r="GX80" s="447"/>
      <c r="GY80" s="447"/>
      <c r="GZ80" s="447"/>
      <c r="HA80" s="447"/>
      <c r="HB80" s="447"/>
      <c r="HC80" s="447"/>
      <c r="HD80" s="447"/>
      <c r="HE80" s="447"/>
      <c r="HF80" s="447"/>
      <c r="HG80" s="447"/>
      <c r="HH80" s="447"/>
      <c r="HI80" s="447"/>
      <c r="HJ80" s="447"/>
      <c r="HK80" s="447"/>
      <c r="HL80" s="447"/>
      <c r="HM80" s="447"/>
      <c r="HN80" s="447"/>
      <c r="HO80" s="447"/>
      <c r="HP80" s="447"/>
      <c r="HQ80" s="447"/>
      <c r="HR80" s="447"/>
      <c r="HS80" s="447"/>
      <c r="HT80" s="447"/>
      <c r="HU80" s="447"/>
      <c r="HV80" s="447"/>
      <c r="HW80" s="447"/>
      <c r="HX80" s="447"/>
      <c r="HY80" s="447"/>
      <c r="HZ80" s="447"/>
      <c r="IA80" s="447"/>
      <c r="IB80" s="447"/>
      <c r="IC80" s="447"/>
      <c r="ID80" s="447"/>
      <c r="IE80" s="447"/>
      <c r="IF80" s="447"/>
      <c r="IG80" s="447"/>
      <c r="IH80" s="447"/>
      <c r="II80" s="447"/>
      <c r="IJ80" s="447"/>
      <c r="IK80" s="447"/>
      <c r="IL80" s="447"/>
      <c r="IM80" s="447"/>
      <c r="IN80" s="447"/>
      <c r="IO80" s="447"/>
      <c r="IP80" s="447"/>
      <c r="IQ80" s="447"/>
      <c r="IR80" s="447"/>
    </row>
    <row r="81" spans="1:253" ht="19.899999999999999" customHeight="1">
      <c r="A81" s="561">
        <v>67</v>
      </c>
      <c r="B81" s="562" t="s">
        <v>1463</v>
      </c>
      <c r="C81" s="563"/>
      <c r="D81" s="564">
        <v>1</v>
      </c>
      <c r="E81" s="564">
        <v>1</v>
      </c>
      <c r="F81" s="569">
        <f t="shared" si="1"/>
        <v>0</v>
      </c>
      <c r="G81" s="446"/>
      <c r="H81" s="447"/>
      <c r="I81" s="447"/>
      <c r="J81" s="449"/>
      <c r="K81" s="447"/>
      <c r="L81" s="447"/>
      <c r="M81" s="447"/>
      <c r="N81" s="447"/>
      <c r="O81" s="447"/>
      <c r="P81" s="447"/>
      <c r="Q81" s="447"/>
      <c r="R81" s="447"/>
      <c r="S81" s="447"/>
      <c r="T81" s="447"/>
      <c r="U81" s="447"/>
      <c r="V81" s="447"/>
      <c r="W81" s="447"/>
      <c r="X81" s="447"/>
      <c r="Y81" s="447"/>
      <c r="Z81" s="447"/>
      <c r="AA81" s="447"/>
      <c r="AB81" s="447"/>
      <c r="AC81" s="447"/>
      <c r="AD81" s="447"/>
      <c r="AE81" s="447"/>
      <c r="AF81" s="447"/>
      <c r="AG81" s="447"/>
      <c r="AH81" s="447"/>
      <c r="AI81" s="447"/>
      <c r="AJ81" s="447"/>
      <c r="AK81" s="447"/>
      <c r="AL81" s="447"/>
      <c r="AM81" s="447"/>
      <c r="AN81" s="447"/>
      <c r="AO81" s="447"/>
      <c r="AP81" s="447"/>
      <c r="AQ81" s="447"/>
      <c r="AR81" s="447"/>
      <c r="AS81" s="447"/>
      <c r="AT81" s="447"/>
      <c r="AU81" s="447"/>
      <c r="AV81" s="447"/>
      <c r="AW81" s="447"/>
      <c r="AX81" s="447"/>
      <c r="AY81" s="447"/>
      <c r="AZ81" s="447"/>
      <c r="BA81" s="447"/>
      <c r="BB81" s="447"/>
      <c r="BC81" s="447"/>
      <c r="BD81" s="447"/>
      <c r="BE81" s="447"/>
      <c r="BF81" s="447"/>
      <c r="BG81" s="447"/>
      <c r="BH81" s="447"/>
      <c r="BI81" s="447"/>
      <c r="BJ81" s="447"/>
      <c r="BK81" s="447"/>
      <c r="BL81" s="447"/>
      <c r="BM81" s="447"/>
      <c r="BN81" s="447"/>
      <c r="BO81" s="447"/>
      <c r="BP81" s="447"/>
      <c r="BQ81" s="447"/>
      <c r="BR81" s="447"/>
      <c r="BS81" s="447"/>
      <c r="BT81" s="447"/>
      <c r="BU81" s="447"/>
      <c r="BV81" s="447"/>
      <c r="BW81" s="447"/>
      <c r="BX81" s="447"/>
      <c r="BY81" s="447"/>
      <c r="BZ81" s="447"/>
      <c r="CA81" s="447"/>
      <c r="CB81" s="447"/>
      <c r="CC81" s="447"/>
      <c r="CD81" s="447"/>
      <c r="CE81" s="447"/>
      <c r="CF81" s="447"/>
      <c r="CG81" s="447"/>
      <c r="CH81" s="447"/>
      <c r="CI81" s="447"/>
      <c r="CJ81" s="447"/>
      <c r="CK81" s="447"/>
      <c r="CL81" s="447"/>
      <c r="CM81" s="447"/>
      <c r="CN81" s="447"/>
      <c r="CO81" s="447"/>
      <c r="CP81" s="447"/>
      <c r="CQ81" s="447"/>
      <c r="CR81" s="447"/>
      <c r="CS81" s="447"/>
      <c r="CT81" s="447"/>
      <c r="CU81" s="447"/>
      <c r="CV81" s="447"/>
      <c r="CW81" s="447"/>
      <c r="CX81" s="447"/>
      <c r="CY81" s="447"/>
      <c r="CZ81" s="447"/>
      <c r="DA81" s="447"/>
      <c r="DB81" s="447"/>
      <c r="DC81" s="447"/>
      <c r="DD81" s="447"/>
      <c r="DE81" s="447"/>
      <c r="DF81" s="447"/>
      <c r="DG81" s="447"/>
      <c r="DH81" s="447"/>
      <c r="DI81" s="447"/>
      <c r="DJ81" s="447"/>
      <c r="DK81" s="447"/>
      <c r="DL81" s="447"/>
      <c r="DM81" s="447"/>
      <c r="DN81" s="447"/>
      <c r="DO81" s="447"/>
      <c r="DP81" s="447"/>
      <c r="DQ81" s="447"/>
      <c r="DR81" s="447"/>
      <c r="DS81" s="447"/>
      <c r="DT81" s="447"/>
      <c r="DU81" s="447"/>
      <c r="DV81" s="447"/>
      <c r="DW81" s="447"/>
      <c r="DX81" s="447"/>
      <c r="DY81" s="447"/>
      <c r="DZ81" s="447"/>
      <c r="EA81" s="447"/>
      <c r="EB81" s="447"/>
      <c r="EC81" s="447"/>
      <c r="ED81" s="447"/>
      <c r="EE81" s="447"/>
      <c r="EF81" s="447"/>
      <c r="EG81" s="447"/>
      <c r="EH81" s="447"/>
      <c r="EI81" s="447"/>
      <c r="EJ81" s="447"/>
      <c r="EK81" s="447"/>
      <c r="EL81" s="447"/>
      <c r="EM81" s="447"/>
      <c r="EN81" s="447"/>
      <c r="EO81" s="447"/>
      <c r="EP81" s="447"/>
      <c r="EQ81" s="447"/>
      <c r="ER81" s="447"/>
      <c r="ES81" s="447"/>
      <c r="ET81" s="447"/>
      <c r="EU81" s="447"/>
      <c r="EV81" s="447"/>
      <c r="EW81" s="447"/>
      <c r="EX81" s="447"/>
      <c r="EY81" s="447"/>
      <c r="EZ81" s="447"/>
      <c r="FA81" s="447"/>
      <c r="FB81" s="447"/>
      <c r="FC81" s="447"/>
      <c r="FD81" s="447"/>
      <c r="FE81" s="447"/>
      <c r="FF81" s="447"/>
      <c r="FG81" s="447"/>
      <c r="FH81" s="447"/>
      <c r="FI81" s="447"/>
      <c r="FJ81" s="447"/>
      <c r="FK81" s="447"/>
      <c r="FL81" s="447"/>
      <c r="FM81" s="447"/>
      <c r="FN81" s="447"/>
      <c r="FO81" s="447"/>
      <c r="FP81" s="447"/>
      <c r="FQ81" s="447"/>
      <c r="FR81" s="447"/>
      <c r="FS81" s="447"/>
      <c r="FT81" s="447"/>
      <c r="FU81" s="447"/>
      <c r="FV81" s="447"/>
      <c r="FW81" s="447"/>
      <c r="FX81" s="447"/>
      <c r="FY81" s="447"/>
      <c r="FZ81" s="447"/>
      <c r="GA81" s="447"/>
      <c r="GB81" s="447"/>
      <c r="GC81" s="447"/>
      <c r="GD81" s="447"/>
      <c r="GE81" s="447"/>
      <c r="GF81" s="447"/>
      <c r="GG81" s="447"/>
      <c r="GH81" s="447"/>
      <c r="GI81" s="447"/>
      <c r="GJ81" s="447"/>
      <c r="GK81" s="447"/>
      <c r="GL81" s="447"/>
      <c r="GM81" s="447"/>
      <c r="GN81" s="447"/>
      <c r="GO81" s="447"/>
      <c r="GP81" s="447"/>
      <c r="GQ81" s="447"/>
      <c r="GR81" s="447"/>
      <c r="GS81" s="447"/>
      <c r="GT81" s="447"/>
      <c r="GU81" s="447"/>
      <c r="GV81" s="447"/>
      <c r="GW81" s="447"/>
      <c r="GX81" s="447"/>
      <c r="GY81" s="447"/>
      <c r="GZ81" s="447"/>
      <c r="HA81" s="447"/>
      <c r="HB81" s="447"/>
      <c r="HC81" s="447"/>
      <c r="HD81" s="447"/>
      <c r="HE81" s="447"/>
      <c r="HF81" s="447"/>
      <c r="HG81" s="447"/>
      <c r="HH81" s="447"/>
      <c r="HI81" s="447"/>
      <c r="HJ81" s="447"/>
      <c r="HK81" s="447"/>
      <c r="HL81" s="447"/>
      <c r="HM81" s="447"/>
      <c r="HN81" s="447"/>
      <c r="HO81" s="447"/>
      <c r="HP81" s="447"/>
      <c r="HQ81" s="447"/>
      <c r="HR81" s="447"/>
      <c r="HS81" s="447"/>
      <c r="HT81" s="447"/>
      <c r="HU81" s="447"/>
      <c r="HV81" s="447"/>
      <c r="HW81" s="447"/>
      <c r="HX81" s="447"/>
      <c r="HY81" s="447"/>
      <c r="HZ81" s="447"/>
      <c r="IA81" s="447"/>
      <c r="IB81" s="447"/>
      <c r="IC81" s="447"/>
      <c r="ID81" s="447"/>
      <c r="IE81" s="447"/>
      <c r="IF81" s="447"/>
      <c r="IG81" s="447"/>
      <c r="IH81" s="447"/>
      <c r="II81" s="447"/>
      <c r="IJ81" s="447"/>
      <c r="IK81" s="447"/>
      <c r="IL81" s="447"/>
      <c r="IM81" s="447"/>
      <c r="IN81" s="447"/>
      <c r="IO81" s="447"/>
      <c r="IP81" s="447"/>
      <c r="IQ81" s="447"/>
      <c r="IR81" s="447"/>
    </row>
    <row r="82" spans="1:253" ht="19.899999999999999" customHeight="1">
      <c r="A82" s="561">
        <v>68</v>
      </c>
      <c r="B82" s="562" t="s">
        <v>1464</v>
      </c>
      <c r="C82" s="563" t="s">
        <v>1465</v>
      </c>
      <c r="D82" s="564">
        <v>1</v>
      </c>
      <c r="E82" s="564">
        <v>1</v>
      </c>
      <c r="F82" s="569">
        <f t="shared" si="1"/>
        <v>0</v>
      </c>
      <c r="G82" s="446"/>
      <c r="H82" s="447"/>
      <c r="I82" s="447"/>
      <c r="J82" s="449"/>
      <c r="K82" s="447"/>
      <c r="L82" s="447"/>
      <c r="M82" s="447"/>
      <c r="N82" s="447"/>
      <c r="O82" s="447"/>
      <c r="P82" s="447"/>
      <c r="Q82" s="447"/>
      <c r="R82" s="447"/>
      <c r="S82" s="447"/>
      <c r="T82" s="447"/>
      <c r="U82" s="447"/>
      <c r="V82" s="447"/>
      <c r="W82" s="447"/>
      <c r="X82" s="447"/>
      <c r="Y82" s="447"/>
      <c r="Z82" s="447"/>
      <c r="AA82" s="447"/>
      <c r="AB82" s="447"/>
      <c r="AC82" s="447"/>
      <c r="AD82" s="447"/>
      <c r="AE82" s="447"/>
      <c r="AF82" s="447"/>
      <c r="AG82" s="447"/>
      <c r="AH82" s="447"/>
      <c r="AI82" s="447"/>
      <c r="AJ82" s="447"/>
      <c r="AK82" s="447"/>
      <c r="AL82" s="447"/>
      <c r="AM82" s="447"/>
      <c r="AN82" s="447"/>
      <c r="AO82" s="447"/>
      <c r="AP82" s="447"/>
      <c r="AQ82" s="447"/>
      <c r="AR82" s="447"/>
      <c r="AS82" s="447"/>
      <c r="AT82" s="447"/>
      <c r="AU82" s="447"/>
      <c r="AV82" s="447"/>
      <c r="AW82" s="447"/>
      <c r="AX82" s="447"/>
      <c r="AY82" s="447"/>
      <c r="AZ82" s="447"/>
      <c r="BA82" s="447"/>
      <c r="BB82" s="447"/>
      <c r="BC82" s="447"/>
      <c r="BD82" s="447"/>
      <c r="BE82" s="447"/>
      <c r="BF82" s="447"/>
      <c r="BG82" s="447"/>
      <c r="BH82" s="447"/>
      <c r="BI82" s="447"/>
      <c r="BJ82" s="447"/>
      <c r="BK82" s="447"/>
      <c r="BL82" s="447"/>
      <c r="BM82" s="447"/>
      <c r="BN82" s="447"/>
      <c r="BO82" s="447"/>
      <c r="BP82" s="447"/>
      <c r="BQ82" s="447"/>
      <c r="BR82" s="447"/>
      <c r="BS82" s="447"/>
      <c r="BT82" s="447"/>
      <c r="BU82" s="447"/>
      <c r="BV82" s="447"/>
      <c r="BW82" s="447"/>
      <c r="BX82" s="447"/>
      <c r="BY82" s="447"/>
      <c r="BZ82" s="447"/>
      <c r="CA82" s="447"/>
      <c r="CB82" s="447"/>
      <c r="CC82" s="447"/>
      <c r="CD82" s="447"/>
      <c r="CE82" s="447"/>
      <c r="CF82" s="447"/>
      <c r="CG82" s="447"/>
      <c r="CH82" s="447"/>
      <c r="CI82" s="447"/>
      <c r="CJ82" s="447"/>
      <c r="CK82" s="447"/>
      <c r="CL82" s="447"/>
      <c r="CM82" s="447"/>
      <c r="CN82" s="447"/>
      <c r="CO82" s="447"/>
      <c r="CP82" s="447"/>
      <c r="CQ82" s="447"/>
      <c r="CR82" s="447"/>
      <c r="CS82" s="447"/>
      <c r="CT82" s="447"/>
      <c r="CU82" s="447"/>
      <c r="CV82" s="447"/>
      <c r="CW82" s="447"/>
      <c r="CX82" s="447"/>
      <c r="CY82" s="447"/>
      <c r="CZ82" s="447"/>
      <c r="DA82" s="447"/>
      <c r="DB82" s="447"/>
      <c r="DC82" s="447"/>
      <c r="DD82" s="447"/>
      <c r="DE82" s="447"/>
      <c r="DF82" s="447"/>
      <c r="DG82" s="447"/>
      <c r="DH82" s="447"/>
      <c r="DI82" s="447"/>
      <c r="DJ82" s="447"/>
      <c r="DK82" s="447"/>
      <c r="DL82" s="447"/>
      <c r="DM82" s="447"/>
      <c r="DN82" s="447"/>
      <c r="DO82" s="447"/>
      <c r="DP82" s="447"/>
      <c r="DQ82" s="447"/>
      <c r="DR82" s="447"/>
      <c r="DS82" s="447"/>
      <c r="DT82" s="447"/>
      <c r="DU82" s="447"/>
      <c r="DV82" s="447"/>
      <c r="DW82" s="447"/>
      <c r="DX82" s="447"/>
      <c r="DY82" s="447"/>
      <c r="DZ82" s="447"/>
      <c r="EA82" s="447"/>
      <c r="EB82" s="447"/>
      <c r="EC82" s="447"/>
      <c r="ED82" s="447"/>
      <c r="EE82" s="447"/>
      <c r="EF82" s="447"/>
      <c r="EG82" s="447"/>
      <c r="EH82" s="447"/>
      <c r="EI82" s="447"/>
      <c r="EJ82" s="447"/>
      <c r="EK82" s="447"/>
      <c r="EL82" s="447"/>
      <c r="EM82" s="447"/>
      <c r="EN82" s="447"/>
      <c r="EO82" s="447"/>
      <c r="EP82" s="447"/>
      <c r="EQ82" s="447"/>
      <c r="ER82" s="447"/>
      <c r="ES82" s="447"/>
      <c r="ET82" s="447"/>
      <c r="EU82" s="447"/>
      <c r="EV82" s="447"/>
      <c r="EW82" s="447"/>
      <c r="EX82" s="447"/>
      <c r="EY82" s="447"/>
      <c r="EZ82" s="447"/>
      <c r="FA82" s="447"/>
      <c r="FB82" s="447"/>
      <c r="FC82" s="447"/>
      <c r="FD82" s="447"/>
      <c r="FE82" s="447"/>
      <c r="FF82" s="447"/>
      <c r="FG82" s="447"/>
      <c r="FH82" s="447"/>
      <c r="FI82" s="447"/>
      <c r="FJ82" s="447"/>
      <c r="FK82" s="447"/>
      <c r="FL82" s="447"/>
      <c r="FM82" s="447"/>
      <c r="FN82" s="447"/>
      <c r="FO82" s="447"/>
      <c r="FP82" s="447"/>
      <c r="FQ82" s="447"/>
      <c r="FR82" s="447"/>
      <c r="FS82" s="447"/>
      <c r="FT82" s="447"/>
      <c r="FU82" s="447"/>
      <c r="FV82" s="447"/>
      <c r="FW82" s="447"/>
      <c r="FX82" s="447"/>
      <c r="FY82" s="447"/>
      <c r="FZ82" s="447"/>
      <c r="GA82" s="447"/>
      <c r="GB82" s="447"/>
      <c r="GC82" s="447"/>
      <c r="GD82" s="447"/>
      <c r="GE82" s="447"/>
      <c r="GF82" s="447"/>
      <c r="GG82" s="447"/>
      <c r="GH82" s="447"/>
      <c r="GI82" s="447"/>
      <c r="GJ82" s="447"/>
      <c r="GK82" s="447"/>
      <c r="GL82" s="447"/>
      <c r="GM82" s="447"/>
      <c r="GN82" s="447"/>
      <c r="GO82" s="447"/>
      <c r="GP82" s="447"/>
      <c r="GQ82" s="447"/>
      <c r="GR82" s="447"/>
      <c r="GS82" s="447"/>
      <c r="GT82" s="447"/>
      <c r="GU82" s="447"/>
      <c r="GV82" s="447"/>
      <c r="GW82" s="447"/>
      <c r="GX82" s="447"/>
      <c r="GY82" s="447"/>
      <c r="GZ82" s="447"/>
      <c r="HA82" s="447"/>
      <c r="HB82" s="447"/>
      <c r="HC82" s="447"/>
      <c r="HD82" s="447"/>
      <c r="HE82" s="447"/>
      <c r="HF82" s="447"/>
      <c r="HG82" s="447"/>
      <c r="HH82" s="447"/>
      <c r="HI82" s="447"/>
      <c r="HJ82" s="447"/>
      <c r="HK82" s="447"/>
      <c r="HL82" s="447"/>
      <c r="HM82" s="447"/>
      <c r="HN82" s="447"/>
      <c r="HO82" s="447"/>
      <c r="HP82" s="447"/>
      <c r="HQ82" s="447"/>
      <c r="HR82" s="447"/>
      <c r="HS82" s="447"/>
      <c r="HT82" s="447"/>
      <c r="HU82" s="447"/>
      <c r="HV82" s="447"/>
      <c r="HW82" s="447"/>
      <c r="HX82" s="447"/>
      <c r="HY82" s="447"/>
      <c r="HZ82" s="447"/>
      <c r="IA82" s="447"/>
      <c r="IB82" s="447"/>
      <c r="IC82" s="447"/>
      <c r="ID82" s="447"/>
      <c r="IE82" s="447"/>
      <c r="IF82" s="447"/>
      <c r="IG82" s="447"/>
      <c r="IH82" s="447"/>
      <c r="II82" s="447"/>
      <c r="IJ82" s="447"/>
      <c r="IK82" s="447"/>
      <c r="IL82" s="447"/>
      <c r="IM82" s="447"/>
      <c r="IN82" s="447"/>
      <c r="IO82" s="447"/>
      <c r="IP82" s="447"/>
      <c r="IQ82" s="447"/>
      <c r="IR82" s="447"/>
    </row>
    <row r="83" spans="1:253" ht="19.899999999999999" customHeight="1">
      <c r="A83" s="561">
        <v>69</v>
      </c>
      <c r="B83" s="562" t="s">
        <v>1466</v>
      </c>
      <c r="C83" s="563"/>
      <c r="D83" s="564">
        <v>1</v>
      </c>
      <c r="E83" s="564">
        <v>1</v>
      </c>
      <c r="F83" s="569">
        <f t="shared" si="1"/>
        <v>0</v>
      </c>
      <c r="G83" s="446"/>
      <c r="H83" s="447"/>
      <c r="I83" s="447"/>
      <c r="J83" s="449"/>
      <c r="K83" s="447"/>
      <c r="L83" s="447"/>
      <c r="M83" s="447"/>
      <c r="N83" s="447"/>
      <c r="O83" s="447"/>
      <c r="P83" s="447"/>
      <c r="Q83" s="447"/>
      <c r="R83" s="447"/>
      <c r="S83" s="447"/>
      <c r="T83" s="447"/>
      <c r="U83" s="447"/>
      <c r="V83" s="447"/>
      <c r="W83" s="447"/>
      <c r="X83" s="447"/>
      <c r="Y83" s="447"/>
      <c r="Z83" s="447"/>
      <c r="AA83" s="447"/>
      <c r="AB83" s="447"/>
      <c r="AC83" s="447"/>
      <c r="AD83" s="447"/>
      <c r="AE83" s="447"/>
      <c r="AF83" s="447"/>
      <c r="AG83" s="447"/>
      <c r="AH83" s="447"/>
      <c r="AI83" s="447"/>
      <c r="AJ83" s="447"/>
      <c r="AK83" s="447"/>
      <c r="AL83" s="447"/>
      <c r="AM83" s="447"/>
      <c r="AN83" s="447"/>
      <c r="AO83" s="447"/>
      <c r="AP83" s="447"/>
      <c r="AQ83" s="447"/>
      <c r="AR83" s="447"/>
      <c r="AS83" s="447"/>
      <c r="AT83" s="447"/>
      <c r="AU83" s="447"/>
      <c r="AV83" s="447"/>
      <c r="AW83" s="447"/>
      <c r="AX83" s="447"/>
      <c r="AY83" s="447"/>
      <c r="AZ83" s="447"/>
      <c r="BA83" s="447"/>
      <c r="BB83" s="447"/>
      <c r="BC83" s="447"/>
      <c r="BD83" s="447"/>
      <c r="BE83" s="447"/>
      <c r="BF83" s="447"/>
      <c r="BG83" s="447"/>
      <c r="BH83" s="447"/>
      <c r="BI83" s="447"/>
      <c r="BJ83" s="447"/>
      <c r="BK83" s="447"/>
      <c r="BL83" s="447"/>
      <c r="BM83" s="447"/>
      <c r="BN83" s="447"/>
      <c r="BO83" s="447"/>
      <c r="BP83" s="447"/>
      <c r="BQ83" s="447"/>
      <c r="BR83" s="447"/>
      <c r="BS83" s="447"/>
      <c r="BT83" s="447"/>
      <c r="BU83" s="447"/>
      <c r="BV83" s="447"/>
      <c r="BW83" s="447"/>
      <c r="BX83" s="447"/>
      <c r="BY83" s="447"/>
      <c r="BZ83" s="447"/>
      <c r="CA83" s="447"/>
      <c r="CB83" s="447"/>
      <c r="CC83" s="447"/>
      <c r="CD83" s="447"/>
      <c r="CE83" s="447"/>
      <c r="CF83" s="447"/>
      <c r="CG83" s="447"/>
      <c r="CH83" s="447"/>
      <c r="CI83" s="447"/>
      <c r="CJ83" s="447"/>
      <c r="CK83" s="447"/>
      <c r="CL83" s="447"/>
      <c r="CM83" s="447"/>
      <c r="CN83" s="447"/>
      <c r="CO83" s="447"/>
      <c r="CP83" s="447"/>
      <c r="CQ83" s="447"/>
      <c r="CR83" s="447"/>
      <c r="CS83" s="447"/>
      <c r="CT83" s="447"/>
      <c r="CU83" s="447"/>
      <c r="CV83" s="447"/>
      <c r="CW83" s="447"/>
      <c r="CX83" s="447"/>
      <c r="CY83" s="447"/>
      <c r="CZ83" s="447"/>
      <c r="DA83" s="447"/>
      <c r="DB83" s="447"/>
      <c r="DC83" s="447"/>
      <c r="DD83" s="447"/>
      <c r="DE83" s="447"/>
      <c r="DF83" s="447"/>
      <c r="DG83" s="447"/>
      <c r="DH83" s="447"/>
      <c r="DI83" s="447"/>
      <c r="DJ83" s="447"/>
      <c r="DK83" s="447"/>
      <c r="DL83" s="447"/>
      <c r="DM83" s="447"/>
      <c r="DN83" s="447"/>
      <c r="DO83" s="447"/>
      <c r="DP83" s="447"/>
      <c r="DQ83" s="447"/>
      <c r="DR83" s="447"/>
      <c r="DS83" s="447"/>
      <c r="DT83" s="447"/>
      <c r="DU83" s="447"/>
      <c r="DV83" s="447"/>
      <c r="DW83" s="447"/>
      <c r="DX83" s="447"/>
      <c r="DY83" s="447"/>
      <c r="DZ83" s="447"/>
      <c r="EA83" s="447"/>
      <c r="EB83" s="447"/>
      <c r="EC83" s="447"/>
      <c r="ED83" s="447"/>
      <c r="EE83" s="447"/>
      <c r="EF83" s="447"/>
      <c r="EG83" s="447"/>
      <c r="EH83" s="447"/>
      <c r="EI83" s="447"/>
      <c r="EJ83" s="447"/>
      <c r="EK83" s="447"/>
      <c r="EL83" s="447"/>
      <c r="EM83" s="447"/>
      <c r="EN83" s="447"/>
      <c r="EO83" s="447"/>
      <c r="EP83" s="447"/>
      <c r="EQ83" s="447"/>
      <c r="ER83" s="447"/>
      <c r="ES83" s="447"/>
      <c r="ET83" s="447"/>
      <c r="EU83" s="447"/>
      <c r="EV83" s="447"/>
      <c r="EW83" s="447"/>
      <c r="EX83" s="447"/>
      <c r="EY83" s="447"/>
      <c r="EZ83" s="447"/>
      <c r="FA83" s="447"/>
      <c r="FB83" s="447"/>
      <c r="FC83" s="447"/>
      <c r="FD83" s="447"/>
      <c r="FE83" s="447"/>
      <c r="FF83" s="447"/>
      <c r="FG83" s="447"/>
      <c r="FH83" s="447"/>
      <c r="FI83" s="447"/>
      <c r="FJ83" s="447"/>
      <c r="FK83" s="447"/>
      <c r="FL83" s="447"/>
      <c r="FM83" s="447"/>
      <c r="FN83" s="447"/>
      <c r="FO83" s="447"/>
      <c r="FP83" s="447"/>
      <c r="FQ83" s="447"/>
      <c r="FR83" s="447"/>
      <c r="FS83" s="447"/>
      <c r="FT83" s="447"/>
      <c r="FU83" s="447"/>
      <c r="FV83" s="447"/>
      <c r="FW83" s="447"/>
      <c r="FX83" s="447"/>
      <c r="FY83" s="447"/>
      <c r="FZ83" s="447"/>
      <c r="GA83" s="447"/>
      <c r="GB83" s="447"/>
      <c r="GC83" s="447"/>
      <c r="GD83" s="447"/>
      <c r="GE83" s="447"/>
      <c r="GF83" s="447"/>
      <c r="GG83" s="447"/>
      <c r="GH83" s="447"/>
      <c r="GI83" s="447"/>
      <c r="GJ83" s="447"/>
      <c r="GK83" s="447"/>
      <c r="GL83" s="447"/>
      <c r="GM83" s="447"/>
      <c r="GN83" s="447"/>
      <c r="GO83" s="447"/>
      <c r="GP83" s="447"/>
      <c r="GQ83" s="447"/>
      <c r="GR83" s="447"/>
      <c r="GS83" s="447"/>
      <c r="GT83" s="447"/>
      <c r="GU83" s="447"/>
      <c r="GV83" s="447"/>
      <c r="GW83" s="447"/>
      <c r="GX83" s="447"/>
      <c r="GY83" s="447"/>
      <c r="GZ83" s="447"/>
      <c r="HA83" s="447"/>
      <c r="HB83" s="447"/>
      <c r="HC83" s="447"/>
      <c r="HD83" s="447"/>
      <c r="HE83" s="447"/>
      <c r="HF83" s="447"/>
      <c r="HG83" s="447"/>
      <c r="HH83" s="447"/>
      <c r="HI83" s="447"/>
      <c r="HJ83" s="447"/>
      <c r="HK83" s="447"/>
      <c r="HL83" s="447"/>
      <c r="HM83" s="447"/>
      <c r="HN83" s="447"/>
      <c r="HO83" s="447"/>
      <c r="HP83" s="447"/>
      <c r="HQ83" s="447"/>
      <c r="HR83" s="447"/>
      <c r="HS83" s="447"/>
      <c r="HT83" s="447"/>
      <c r="HU83" s="447"/>
      <c r="HV83" s="447"/>
      <c r="HW83" s="447"/>
      <c r="HX83" s="447"/>
      <c r="HY83" s="447"/>
      <c r="HZ83" s="447"/>
      <c r="IA83" s="447"/>
      <c r="IB83" s="447"/>
      <c r="IC83" s="447"/>
      <c r="ID83" s="447"/>
      <c r="IE83" s="447"/>
      <c r="IF83" s="447"/>
      <c r="IG83" s="447"/>
      <c r="IH83" s="447"/>
      <c r="II83" s="447"/>
      <c r="IJ83" s="447"/>
      <c r="IK83" s="447"/>
      <c r="IL83" s="447"/>
      <c r="IM83" s="447"/>
      <c r="IN83" s="447"/>
      <c r="IO83" s="447"/>
      <c r="IP83" s="447"/>
      <c r="IQ83" s="447"/>
      <c r="IR83" s="447"/>
    </row>
    <row r="84" spans="1:253" ht="36" customHeight="1">
      <c r="A84" s="561">
        <v>70</v>
      </c>
      <c r="B84" s="562" t="s">
        <v>1467</v>
      </c>
      <c r="C84" s="563" t="s">
        <v>427</v>
      </c>
      <c r="D84" s="564">
        <v>1</v>
      </c>
      <c r="E84" s="564">
        <v>1</v>
      </c>
      <c r="F84" s="569">
        <f t="shared" si="1"/>
        <v>0</v>
      </c>
      <c r="G84" s="446"/>
      <c r="H84" s="447"/>
      <c r="I84" s="447"/>
      <c r="J84" s="449"/>
      <c r="K84" s="447"/>
      <c r="L84" s="447"/>
      <c r="M84" s="447"/>
      <c r="N84" s="447"/>
      <c r="O84" s="447"/>
      <c r="P84" s="447"/>
      <c r="Q84" s="447"/>
      <c r="R84" s="447"/>
      <c r="S84" s="447"/>
      <c r="T84" s="447"/>
      <c r="U84" s="447"/>
      <c r="V84" s="447"/>
      <c r="W84" s="447"/>
      <c r="X84" s="447"/>
      <c r="Y84" s="447"/>
      <c r="Z84" s="447"/>
      <c r="AA84" s="447"/>
      <c r="AB84" s="447"/>
      <c r="AC84" s="447"/>
      <c r="AD84" s="447"/>
      <c r="AE84" s="447"/>
      <c r="AF84" s="447"/>
      <c r="AG84" s="447"/>
      <c r="AH84" s="447"/>
      <c r="AI84" s="447"/>
      <c r="AJ84" s="447"/>
      <c r="AK84" s="447"/>
      <c r="AL84" s="447"/>
      <c r="AM84" s="447"/>
      <c r="AN84" s="447"/>
      <c r="AO84" s="447"/>
      <c r="AP84" s="447"/>
      <c r="AQ84" s="447"/>
      <c r="AR84" s="447"/>
      <c r="AS84" s="447"/>
      <c r="AT84" s="447"/>
      <c r="AU84" s="447"/>
      <c r="AV84" s="447"/>
      <c r="AW84" s="447"/>
      <c r="AX84" s="447"/>
      <c r="AY84" s="447"/>
      <c r="AZ84" s="447"/>
      <c r="BA84" s="447"/>
      <c r="BB84" s="447"/>
      <c r="BC84" s="447"/>
      <c r="BD84" s="447"/>
      <c r="BE84" s="447"/>
      <c r="BF84" s="447"/>
      <c r="BG84" s="447"/>
      <c r="BH84" s="447"/>
      <c r="BI84" s="447"/>
      <c r="BJ84" s="447"/>
      <c r="BK84" s="447"/>
      <c r="BL84" s="447"/>
      <c r="BM84" s="447"/>
      <c r="BN84" s="447"/>
      <c r="BO84" s="447"/>
      <c r="BP84" s="447"/>
      <c r="BQ84" s="447"/>
      <c r="BR84" s="447"/>
      <c r="BS84" s="447"/>
      <c r="BT84" s="447"/>
      <c r="BU84" s="447"/>
      <c r="BV84" s="447"/>
      <c r="BW84" s="447"/>
      <c r="BX84" s="447"/>
      <c r="BY84" s="447"/>
      <c r="BZ84" s="447"/>
      <c r="CA84" s="447"/>
      <c r="CB84" s="447"/>
      <c r="CC84" s="447"/>
      <c r="CD84" s="447"/>
      <c r="CE84" s="447"/>
      <c r="CF84" s="447"/>
      <c r="CG84" s="447"/>
      <c r="CH84" s="447"/>
      <c r="CI84" s="447"/>
      <c r="CJ84" s="447"/>
      <c r="CK84" s="447"/>
      <c r="CL84" s="447"/>
      <c r="CM84" s="447"/>
      <c r="CN84" s="447"/>
      <c r="CO84" s="447"/>
      <c r="CP84" s="447"/>
      <c r="CQ84" s="447"/>
      <c r="CR84" s="447"/>
      <c r="CS84" s="447"/>
      <c r="CT84" s="447"/>
      <c r="CU84" s="447"/>
      <c r="CV84" s="447"/>
      <c r="CW84" s="447"/>
      <c r="CX84" s="447"/>
      <c r="CY84" s="447"/>
      <c r="CZ84" s="447"/>
      <c r="DA84" s="447"/>
      <c r="DB84" s="447"/>
      <c r="DC84" s="447"/>
      <c r="DD84" s="447"/>
      <c r="DE84" s="447"/>
      <c r="DF84" s="447"/>
      <c r="DG84" s="447"/>
      <c r="DH84" s="447"/>
      <c r="DI84" s="447"/>
      <c r="DJ84" s="447"/>
      <c r="DK84" s="447"/>
      <c r="DL84" s="447"/>
      <c r="DM84" s="447"/>
      <c r="DN84" s="447"/>
      <c r="DO84" s="447"/>
      <c r="DP84" s="447"/>
      <c r="DQ84" s="447"/>
      <c r="DR84" s="447"/>
      <c r="DS84" s="447"/>
      <c r="DT84" s="447"/>
      <c r="DU84" s="447"/>
      <c r="DV84" s="447"/>
      <c r="DW84" s="447"/>
      <c r="DX84" s="447"/>
      <c r="DY84" s="447"/>
      <c r="DZ84" s="447"/>
      <c r="EA84" s="447"/>
      <c r="EB84" s="447"/>
      <c r="EC84" s="447"/>
      <c r="ED84" s="447"/>
      <c r="EE84" s="447"/>
      <c r="EF84" s="447"/>
      <c r="EG84" s="447"/>
      <c r="EH84" s="447"/>
      <c r="EI84" s="447"/>
      <c r="EJ84" s="447"/>
      <c r="EK84" s="447"/>
      <c r="EL84" s="447"/>
      <c r="EM84" s="447"/>
      <c r="EN84" s="447"/>
      <c r="EO84" s="447"/>
      <c r="EP84" s="447"/>
      <c r="EQ84" s="447"/>
      <c r="ER84" s="447"/>
      <c r="ES84" s="447"/>
      <c r="ET84" s="447"/>
      <c r="EU84" s="447"/>
      <c r="EV84" s="447"/>
      <c r="EW84" s="447"/>
      <c r="EX84" s="447"/>
      <c r="EY84" s="447"/>
      <c r="EZ84" s="447"/>
      <c r="FA84" s="447"/>
      <c r="FB84" s="447"/>
      <c r="FC84" s="447"/>
      <c r="FD84" s="447"/>
      <c r="FE84" s="447"/>
      <c r="FF84" s="447"/>
      <c r="FG84" s="447"/>
      <c r="FH84" s="447"/>
      <c r="FI84" s="447"/>
      <c r="FJ84" s="447"/>
      <c r="FK84" s="447"/>
      <c r="FL84" s="447"/>
      <c r="FM84" s="447"/>
      <c r="FN84" s="447"/>
      <c r="FO84" s="447"/>
      <c r="FP84" s="447"/>
      <c r="FQ84" s="447"/>
      <c r="FR84" s="447"/>
      <c r="FS84" s="447"/>
      <c r="FT84" s="447"/>
      <c r="FU84" s="447"/>
      <c r="FV84" s="447"/>
      <c r="FW84" s="447"/>
      <c r="FX84" s="447"/>
      <c r="FY84" s="447"/>
      <c r="FZ84" s="447"/>
      <c r="GA84" s="447"/>
      <c r="GB84" s="447"/>
      <c r="GC84" s="447"/>
      <c r="GD84" s="447"/>
      <c r="GE84" s="447"/>
      <c r="GF84" s="447"/>
      <c r="GG84" s="447"/>
      <c r="GH84" s="447"/>
      <c r="GI84" s="447"/>
      <c r="GJ84" s="447"/>
      <c r="GK84" s="447"/>
      <c r="GL84" s="447"/>
      <c r="GM84" s="447"/>
      <c r="GN84" s="447"/>
      <c r="GO84" s="447"/>
      <c r="GP84" s="447"/>
      <c r="GQ84" s="447"/>
      <c r="GR84" s="447"/>
      <c r="GS84" s="447"/>
      <c r="GT84" s="447"/>
      <c r="GU84" s="447"/>
      <c r="GV84" s="447"/>
      <c r="GW84" s="447"/>
      <c r="GX84" s="447"/>
      <c r="GY84" s="447"/>
      <c r="GZ84" s="447"/>
      <c r="HA84" s="447"/>
      <c r="HB84" s="447"/>
      <c r="HC84" s="447"/>
      <c r="HD84" s="447"/>
      <c r="HE84" s="447"/>
      <c r="HF84" s="447"/>
      <c r="HG84" s="447"/>
      <c r="HH84" s="447"/>
      <c r="HI84" s="447"/>
      <c r="HJ84" s="447"/>
      <c r="HK84" s="447"/>
      <c r="HL84" s="447"/>
      <c r="HM84" s="447"/>
      <c r="HN84" s="447"/>
      <c r="HO84" s="447"/>
      <c r="HP84" s="447"/>
      <c r="HQ84" s="447"/>
      <c r="HR84" s="447"/>
      <c r="HS84" s="447"/>
      <c r="HT84" s="447"/>
      <c r="HU84" s="447"/>
      <c r="HV84" s="447"/>
      <c r="HW84" s="447"/>
      <c r="HX84" s="447"/>
      <c r="HY84" s="447"/>
      <c r="HZ84" s="447"/>
      <c r="IA84" s="447"/>
      <c r="IB84" s="447"/>
      <c r="IC84" s="447"/>
      <c r="ID84" s="447"/>
      <c r="IE84" s="447"/>
      <c r="IF84" s="447"/>
      <c r="IG84" s="447"/>
      <c r="IH84" s="447"/>
      <c r="II84" s="447"/>
      <c r="IJ84" s="447"/>
      <c r="IK84" s="447"/>
      <c r="IL84" s="447"/>
      <c r="IM84" s="447"/>
      <c r="IN84" s="447"/>
      <c r="IO84" s="447"/>
      <c r="IP84" s="447"/>
      <c r="IQ84" s="447"/>
      <c r="IR84" s="447"/>
    </row>
    <row r="85" spans="1:253" ht="31.9" customHeight="1">
      <c r="A85" s="288"/>
      <c r="B85" s="570" t="s">
        <v>1480</v>
      </c>
      <c r="C85" s="874" t="s">
        <v>1479</v>
      </c>
      <c r="D85" s="874"/>
      <c r="E85" s="875" t="s">
        <v>1472</v>
      </c>
      <c r="F85" s="875"/>
      <c r="G85" s="875"/>
      <c r="H85" s="577"/>
    </row>
    <row r="86" spans="1:253">
      <c r="A86" s="288"/>
      <c r="B86" s="453"/>
      <c r="C86" s="453"/>
      <c r="D86" s="454"/>
      <c r="E86" s="454"/>
      <c r="F86" s="454"/>
      <c r="G86" s="454"/>
      <c r="H86" s="454"/>
    </row>
    <row r="87" spans="1:253">
      <c r="A87" s="288"/>
      <c r="B87" s="453"/>
      <c r="C87" s="453"/>
      <c r="D87" s="454"/>
      <c r="E87" s="454"/>
      <c r="F87" s="454"/>
      <c r="G87" s="454"/>
      <c r="H87" s="454"/>
    </row>
    <row r="88" spans="1:253">
      <c r="A88" s="288"/>
      <c r="B88" s="453"/>
      <c r="C88" s="453"/>
      <c r="D88" s="454"/>
      <c r="E88" s="454"/>
      <c r="F88" s="454"/>
      <c r="G88" s="454"/>
      <c r="H88" s="454"/>
    </row>
    <row r="89" spans="1:253">
      <c r="A89" s="288"/>
      <c r="B89" s="453"/>
      <c r="C89" s="453"/>
      <c r="D89" s="454"/>
      <c r="E89" s="454"/>
      <c r="F89" s="454"/>
      <c r="G89" s="454"/>
      <c r="H89" s="454"/>
    </row>
    <row r="90" spans="1:253">
      <c r="A90" s="288"/>
      <c r="B90" s="453"/>
      <c r="C90" s="453"/>
      <c r="D90" s="454"/>
      <c r="E90" s="454"/>
      <c r="F90" s="454"/>
      <c r="G90" s="454"/>
      <c r="H90" s="454"/>
    </row>
    <row r="91" spans="1:253">
      <c r="A91" s="288"/>
      <c r="B91" s="453"/>
      <c r="C91" s="453"/>
      <c r="D91" s="454"/>
      <c r="E91" s="454"/>
      <c r="F91" s="454"/>
      <c r="G91" s="454"/>
      <c r="H91" s="454"/>
    </row>
    <row r="92" spans="1:253">
      <c r="A92" s="288"/>
      <c r="B92" s="453"/>
      <c r="C92" s="453"/>
      <c r="D92" s="454"/>
      <c r="E92" s="454"/>
      <c r="F92" s="454"/>
      <c r="G92" s="454"/>
      <c r="H92" s="454"/>
    </row>
    <row r="93" spans="1:253">
      <c r="A93" s="288"/>
      <c r="B93" s="453"/>
      <c r="C93" s="453"/>
      <c r="D93" s="454"/>
      <c r="E93" s="454"/>
      <c r="F93" s="454"/>
      <c r="G93" s="454"/>
      <c r="H93" s="454"/>
    </row>
    <row r="94" spans="1:253">
      <c r="A94" s="288"/>
      <c r="B94" s="453"/>
      <c r="C94" s="453"/>
      <c r="D94" s="454"/>
      <c r="E94" s="454"/>
      <c r="F94" s="454"/>
      <c r="G94" s="454"/>
      <c r="H94" s="454"/>
    </row>
    <row r="95" spans="1:253">
      <c r="B95" s="438" t="s">
        <v>1470</v>
      </c>
      <c r="C95" s="438"/>
      <c r="D95" s="438"/>
      <c r="E95" s="438"/>
      <c r="F95" s="438"/>
      <c r="G95" s="438"/>
      <c r="H95" s="438"/>
    </row>
    <row r="96" spans="1:253" s="451" customFormat="1">
      <c r="A96" s="434"/>
      <c r="B96" s="570" t="s">
        <v>1483</v>
      </c>
      <c r="C96" s="876" t="s">
        <v>1471</v>
      </c>
      <c r="D96" s="876"/>
      <c r="E96" s="873" t="s">
        <v>1469</v>
      </c>
      <c r="F96" s="873"/>
      <c r="G96" s="873"/>
      <c r="H96" s="438"/>
      <c r="I96" s="434"/>
      <c r="J96" s="434"/>
      <c r="K96" s="434"/>
      <c r="L96" s="434"/>
      <c r="M96" s="434"/>
      <c r="N96" s="434"/>
      <c r="O96" s="434"/>
      <c r="P96" s="434"/>
      <c r="Q96" s="434"/>
      <c r="R96" s="434"/>
      <c r="S96" s="434"/>
      <c r="T96" s="434"/>
      <c r="U96" s="434"/>
      <c r="V96" s="434"/>
      <c r="W96" s="434"/>
      <c r="X96" s="434"/>
      <c r="Y96" s="434"/>
      <c r="Z96" s="434"/>
      <c r="AA96" s="434"/>
      <c r="AB96" s="434"/>
      <c r="AC96" s="434"/>
      <c r="AD96" s="434"/>
      <c r="AE96" s="434"/>
      <c r="AF96" s="434"/>
      <c r="AG96" s="434"/>
      <c r="AH96" s="434"/>
      <c r="AI96" s="434"/>
      <c r="AJ96" s="434"/>
      <c r="AK96" s="434"/>
      <c r="AL96" s="434"/>
      <c r="AM96" s="434"/>
      <c r="AN96" s="434"/>
      <c r="AO96" s="434"/>
      <c r="AP96" s="434"/>
      <c r="AQ96" s="434"/>
      <c r="AR96" s="434"/>
      <c r="AS96" s="434"/>
      <c r="AT96" s="434"/>
      <c r="AU96" s="434"/>
      <c r="AV96" s="434"/>
      <c r="AW96" s="434"/>
      <c r="AX96" s="434"/>
      <c r="AY96" s="434"/>
      <c r="AZ96" s="434"/>
      <c r="BA96" s="434"/>
      <c r="BB96" s="434"/>
      <c r="BC96" s="434"/>
      <c r="BD96" s="434"/>
      <c r="BE96" s="434"/>
      <c r="BF96" s="434"/>
      <c r="BG96" s="434"/>
      <c r="BH96" s="434"/>
      <c r="BI96" s="434"/>
      <c r="BJ96" s="434"/>
      <c r="BK96" s="434"/>
      <c r="BL96" s="434"/>
      <c r="BM96" s="434"/>
      <c r="BN96" s="434"/>
      <c r="BO96" s="434"/>
      <c r="BP96" s="434"/>
      <c r="BQ96" s="434"/>
      <c r="BR96" s="434"/>
      <c r="BS96" s="434"/>
      <c r="BT96" s="434"/>
      <c r="BU96" s="434"/>
      <c r="BV96" s="434"/>
      <c r="BW96" s="434"/>
      <c r="BX96" s="434"/>
      <c r="BY96" s="434"/>
      <c r="BZ96" s="434"/>
      <c r="CA96" s="434"/>
      <c r="CB96" s="434"/>
      <c r="CC96" s="434"/>
      <c r="CD96" s="434"/>
      <c r="CE96" s="434"/>
      <c r="CF96" s="434"/>
      <c r="CG96" s="434"/>
      <c r="CH96" s="434"/>
      <c r="CI96" s="434"/>
      <c r="CJ96" s="434"/>
      <c r="CK96" s="434"/>
      <c r="CL96" s="434"/>
      <c r="CM96" s="434"/>
      <c r="CN96" s="434"/>
      <c r="CO96" s="434"/>
      <c r="CP96" s="434"/>
      <c r="CQ96" s="434"/>
      <c r="CR96" s="434"/>
      <c r="CS96" s="434"/>
      <c r="CT96" s="434"/>
      <c r="CU96" s="434"/>
      <c r="CV96" s="434"/>
      <c r="CW96" s="434"/>
      <c r="CX96" s="434"/>
      <c r="CY96" s="434"/>
      <c r="CZ96" s="434"/>
      <c r="DA96" s="434"/>
      <c r="DB96" s="434"/>
      <c r="DC96" s="434"/>
      <c r="DD96" s="434"/>
      <c r="DE96" s="434"/>
      <c r="DF96" s="434"/>
      <c r="DG96" s="434"/>
      <c r="DH96" s="434"/>
      <c r="DI96" s="434"/>
      <c r="DJ96" s="434"/>
      <c r="DK96" s="434"/>
      <c r="DL96" s="434"/>
      <c r="DM96" s="434"/>
      <c r="DN96" s="434"/>
      <c r="DO96" s="434"/>
      <c r="DP96" s="434"/>
      <c r="DQ96" s="434"/>
      <c r="DR96" s="434"/>
      <c r="DS96" s="434"/>
      <c r="DT96" s="434"/>
      <c r="DU96" s="434"/>
      <c r="DV96" s="434"/>
      <c r="DW96" s="434"/>
      <c r="DX96" s="434"/>
      <c r="DY96" s="434"/>
      <c r="DZ96" s="434"/>
      <c r="EA96" s="434"/>
      <c r="EB96" s="434"/>
      <c r="EC96" s="434"/>
      <c r="ED96" s="434"/>
      <c r="EE96" s="434"/>
      <c r="EF96" s="434"/>
      <c r="EG96" s="434"/>
      <c r="EH96" s="434"/>
      <c r="EI96" s="434"/>
      <c r="EJ96" s="434"/>
      <c r="EK96" s="434"/>
      <c r="EL96" s="434"/>
      <c r="EM96" s="434"/>
      <c r="EN96" s="434"/>
      <c r="EO96" s="434"/>
      <c r="EP96" s="434"/>
      <c r="EQ96" s="434"/>
      <c r="ER96" s="434"/>
      <c r="ES96" s="434"/>
      <c r="ET96" s="434"/>
      <c r="EU96" s="434"/>
      <c r="EV96" s="434"/>
      <c r="EW96" s="434"/>
      <c r="EX96" s="434"/>
      <c r="EY96" s="434"/>
      <c r="EZ96" s="434"/>
      <c r="FA96" s="434"/>
      <c r="FB96" s="434"/>
      <c r="FC96" s="434"/>
      <c r="FD96" s="434"/>
      <c r="FE96" s="434"/>
      <c r="FF96" s="434"/>
      <c r="FG96" s="434"/>
      <c r="FH96" s="434"/>
      <c r="FI96" s="434"/>
      <c r="FJ96" s="434"/>
      <c r="FK96" s="434"/>
      <c r="FL96" s="434"/>
      <c r="FM96" s="434"/>
      <c r="FN96" s="434"/>
      <c r="FO96" s="434"/>
      <c r="FP96" s="434"/>
      <c r="FQ96" s="434"/>
      <c r="FR96" s="434"/>
      <c r="FS96" s="434"/>
      <c r="FT96" s="434"/>
      <c r="FU96" s="434"/>
      <c r="FV96" s="434"/>
      <c r="FW96" s="434"/>
      <c r="FX96" s="434"/>
      <c r="FY96" s="434"/>
      <c r="FZ96" s="434"/>
      <c r="GA96" s="434"/>
      <c r="GB96" s="434"/>
      <c r="GC96" s="434"/>
      <c r="GD96" s="434"/>
      <c r="GE96" s="434"/>
      <c r="GF96" s="434"/>
      <c r="GG96" s="434"/>
      <c r="GH96" s="434"/>
      <c r="GI96" s="434"/>
      <c r="GJ96" s="434"/>
      <c r="GK96" s="434"/>
      <c r="GL96" s="434"/>
      <c r="GM96" s="434"/>
      <c r="GN96" s="434"/>
      <c r="GO96" s="434"/>
      <c r="GP96" s="434"/>
      <c r="GQ96" s="434"/>
      <c r="GR96" s="434"/>
      <c r="GS96" s="434"/>
      <c r="GT96" s="434"/>
      <c r="GU96" s="434"/>
      <c r="GV96" s="434"/>
      <c r="GW96" s="434"/>
      <c r="GX96" s="434"/>
      <c r="GY96" s="434"/>
      <c r="GZ96" s="434"/>
      <c r="HA96" s="434"/>
      <c r="HB96" s="434"/>
      <c r="HC96" s="434"/>
      <c r="HD96" s="434"/>
      <c r="HE96" s="434"/>
      <c r="HF96" s="434"/>
      <c r="HG96" s="434"/>
      <c r="HH96" s="434"/>
      <c r="HI96" s="434"/>
      <c r="HJ96" s="434"/>
      <c r="HK96" s="434"/>
      <c r="HL96" s="434"/>
      <c r="HM96" s="434"/>
      <c r="HN96" s="434"/>
      <c r="HO96" s="434"/>
      <c r="HP96" s="434"/>
      <c r="HQ96" s="434"/>
      <c r="HR96" s="434"/>
      <c r="HS96" s="434"/>
      <c r="HT96" s="434"/>
      <c r="HU96" s="434"/>
      <c r="HV96" s="434"/>
      <c r="HW96" s="434"/>
      <c r="HX96" s="434"/>
      <c r="HY96" s="434"/>
      <c r="HZ96" s="434"/>
      <c r="IA96" s="434"/>
      <c r="IB96" s="434"/>
      <c r="IC96" s="434"/>
      <c r="ID96" s="434"/>
      <c r="IE96" s="434"/>
      <c r="IF96" s="434"/>
      <c r="IG96" s="434"/>
      <c r="IH96" s="434"/>
      <c r="II96" s="434"/>
      <c r="IJ96" s="434"/>
      <c r="IK96" s="434"/>
      <c r="IL96" s="434"/>
      <c r="IM96" s="434"/>
      <c r="IN96" s="434"/>
      <c r="IO96" s="434"/>
      <c r="IP96" s="434"/>
      <c r="IQ96" s="434"/>
      <c r="IR96" s="434"/>
      <c r="IS96" s="434"/>
    </row>
    <row r="97" spans="1:253" s="451" customFormat="1">
      <c r="A97" s="434"/>
      <c r="B97" s="453"/>
      <c r="C97" s="453"/>
      <c r="D97" s="453"/>
      <c r="E97" s="453"/>
      <c r="F97" s="453"/>
      <c r="G97" s="453"/>
      <c r="H97" s="453"/>
      <c r="I97" s="434"/>
      <c r="J97" s="434"/>
      <c r="K97" s="434"/>
      <c r="L97" s="434"/>
      <c r="M97" s="434"/>
      <c r="N97" s="434"/>
      <c r="O97" s="434"/>
      <c r="P97" s="434"/>
      <c r="Q97" s="434"/>
      <c r="R97" s="434"/>
      <c r="S97" s="434"/>
      <c r="T97" s="434"/>
      <c r="U97" s="434"/>
      <c r="V97" s="434"/>
      <c r="W97" s="434"/>
      <c r="X97" s="434"/>
      <c r="Y97" s="434"/>
      <c r="Z97" s="434"/>
      <c r="AA97" s="434"/>
      <c r="AB97" s="434"/>
      <c r="AC97" s="434"/>
      <c r="AD97" s="434"/>
      <c r="AE97" s="434"/>
      <c r="AF97" s="434"/>
      <c r="AG97" s="434"/>
      <c r="AH97" s="434"/>
      <c r="AI97" s="434"/>
      <c r="AJ97" s="434"/>
      <c r="AK97" s="434"/>
      <c r="AL97" s="434"/>
      <c r="AM97" s="434"/>
      <c r="AN97" s="434"/>
      <c r="AO97" s="434"/>
      <c r="AP97" s="434"/>
      <c r="AQ97" s="434"/>
      <c r="AR97" s="434"/>
      <c r="AS97" s="434"/>
      <c r="AT97" s="434"/>
      <c r="AU97" s="434"/>
      <c r="AV97" s="434"/>
      <c r="AW97" s="434"/>
      <c r="AX97" s="434"/>
      <c r="AY97" s="434"/>
      <c r="AZ97" s="434"/>
      <c r="BA97" s="434"/>
      <c r="BB97" s="434"/>
      <c r="BC97" s="434"/>
      <c r="BD97" s="434"/>
      <c r="BE97" s="434"/>
      <c r="BF97" s="434"/>
      <c r="BG97" s="434"/>
      <c r="BH97" s="434"/>
      <c r="BI97" s="434"/>
      <c r="BJ97" s="434"/>
      <c r="BK97" s="434"/>
      <c r="BL97" s="434"/>
      <c r="BM97" s="434"/>
      <c r="BN97" s="434"/>
      <c r="BO97" s="434"/>
      <c r="BP97" s="434"/>
      <c r="BQ97" s="434"/>
      <c r="BR97" s="434"/>
      <c r="BS97" s="434"/>
      <c r="BT97" s="434"/>
      <c r="BU97" s="434"/>
      <c r="BV97" s="434"/>
      <c r="BW97" s="434"/>
      <c r="BX97" s="434"/>
      <c r="BY97" s="434"/>
      <c r="BZ97" s="434"/>
      <c r="CA97" s="434"/>
      <c r="CB97" s="434"/>
      <c r="CC97" s="434"/>
      <c r="CD97" s="434"/>
      <c r="CE97" s="434"/>
      <c r="CF97" s="434"/>
      <c r="CG97" s="434"/>
      <c r="CH97" s="434"/>
      <c r="CI97" s="434"/>
      <c r="CJ97" s="434"/>
      <c r="CK97" s="434"/>
      <c r="CL97" s="434"/>
      <c r="CM97" s="434"/>
      <c r="CN97" s="434"/>
      <c r="CO97" s="434"/>
      <c r="CP97" s="434"/>
      <c r="CQ97" s="434"/>
      <c r="CR97" s="434"/>
      <c r="CS97" s="434"/>
      <c r="CT97" s="434"/>
      <c r="CU97" s="434"/>
      <c r="CV97" s="434"/>
      <c r="CW97" s="434"/>
      <c r="CX97" s="434"/>
      <c r="CY97" s="434"/>
      <c r="CZ97" s="434"/>
      <c r="DA97" s="434"/>
      <c r="DB97" s="434"/>
      <c r="DC97" s="434"/>
      <c r="DD97" s="434"/>
      <c r="DE97" s="434"/>
      <c r="DF97" s="434"/>
      <c r="DG97" s="434"/>
      <c r="DH97" s="434"/>
      <c r="DI97" s="434"/>
      <c r="DJ97" s="434"/>
      <c r="DK97" s="434"/>
      <c r="DL97" s="434"/>
      <c r="DM97" s="434"/>
      <c r="DN97" s="434"/>
      <c r="DO97" s="434"/>
      <c r="DP97" s="434"/>
      <c r="DQ97" s="434"/>
      <c r="DR97" s="434"/>
      <c r="DS97" s="434"/>
      <c r="DT97" s="434"/>
      <c r="DU97" s="434"/>
      <c r="DV97" s="434"/>
      <c r="DW97" s="434"/>
      <c r="DX97" s="434"/>
      <c r="DY97" s="434"/>
      <c r="DZ97" s="434"/>
      <c r="EA97" s="434"/>
      <c r="EB97" s="434"/>
      <c r="EC97" s="434"/>
      <c r="ED97" s="434"/>
      <c r="EE97" s="434"/>
      <c r="EF97" s="434"/>
      <c r="EG97" s="434"/>
      <c r="EH97" s="434"/>
      <c r="EI97" s="434"/>
      <c r="EJ97" s="434"/>
      <c r="EK97" s="434"/>
      <c r="EL97" s="434"/>
      <c r="EM97" s="434"/>
      <c r="EN97" s="434"/>
      <c r="EO97" s="434"/>
      <c r="EP97" s="434"/>
      <c r="EQ97" s="434"/>
      <c r="ER97" s="434"/>
      <c r="ES97" s="434"/>
      <c r="ET97" s="434"/>
      <c r="EU97" s="434"/>
      <c r="EV97" s="434"/>
      <c r="EW97" s="434"/>
      <c r="EX97" s="434"/>
      <c r="EY97" s="434"/>
      <c r="EZ97" s="434"/>
      <c r="FA97" s="434"/>
      <c r="FB97" s="434"/>
      <c r="FC97" s="434"/>
      <c r="FD97" s="434"/>
      <c r="FE97" s="434"/>
      <c r="FF97" s="434"/>
      <c r="FG97" s="434"/>
      <c r="FH97" s="434"/>
      <c r="FI97" s="434"/>
      <c r="FJ97" s="434"/>
      <c r="FK97" s="434"/>
      <c r="FL97" s="434"/>
      <c r="FM97" s="434"/>
      <c r="FN97" s="434"/>
      <c r="FO97" s="434"/>
      <c r="FP97" s="434"/>
      <c r="FQ97" s="434"/>
      <c r="FR97" s="434"/>
      <c r="FS97" s="434"/>
      <c r="FT97" s="434"/>
      <c r="FU97" s="434"/>
      <c r="FV97" s="434"/>
      <c r="FW97" s="434"/>
      <c r="FX97" s="434"/>
      <c r="FY97" s="434"/>
      <c r="FZ97" s="434"/>
      <c r="GA97" s="434"/>
      <c r="GB97" s="434"/>
      <c r="GC97" s="434"/>
      <c r="GD97" s="434"/>
      <c r="GE97" s="434"/>
      <c r="GF97" s="434"/>
      <c r="GG97" s="434"/>
      <c r="GH97" s="434"/>
      <c r="GI97" s="434"/>
      <c r="GJ97" s="434"/>
      <c r="GK97" s="434"/>
      <c r="GL97" s="434"/>
      <c r="GM97" s="434"/>
      <c r="GN97" s="434"/>
      <c r="GO97" s="434"/>
      <c r="GP97" s="434"/>
      <c r="GQ97" s="434"/>
      <c r="GR97" s="434"/>
      <c r="GS97" s="434"/>
      <c r="GT97" s="434"/>
      <c r="GU97" s="434"/>
      <c r="GV97" s="434"/>
      <c r="GW97" s="434"/>
      <c r="GX97" s="434"/>
      <c r="GY97" s="434"/>
      <c r="GZ97" s="434"/>
      <c r="HA97" s="434"/>
      <c r="HB97" s="434"/>
      <c r="HC97" s="434"/>
      <c r="HD97" s="434"/>
      <c r="HE97" s="434"/>
      <c r="HF97" s="434"/>
      <c r="HG97" s="434"/>
      <c r="HH97" s="434"/>
      <c r="HI97" s="434"/>
      <c r="HJ97" s="434"/>
      <c r="HK97" s="434"/>
      <c r="HL97" s="434"/>
      <c r="HM97" s="434"/>
      <c r="HN97" s="434"/>
      <c r="HO97" s="434"/>
      <c r="HP97" s="434"/>
      <c r="HQ97" s="434"/>
      <c r="HR97" s="434"/>
      <c r="HS97" s="434"/>
      <c r="HT97" s="434"/>
      <c r="HU97" s="434"/>
      <c r="HV97" s="434"/>
      <c r="HW97" s="434"/>
      <c r="HX97" s="434"/>
      <c r="HY97" s="434"/>
      <c r="HZ97" s="434"/>
      <c r="IA97" s="434"/>
      <c r="IB97" s="434"/>
      <c r="IC97" s="434"/>
      <c r="ID97" s="434"/>
      <c r="IE97" s="434"/>
      <c r="IF97" s="434"/>
      <c r="IG97" s="434"/>
      <c r="IH97" s="434"/>
      <c r="II97" s="434"/>
      <c r="IJ97" s="434"/>
      <c r="IK97" s="434"/>
      <c r="IL97" s="434"/>
      <c r="IM97" s="434"/>
      <c r="IN97" s="434"/>
      <c r="IO97" s="434"/>
      <c r="IP97" s="434"/>
      <c r="IQ97" s="434"/>
      <c r="IR97" s="434"/>
      <c r="IS97" s="434"/>
    </row>
    <row r="98" spans="1:253">
      <c r="B98" s="453"/>
      <c r="C98" s="453"/>
      <c r="D98" s="453"/>
      <c r="E98" s="453"/>
      <c r="F98" s="453"/>
      <c r="G98" s="453"/>
      <c r="H98" s="453"/>
    </row>
    <row r="99" spans="1:253">
      <c r="B99" s="453"/>
      <c r="C99" s="453"/>
      <c r="D99" s="453"/>
      <c r="E99" s="453"/>
      <c r="F99" s="453"/>
      <c r="G99" s="453"/>
      <c r="H99" s="453"/>
    </row>
    <row r="100" spans="1:253">
      <c r="A100" s="288"/>
      <c r="B100" s="453"/>
      <c r="C100" s="453"/>
      <c r="D100" s="454"/>
      <c r="E100" s="454"/>
      <c r="F100" s="454"/>
      <c r="G100" s="454"/>
      <c r="H100" s="454"/>
    </row>
    <row r="101" spans="1:253">
      <c r="A101" s="288"/>
      <c r="B101" s="453"/>
      <c r="C101" s="453"/>
      <c r="D101" s="454"/>
      <c r="E101" s="454"/>
      <c r="F101" s="454"/>
      <c r="G101" s="454"/>
      <c r="H101" s="454"/>
    </row>
    <row r="102" spans="1:253">
      <c r="E102" s="451"/>
      <c r="F102" s="455"/>
      <c r="G102" s="452"/>
      <c r="H102" s="452"/>
    </row>
    <row r="103" spans="1:253">
      <c r="B103" s="570" t="s">
        <v>1481</v>
      </c>
      <c r="C103" s="876" t="s">
        <v>1474</v>
      </c>
      <c r="D103" s="876"/>
      <c r="E103" s="873" t="s">
        <v>1473</v>
      </c>
      <c r="F103" s="873"/>
      <c r="G103" s="873"/>
      <c r="H103" s="438"/>
    </row>
  </sheetData>
  <mergeCells count="15">
    <mergeCell ref="A1:G1"/>
    <mergeCell ref="A2:G2"/>
    <mergeCell ref="A3:G3"/>
    <mergeCell ref="A7:G7"/>
    <mergeCell ref="A9:A10"/>
    <mergeCell ref="B9:B10"/>
    <mergeCell ref="C9:C10"/>
    <mergeCell ref="D9:F9"/>
    <mergeCell ref="G9:G10"/>
    <mergeCell ref="E96:G96"/>
    <mergeCell ref="E103:G103"/>
    <mergeCell ref="C85:D85"/>
    <mergeCell ref="E85:G85"/>
    <mergeCell ref="C96:D96"/>
    <mergeCell ref="C103:D103"/>
  </mergeCells>
  <conditionalFormatting sqref="C48:C84">
    <cfRule type="cellIs" dxfId="256" priority="22" stopIfTrue="1" operator="lessThan">
      <formula>0</formula>
    </cfRule>
    <cfRule type="cellIs" dxfId="255" priority="23" stopIfTrue="1" operator="lessThan">
      <formula>0</formula>
    </cfRule>
    <cfRule type="cellIs" dxfId="254" priority="24" stopIfTrue="1" operator="lessThan">
      <formula>0</formula>
    </cfRule>
  </conditionalFormatting>
  <conditionalFormatting sqref="D18:D47">
    <cfRule type="cellIs" dxfId="253" priority="31" stopIfTrue="1" operator="lessThan">
      <formula>0</formula>
    </cfRule>
    <cfRule type="cellIs" dxfId="252" priority="32" stopIfTrue="1" operator="lessThan">
      <formula>0</formula>
    </cfRule>
    <cfRule type="cellIs" dxfId="251" priority="33" stopIfTrue="1" operator="lessThan">
      <formula>0</formula>
    </cfRule>
  </conditionalFormatting>
  <conditionalFormatting sqref="D12:D17">
    <cfRule type="cellIs" dxfId="250" priority="25" stopIfTrue="1" operator="lessThan">
      <formula>0</formula>
    </cfRule>
    <cfRule type="cellIs" dxfId="249" priority="26" stopIfTrue="1" operator="lessThan">
      <formula>0</formula>
    </cfRule>
    <cfRule type="cellIs" dxfId="248" priority="27" stopIfTrue="1" operator="lessThan">
      <formula>0</formula>
    </cfRule>
  </conditionalFormatting>
  <conditionalFormatting sqref="C18:C47">
    <cfRule type="cellIs" dxfId="247" priority="34" stopIfTrue="1" operator="lessThan">
      <formula>0</formula>
    </cfRule>
    <cfRule type="cellIs" dxfId="246" priority="35" stopIfTrue="1" operator="lessThan">
      <formula>0</formula>
    </cfRule>
    <cfRule type="cellIs" dxfId="245" priority="36" stopIfTrue="1" operator="lessThan">
      <formula>0</formula>
    </cfRule>
  </conditionalFormatting>
  <conditionalFormatting sqref="C12:C17">
    <cfRule type="cellIs" dxfId="244" priority="28" stopIfTrue="1" operator="lessThan">
      <formula>0</formula>
    </cfRule>
    <cfRule type="cellIs" dxfId="243" priority="29" stopIfTrue="1" operator="lessThan">
      <formula>0</formula>
    </cfRule>
    <cfRule type="cellIs" dxfId="242" priority="30" stopIfTrue="1" operator="lessThan">
      <formula>0</formula>
    </cfRule>
  </conditionalFormatting>
  <conditionalFormatting sqref="D48:D84">
    <cfRule type="cellIs" dxfId="241" priority="19" stopIfTrue="1" operator="lessThan">
      <formula>0</formula>
    </cfRule>
    <cfRule type="cellIs" dxfId="240" priority="20" stopIfTrue="1" operator="lessThan">
      <formula>0</formula>
    </cfRule>
    <cfRule type="cellIs" dxfId="239" priority="21" stopIfTrue="1" operator="lessThan">
      <formula>0</formula>
    </cfRule>
  </conditionalFormatting>
  <conditionalFormatting sqref="E18:E34 E39:E47">
    <cfRule type="cellIs" dxfId="238" priority="10" stopIfTrue="1" operator="lessThan">
      <formula>0</formula>
    </cfRule>
    <cfRule type="cellIs" dxfId="237" priority="11" stopIfTrue="1" operator="lessThan">
      <formula>0</formula>
    </cfRule>
    <cfRule type="cellIs" dxfId="236" priority="12" stopIfTrue="1" operator="lessThan">
      <formula>0</formula>
    </cfRule>
  </conditionalFormatting>
  <conditionalFormatting sqref="E12">
    <cfRule type="cellIs" dxfId="235" priority="16" stopIfTrue="1" operator="lessThan">
      <formula>0</formula>
    </cfRule>
    <cfRule type="cellIs" dxfId="234" priority="17" stopIfTrue="1" operator="lessThan">
      <formula>0</formula>
    </cfRule>
    <cfRule type="cellIs" dxfId="233" priority="18" stopIfTrue="1" operator="lessThan">
      <formula>0</formula>
    </cfRule>
  </conditionalFormatting>
  <conditionalFormatting sqref="E48:E58 E61:E84">
    <cfRule type="cellIs" dxfId="232" priority="4" stopIfTrue="1" operator="lessThan">
      <formula>0</formula>
    </cfRule>
    <cfRule type="cellIs" dxfId="231" priority="5" stopIfTrue="1" operator="lessThan">
      <formula>0</formula>
    </cfRule>
    <cfRule type="cellIs" dxfId="230" priority="6" stopIfTrue="1" operator="lessThan">
      <formula>0</formula>
    </cfRule>
  </conditionalFormatting>
  <conditionalFormatting sqref="F12">
    <cfRule type="cellIs" dxfId="229" priority="13" stopIfTrue="1" operator="lessThan">
      <formula>0</formula>
    </cfRule>
    <cfRule type="cellIs" dxfId="228" priority="14" stopIfTrue="1" operator="lessThan">
      <formula>0</formula>
    </cfRule>
    <cfRule type="cellIs" dxfId="227" priority="15" stopIfTrue="1" operator="lessThan">
      <formula>0</formula>
    </cfRule>
  </conditionalFormatting>
  <conditionalFormatting sqref="E13:E17">
    <cfRule type="cellIs" dxfId="226" priority="7" stopIfTrue="1" operator="lessThan">
      <formula>0</formula>
    </cfRule>
    <cfRule type="cellIs" dxfId="225" priority="8" stopIfTrue="1" operator="lessThan">
      <formula>0</formula>
    </cfRule>
    <cfRule type="cellIs" dxfId="224" priority="9" stopIfTrue="1" operator="lessThan">
      <formula>0</formula>
    </cfRule>
  </conditionalFormatting>
  <dataValidations disablePrompts="1" count="1">
    <dataValidation allowBlank="1" showInputMessage="1" showErrorMessage="1" prompt="Cột 1, 2, 3, 4, 5 link đầy đủ từ sheet QT sang" sqref="B65158:B65279 HV65158:HV65279 B12:B84"/>
  </dataValidations>
  <pageMargins left="0.78740157480314965" right="0.39370078740157483" top="0.59055118110236227" bottom="0.59055118110236227" header="0.19685039370078741" footer="0.19685039370078741"/>
  <pageSetup paperSize="9" scale="93" fitToHeight="0"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7"/>
  <sheetViews>
    <sheetView tabSelected="1" topLeftCell="A55" zoomScale="115" zoomScaleNormal="115" workbookViewId="0">
      <selection activeCell="C16" sqref="C16"/>
    </sheetView>
  </sheetViews>
  <sheetFormatPr defaultColWidth="9" defaultRowHeight="15.75"/>
  <cols>
    <col min="1" max="1" width="9" style="785"/>
    <col min="2" max="2" width="49.83203125" style="785" customWidth="1"/>
    <col min="3" max="3" width="54.33203125" style="785" customWidth="1"/>
    <col min="4" max="4" width="21.33203125" style="785" customWidth="1"/>
    <col min="5" max="6" width="8.1640625" style="785" customWidth="1"/>
    <col min="7" max="7" width="6.33203125" style="785" customWidth="1"/>
    <col min="8" max="8" width="12.6640625" style="785" bestFit="1" customWidth="1"/>
    <col min="9" max="9" width="9" style="785"/>
    <col min="10" max="10" width="14.33203125" style="785" bestFit="1" customWidth="1"/>
    <col min="11" max="16384" width="9" style="785"/>
  </cols>
  <sheetData>
    <row r="1" spans="1:7" ht="16.899999999999999" customHeight="1">
      <c r="A1" s="891" t="s">
        <v>1959</v>
      </c>
      <c r="B1" s="891"/>
      <c r="E1" s="891" t="s">
        <v>1869</v>
      </c>
      <c r="F1" s="891"/>
      <c r="G1" s="891"/>
    </row>
    <row r="2" spans="1:7" ht="18.75" customHeight="1">
      <c r="A2" s="892" t="s">
        <v>1960</v>
      </c>
      <c r="B2" s="892"/>
    </row>
    <row r="3" spans="1:7" ht="26.45" customHeight="1">
      <c r="A3" s="893" t="s">
        <v>1870</v>
      </c>
      <c r="B3" s="893"/>
      <c r="C3" s="893"/>
      <c r="D3" s="893"/>
      <c r="E3" s="893"/>
      <c r="F3" s="893"/>
      <c r="G3" s="893"/>
    </row>
    <row r="4" spans="1:7" ht="65.25" customHeight="1">
      <c r="A4" s="894" t="s">
        <v>2004</v>
      </c>
      <c r="B4" s="894"/>
      <c r="C4" s="894"/>
      <c r="D4" s="894"/>
      <c r="E4" s="894"/>
      <c r="F4" s="894"/>
      <c r="G4" s="894"/>
    </row>
    <row r="5" spans="1:7" ht="16.899999999999999" customHeight="1">
      <c r="E5" s="895" t="s">
        <v>1367</v>
      </c>
      <c r="F5" s="895"/>
      <c r="G5" s="895"/>
    </row>
    <row r="6" spans="1:7" ht="112.9" customHeight="1">
      <c r="A6" s="786" t="s">
        <v>4</v>
      </c>
      <c r="B6" s="786" t="s">
        <v>1707</v>
      </c>
      <c r="C6" s="786" t="s">
        <v>1871</v>
      </c>
      <c r="D6" s="786" t="s">
        <v>1991</v>
      </c>
      <c r="E6" s="786" t="s">
        <v>1872</v>
      </c>
      <c r="F6" s="786" t="s">
        <v>1873</v>
      </c>
      <c r="G6" s="786" t="s">
        <v>1148</v>
      </c>
    </row>
    <row r="7" spans="1:7">
      <c r="A7" s="787">
        <v>1</v>
      </c>
      <c r="B7" s="787">
        <v>2</v>
      </c>
      <c r="C7" s="787">
        <v>3</v>
      </c>
      <c r="D7" s="787">
        <v>4</v>
      </c>
      <c r="E7" s="787">
        <v>5</v>
      </c>
      <c r="F7" s="787">
        <v>6</v>
      </c>
      <c r="G7" s="787">
        <v>7</v>
      </c>
    </row>
    <row r="8" spans="1:7">
      <c r="A8" s="786" t="s">
        <v>364</v>
      </c>
      <c r="B8" s="788" t="s">
        <v>1874</v>
      </c>
      <c r="C8" s="787"/>
      <c r="D8" s="789"/>
      <c r="E8" s="789"/>
      <c r="F8" s="789"/>
      <c r="G8" s="789"/>
    </row>
    <row r="9" spans="1:7">
      <c r="A9" s="786">
        <v>1</v>
      </c>
      <c r="B9" s="788" t="s">
        <v>1875</v>
      </c>
      <c r="C9" s="786"/>
      <c r="D9" s="787"/>
      <c r="E9" s="788"/>
      <c r="F9" s="788"/>
      <c r="G9" s="788"/>
    </row>
    <row r="10" spans="1:7">
      <c r="A10" s="787" t="s">
        <v>880</v>
      </c>
      <c r="B10" s="789" t="s">
        <v>1876</v>
      </c>
      <c r="C10" s="787" t="s">
        <v>2005</v>
      </c>
      <c r="D10" s="787" t="s">
        <v>1939</v>
      </c>
      <c r="E10" s="789"/>
      <c r="F10" s="789"/>
      <c r="G10" s="789"/>
    </row>
    <row r="11" spans="1:7">
      <c r="A11" s="787" t="s">
        <v>884</v>
      </c>
      <c r="B11" s="789" t="s">
        <v>1877</v>
      </c>
      <c r="C11" s="790" t="s">
        <v>2006</v>
      </c>
      <c r="D11" s="787" t="s">
        <v>1939</v>
      </c>
      <c r="E11" s="789"/>
      <c r="F11" s="789"/>
      <c r="G11" s="789"/>
    </row>
    <row r="12" spans="1:7">
      <c r="A12" s="787" t="s">
        <v>1878</v>
      </c>
      <c r="B12" s="789" t="s">
        <v>1879</v>
      </c>
      <c r="C12" s="787" t="s">
        <v>1970</v>
      </c>
      <c r="D12" s="787" t="s">
        <v>1939</v>
      </c>
      <c r="E12" s="789"/>
      <c r="F12" s="789"/>
      <c r="G12" s="789"/>
    </row>
    <row r="13" spans="1:7">
      <c r="A13" s="787" t="s">
        <v>1880</v>
      </c>
      <c r="B13" s="789" t="s">
        <v>1881</v>
      </c>
      <c r="C13" s="790" t="s">
        <v>2006</v>
      </c>
      <c r="D13" s="787" t="s">
        <v>1939</v>
      </c>
      <c r="E13" s="789"/>
      <c r="F13" s="789"/>
      <c r="G13" s="789"/>
    </row>
    <row r="14" spans="1:7">
      <c r="A14" s="787" t="s">
        <v>1882</v>
      </c>
      <c r="B14" s="789" t="s">
        <v>1883</v>
      </c>
      <c r="C14" s="787" t="s">
        <v>1993</v>
      </c>
      <c r="D14" s="787" t="s">
        <v>1939</v>
      </c>
      <c r="E14" s="789"/>
      <c r="F14" s="789"/>
      <c r="G14" s="789"/>
    </row>
    <row r="15" spans="1:7">
      <c r="A15" s="786">
        <v>2</v>
      </c>
      <c r="B15" s="788" t="s">
        <v>1884</v>
      </c>
      <c r="C15" s="786"/>
      <c r="D15" s="787"/>
      <c r="E15" s="788"/>
      <c r="F15" s="788"/>
      <c r="G15" s="788"/>
    </row>
    <row r="16" spans="1:7" ht="31.5">
      <c r="A16" s="787" t="s">
        <v>890</v>
      </c>
      <c r="B16" s="789" t="s">
        <v>1885</v>
      </c>
      <c r="C16" s="789" t="s">
        <v>2007</v>
      </c>
      <c r="D16" s="787" t="s">
        <v>1939</v>
      </c>
      <c r="E16" s="789"/>
      <c r="F16" s="789"/>
      <c r="G16" s="789"/>
    </row>
    <row r="17" spans="1:7">
      <c r="A17" s="787" t="s">
        <v>897</v>
      </c>
      <c r="B17" s="789" t="s">
        <v>1886</v>
      </c>
      <c r="C17" s="789" t="s">
        <v>1994</v>
      </c>
      <c r="D17" s="787" t="s">
        <v>1939</v>
      </c>
      <c r="E17" s="789"/>
      <c r="F17" s="789"/>
      <c r="G17" s="789"/>
    </row>
    <row r="18" spans="1:7">
      <c r="A18" s="787" t="s">
        <v>1887</v>
      </c>
      <c r="B18" s="789" t="s">
        <v>1888</v>
      </c>
      <c r="C18" s="789"/>
      <c r="D18" s="787"/>
      <c r="E18" s="789"/>
      <c r="F18" s="789"/>
      <c r="G18" s="789"/>
    </row>
    <row r="19" spans="1:7">
      <c r="A19" s="786">
        <v>3</v>
      </c>
      <c r="B19" s="788" t="s">
        <v>1493</v>
      </c>
      <c r="C19" s="788"/>
      <c r="D19" s="787"/>
      <c r="E19" s="788"/>
      <c r="F19" s="788"/>
      <c r="G19" s="788"/>
    </row>
    <row r="20" spans="1:7">
      <c r="A20" s="787" t="s">
        <v>1121</v>
      </c>
      <c r="B20" s="789" t="s">
        <v>1889</v>
      </c>
      <c r="C20" s="791" t="s">
        <v>1936</v>
      </c>
      <c r="D20" s="787" t="s">
        <v>1939</v>
      </c>
      <c r="E20" s="789"/>
      <c r="F20" s="789"/>
      <c r="G20" s="789"/>
    </row>
    <row r="21" spans="1:7" ht="37.15" customHeight="1">
      <c r="A21" s="787" t="s">
        <v>1123</v>
      </c>
      <c r="B21" s="789" t="s">
        <v>1890</v>
      </c>
      <c r="C21" s="791" t="s">
        <v>1962</v>
      </c>
      <c r="D21" s="787" t="s">
        <v>1939</v>
      </c>
      <c r="E21" s="789"/>
      <c r="F21" s="789"/>
      <c r="G21" s="789"/>
    </row>
    <row r="22" spans="1:7">
      <c r="A22" s="787" t="s">
        <v>1333</v>
      </c>
      <c r="B22" s="789" t="s">
        <v>1891</v>
      </c>
      <c r="C22" s="791" t="s">
        <v>1937</v>
      </c>
      <c r="D22" s="787" t="s">
        <v>1939</v>
      </c>
      <c r="E22" s="789"/>
      <c r="F22" s="789"/>
      <c r="G22" s="789"/>
    </row>
    <row r="23" spans="1:7" ht="52.9" customHeight="1">
      <c r="A23" s="787" t="s">
        <v>1334</v>
      </c>
      <c r="B23" s="789" t="s">
        <v>1892</v>
      </c>
      <c r="C23" s="842" t="s">
        <v>1995</v>
      </c>
      <c r="D23" s="787" t="s">
        <v>1939</v>
      </c>
      <c r="E23" s="789"/>
      <c r="F23" s="789"/>
      <c r="G23" s="789"/>
    </row>
    <row r="24" spans="1:7">
      <c r="A24" s="787" t="s">
        <v>1335</v>
      </c>
      <c r="B24" s="789" t="s">
        <v>1893</v>
      </c>
      <c r="C24" s="792" t="s">
        <v>1938</v>
      </c>
      <c r="D24" s="787" t="s">
        <v>1939</v>
      </c>
      <c r="E24" s="789"/>
      <c r="F24" s="789"/>
      <c r="G24" s="789"/>
    </row>
    <row r="25" spans="1:7">
      <c r="A25" s="787" t="s">
        <v>1336</v>
      </c>
      <c r="B25" s="789" t="s">
        <v>1894</v>
      </c>
      <c r="C25" s="789" t="s">
        <v>1967</v>
      </c>
      <c r="D25" s="787"/>
      <c r="E25" s="789"/>
      <c r="F25" s="789"/>
      <c r="G25" s="789"/>
    </row>
    <row r="26" spans="1:7">
      <c r="A26" s="786">
        <v>4</v>
      </c>
      <c r="B26" s="788" t="s">
        <v>1895</v>
      </c>
      <c r="C26" s="788"/>
      <c r="D26" s="787"/>
      <c r="E26" s="788"/>
      <c r="F26" s="788"/>
      <c r="G26" s="788"/>
    </row>
    <row r="27" spans="1:7" ht="31.5">
      <c r="A27" s="793" t="s">
        <v>908</v>
      </c>
      <c r="B27" s="794" t="s">
        <v>1896</v>
      </c>
      <c r="C27" s="789" t="s">
        <v>1961</v>
      </c>
      <c r="D27" s="787" t="s">
        <v>1939</v>
      </c>
      <c r="E27" s="789"/>
      <c r="F27" s="789"/>
      <c r="G27" s="789"/>
    </row>
    <row r="28" spans="1:7">
      <c r="A28" s="787" t="s">
        <v>1897</v>
      </c>
      <c r="B28" s="789" t="s">
        <v>1890</v>
      </c>
      <c r="C28" s="789" t="s">
        <v>1963</v>
      </c>
      <c r="D28" s="787" t="s">
        <v>1939</v>
      </c>
      <c r="E28" s="789"/>
      <c r="F28" s="789"/>
      <c r="G28" s="789"/>
    </row>
    <row r="29" spans="1:7" ht="20.45" customHeight="1">
      <c r="A29" s="787" t="s">
        <v>1898</v>
      </c>
      <c r="B29" s="789" t="s">
        <v>1891</v>
      </c>
      <c r="C29" s="789" t="s">
        <v>1964</v>
      </c>
      <c r="D29" s="787" t="s">
        <v>1939</v>
      </c>
      <c r="E29" s="789"/>
      <c r="F29" s="789"/>
      <c r="G29" s="789"/>
    </row>
    <row r="30" spans="1:7" ht="35.450000000000003" customHeight="1">
      <c r="A30" s="787" t="s">
        <v>1899</v>
      </c>
      <c r="B30" s="789" t="s">
        <v>1900</v>
      </c>
      <c r="C30" s="789" t="s">
        <v>1965</v>
      </c>
      <c r="D30" s="787" t="s">
        <v>1939</v>
      </c>
      <c r="E30" s="789"/>
      <c r="F30" s="789"/>
      <c r="G30" s="789"/>
    </row>
    <row r="31" spans="1:7">
      <c r="A31" s="787" t="s">
        <v>1901</v>
      </c>
      <c r="B31" s="789" t="s">
        <v>1902</v>
      </c>
      <c r="C31" s="820" t="s">
        <v>1966</v>
      </c>
      <c r="D31" s="787" t="s">
        <v>1939</v>
      </c>
      <c r="E31" s="789"/>
      <c r="F31" s="789"/>
      <c r="G31" s="789"/>
    </row>
    <row r="32" spans="1:7">
      <c r="A32" s="787" t="s">
        <v>1903</v>
      </c>
      <c r="B32" s="789" t="s">
        <v>1894</v>
      </c>
      <c r="C32" s="789" t="s">
        <v>1967</v>
      </c>
      <c r="D32" s="787"/>
      <c r="E32" s="789"/>
      <c r="F32" s="789"/>
      <c r="G32" s="789"/>
    </row>
    <row r="33" spans="1:10">
      <c r="A33" s="793" t="s">
        <v>932</v>
      </c>
      <c r="B33" s="794" t="s">
        <v>1904</v>
      </c>
      <c r="C33" s="789"/>
      <c r="D33" s="787"/>
      <c r="E33" s="789"/>
      <c r="F33" s="789"/>
      <c r="G33" s="789"/>
    </row>
    <row r="34" spans="1:10">
      <c r="A34" s="787" t="s">
        <v>1905</v>
      </c>
      <c r="B34" s="789" t="s">
        <v>1890</v>
      </c>
      <c r="C34" s="789"/>
      <c r="D34" s="787"/>
      <c r="E34" s="789"/>
      <c r="F34" s="789"/>
      <c r="G34" s="789"/>
    </row>
    <row r="35" spans="1:10">
      <c r="A35" s="787" t="s">
        <v>1906</v>
      </c>
      <c r="B35" s="789" t="s">
        <v>1891</v>
      </c>
      <c r="C35" s="789"/>
      <c r="D35" s="787"/>
      <c r="E35" s="789"/>
      <c r="F35" s="789"/>
      <c r="G35" s="789"/>
    </row>
    <row r="36" spans="1:10">
      <c r="A36" s="787" t="s">
        <v>1907</v>
      </c>
      <c r="B36" s="789" t="s">
        <v>1900</v>
      </c>
      <c r="C36" s="789"/>
      <c r="D36" s="787"/>
      <c r="E36" s="789"/>
      <c r="F36" s="789"/>
      <c r="G36" s="789"/>
    </row>
    <row r="37" spans="1:10">
      <c r="A37" s="787" t="s">
        <v>1908</v>
      </c>
      <c r="B37" s="789" t="s">
        <v>1902</v>
      </c>
      <c r="C37" s="789"/>
      <c r="D37" s="787"/>
      <c r="E37" s="789"/>
      <c r="F37" s="789"/>
      <c r="G37" s="789"/>
    </row>
    <row r="38" spans="1:10">
      <c r="A38" s="787" t="s">
        <v>1909</v>
      </c>
      <c r="B38" s="789" t="s">
        <v>1894</v>
      </c>
      <c r="C38" s="789"/>
      <c r="D38" s="787"/>
      <c r="E38" s="789"/>
      <c r="F38" s="789"/>
      <c r="G38" s="789"/>
    </row>
    <row r="39" spans="1:10">
      <c r="A39" s="793" t="s">
        <v>944</v>
      </c>
      <c r="B39" s="794" t="s">
        <v>1910</v>
      </c>
      <c r="C39" s="789"/>
      <c r="D39" s="787"/>
      <c r="E39" s="789"/>
      <c r="F39" s="789"/>
      <c r="G39" s="789"/>
    </row>
    <row r="40" spans="1:10">
      <c r="A40" s="787" t="s">
        <v>1911</v>
      </c>
      <c r="B40" s="789" t="s">
        <v>1890</v>
      </c>
      <c r="C40" s="789"/>
      <c r="D40" s="787"/>
      <c r="E40" s="789"/>
      <c r="F40" s="789"/>
      <c r="G40" s="789"/>
    </row>
    <row r="41" spans="1:10">
      <c r="A41" s="787" t="s">
        <v>1912</v>
      </c>
      <c r="B41" s="789" t="s">
        <v>1891</v>
      </c>
      <c r="C41" s="789"/>
      <c r="D41" s="787"/>
      <c r="E41" s="789"/>
      <c r="F41" s="789"/>
      <c r="G41" s="789"/>
    </row>
    <row r="42" spans="1:10">
      <c r="A42" s="787" t="s">
        <v>1913</v>
      </c>
      <c r="B42" s="789" t="s">
        <v>1900</v>
      </c>
      <c r="C42" s="789"/>
      <c r="D42" s="787"/>
      <c r="E42" s="789"/>
      <c r="F42" s="789"/>
      <c r="G42" s="789"/>
    </row>
    <row r="43" spans="1:10">
      <c r="A43" s="787" t="s">
        <v>1914</v>
      </c>
      <c r="B43" s="789" t="s">
        <v>1902</v>
      </c>
      <c r="C43" s="789"/>
      <c r="D43" s="787"/>
      <c r="E43" s="789"/>
      <c r="F43" s="789"/>
      <c r="G43" s="789"/>
    </row>
    <row r="44" spans="1:10">
      <c r="A44" s="787" t="s">
        <v>1915</v>
      </c>
      <c r="B44" s="789" t="s">
        <v>1894</v>
      </c>
      <c r="C44" s="789"/>
      <c r="D44" s="787"/>
      <c r="E44" s="789"/>
      <c r="F44" s="789"/>
      <c r="G44" s="789"/>
    </row>
    <row r="45" spans="1:10">
      <c r="A45" s="786" t="s">
        <v>490</v>
      </c>
      <c r="B45" s="788" t="s">
        <v>1916</v>
      </c>
      <c r="C45" s="789"/>
      <c r="D45" s="787"/>
      <c r="E45" s="789"/>
      <c r="F45" s="789"/>
      <c r="G45" s="789"/>
    </row>
    <row r="46" spans="1:10">
      <c r="A46" s="786">
        <v>1</v>
      </c>
      <c r="B46" s="788" t="s">
        <v>1917</v>
      </c>
      <c r="C46" s="789"/>
      <c r="D46" s="787"/>
      <c r="E46" s="789"/>
      <c r="F46" s="789"/>
      <c r="G46" s="789"/>
    </row>
    <row r="47" spans="1:10">
      <c r="A47" s="793" t="s">
        <v>880</v>
      </c>
      <c r="B47" s="794" t="s">
        <v>1918</v>
      </c>
      <c r="C47" s="538">
        <v>9606000</v>
      </c>
      <c r="D47" s="787" t="s">
        <v>1939</v>
      </c>
      <c r="E47" s="789"/>
      <c r="F47" s="789"/>
      <c r="G47" s="789"/>
    </row>
    <row r="48" spans="1:10">
      <c r="A48" s="787" t="s">
        <v>1919</v>
      </c>
      <c r="B48" s="789" t="s">
        <v>1992</v>
      </c>
      <c r="C48" s="797"/>
      <c r="D48" s="787" t="s">
        <v>1939</v>
      </c>
      <c r="E48" s="789"/>
      <c r="F48" s="789"/>
      <c r="G48" s="789"/>
      <c r="J48" s="796"/>
    </row>
    <row r="49" spans="1:7">
      <c r="A49" s="787" t="s">
        <v>1920</v>
      </c>
      <c r="B49" s="789" t="s">
        <v>1921</v>
      </c>
      <c r="C49" s="795"/>
      <c r="D49" s="787"/>
      <c r="E49" s="789"/>
      <c r="F49" s="789"/>
      <c r="G49" s="789"/>
    </row>
    <row r="50" spans="1:7">
      <c r="A50" s="793" t="s">
        <v>884</v>
      </c>
      <c r="B50" s="794" t="s">
        <v>1922</v>
      </c>
      <c r="C50" s="797" t="s">
        <v>1923</v>
      </c>
      <c r="D50" s="787" t="s">
        <v>1939</v>
      </c>
      <c r="E50" s="789"/>
      <c r="F50" s="789"/>
      <c r="G50" s="789"/>
    </row>
    <row r="51" spans="1:7">
      <c r="A51" s="787" t="s">
        <v>1924</v>
      </c>
      <c r="B51" s="789" t="s">
        <v>1925</v>
      </c>
      <c r="C51" s="797"/>
      <c r="D51" s="787"/>
      <c r="E51" s="789"/>
      <c r="F51" s="789"/>
      <c r="G51" s="789"/>
    </row>
    <row r="52" spans="1:7">
      <c r="A52" s="787" t="s">
        <v>1926</v>
      </c>
      <c r="B52" s="789" t="s">
        <v>1927</v>
      </c>
      <c r="C52" s="787"/>
      <c r="D52" s="787"/>
      <c r="E52" s="789"/>
      <c r="F52" s="789"/>
      <c r="G52" s="789"/>
    </row>
    <row r="53" spans="1:7">
      <c r="A53" s="793" t="s">
        <v>1878</v>
      </c>
      <c r="B53" s="794" t="s">
        <v>1928</v>
      </c>
      <c r="C53" s="797" t="s">
        <v>1923</v>
      </c>
      <c r="D53" s="787" t="s">
        <v>1939</v>
      </c>
      <c r="E53" s="794"/>
      <c r="F53" s="794"/>
      <c r="G53" s="794"/>
    </row>
    <row r="54" spans="1:7" ht="31.5">
      <c r="A54" s="793" t="s">
        <v>1880</v>
      </c>
      <c r="B54" s="794" t="s">
        <v>1929</v>
      </c>
      <c r="C54" s="794"/>
      <c r="D54" s="787"/>
      <c r="E54" s="794"/>
      <c r="F54" s="794"/>
      <c r="G54" s="794"/>
    </row>
    <row r="55" spans="1:7">
      <c r="A55" s="786">
        <v>2</v>
      </c>
      <c r="B55" s="788" t="s">
        <v>1930</v>
      </c>
      <c r="C55" s="789"/>
      <c r="D55" s="787"/>
      <c r="E55" s="789"/>
      <c r="F55" s="789"/>
      <c r="G55" s="789"/>
    </row>
    <row r="56" spans="1:7" ht="78.75">
      <c r="A56" s="787" t="s">
        <v>890</v>
      </c>
      <c r="B56" s="789" t="s">
        <v>1931</v>
      </c>
      <c r="C56" s="798" t="s">
        <v>1969</v>
      </c>
      <c r="D56" s="787" t="s">
        <v>1939</v>
      </c>
      <c r="E56" s="789"/>
      <c r="F56" s="789"/>
      <c r="G56" s="789"/>
    </row>
    <row r="57" spans="1:7" ht="47.25">
      <c r="A57" s="787" t="s">
        <v>897</v>
      </c>
      <c r="B57" s="789" t="s">
        <v>1932</v>
      </c>
      <c r="C57" s="798" t="s">
        <v>1968</v>
      </c>
      <c r="D57" s="787" t="s">
        <v>1939</v>
      </c>
      <c r="E57" s="789"/>
      <c r="F57" s="789"/>
      <c r="G57" s="789"/>
    </row>
    <row r="58" spans="1:7" ht="79.900000000000006" customHeight="1">
      <c r="A58" s="787" t="s">
        <v>1887</v>
      </c>
      <c r="B58" s="789" t="s">
        <v>1933</v>
      </c>
      <c r="C58" s="789"/>
      <c r="D58" s="787"/>
      <c r="E58" s="789"/>
      <c r="F58" s="789"/>
      <c r="G58" s="789"/>
    </row>
    <row r="59" spans="1:7" ht="47.25">
      <c r="A59" s="786">
        <v>3</v>
      </c>
      <c r="B59" s="788" t="s">
        <v>1934</v>
      </c>
      <c r="C59" s="788"/>
      <c r="D59" s="786"/>
      <c r="E59" s="788"/>
      <c r="F59" s="788"/>
      <c r="G59" s="788"/>
    </row>
    <row r="60" spans="1:7" ht="31.5">
      <c r="A60" s="786">
        <v>4</v>
      </c>
      <c r="B60" s="788" t="s">
        <v>1935</v>
      </c>
      <c r="C60" s="788"/>
      <c r="D60" s="786"/>
      <c r="E60" s="788"/>
      <c r="F60" s="788"/>
      <c r="G60" s="799"/>
    </row>
    <row r="61" spans="1:7" ht="24" customHeight="1">
      <c r="D61" s="890" t="s">
        <v>2002</v>
      </c>
      <c r="E61" s="890"/>
      <c r="F61" s="890"/>
      <c r="G61" s="890"/>
    </row>
    <row r="62" spans="1:7" ht="17.45" customHeight="1">
      <c r="D62" s="896" t="s">
        <v>1348</v>
      </c>
      <c r="E62" s="896"/>
      <c r="F62" s="896"/>
      <c r="G62" s="896"/>
    </row>
    <row r="63" spans="1:7">
      <c r="E63" s="889"/>
      <c r="F63" s="889"/>
      <c r="G63" s="889"/>
    </row>
    <row r="76" spans="8:8">
      <c r="H76" s="800"/>
    </row>
    <row r="77" spans="8:8">
      <c r="H77" s="800"/>
    </row>
  </sheetData>
  <mergeCells count="9">
    <mergeCell ref="E63:G63"/>
    <mergeCell ref="D61:G61"/>
    <mergeCell ref="E1:G1"/>
    <mergeCell ref="A2:B2"/>
    <mergeCell ref="A3:G3"/>
    <mergeCell ref="A4:G4"/>
    <mergeCell ref="E5:G5"/>
    <mergeCell ref="A1:B1"/>
    <mergeCell ref="D62:G62"/>
  </mergeCells>
  <pageMargins left="0.70866141732283472" right="0.5" top="0.59055118110236227" bottom="0.59055118110236227" header="0.19685039370078741" footer="0.19685039370078741"/>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AE52"/>
  <sheetViews>
    <sheetView topLeftCell="A25" zoomScale="115" zoomScaleNormal="115" workbookViewId="0">
      <selection activeCell="C17" sqref="C17"/>
    </sheetView>
  </sheetViews>
  <sheetFormatPr defaultColWidth="13" defaultRowHeight="16.5"/>
  <cols>
    <col min="1" max="1" width="5.6640625" style="663" customWidth="1"/>
    <col min="2" max="2" width="45.1640625" style="663" customWidth="1"/>
    <col min="3" max="3" width="17.83203125" style="663" customWidth="1"/>
    <col min="4" max="4" width="19.1640625" style="663" customWidth="1"/>
    <col min="5" max="5" width="19.33203125" style="663" customWidth="1"/>
    <col min="6" max="6" width="19" style="663" customWidth="1"/>
    <col min="7" max="7" width="20.6640625" style="663" customWidth="1"/>
    <col min="8" max="8" width="23.33203125" style="663" customWidth="1"/>
    <col min="9" max="9" width="25.1640625" style="663" customWidth="1"/>
    <col min="10" max="10" width="12.1640625" style="663" customWidth="1"/>
    <col min="11" max="11" width="13" style="663"/>
    <col min="12" max="12" width="25.6640625" style="663" customWidth="1"/>
    <col min="13" max="16384" width="13" style="663"/>
  </cols>
  <sheetData>
    <row r="1" spans="1:31" ht="27" customHeight="1">
      <c r="A1" s="898" t="s">
        <v>1792</v>
      </c>
      <c r="B1" s="898"/>
      <c r="C1" s="898"/>
      <c r="D1" s="898"/>
      <c r="I1" s="898" t="s">
        <v>1703</v>
      </c>
      <c r="J1" s="898"/>
    </row>
    <row r="2" spans="1:31" ht="10.15" customHeight="1">
      <c r="B2" s="899"/>
      <c r="C2" s="899"/>
      <c r="I2" s="682"/>
      <c r="J2" s="682"/>
    </row>
    <row r="3" spans="1:31">
      <c r="A3" s="898" t="s">
        <v>1704</v>
      </c>
      <c r="B3" s="898"/>
      <c r="C3" s="898"/>
      <c r="D3" s="898"/>
      <c r="E3" s="898"/>
      <c r="F3" s="898"/>
      <c r="G3" s="898"/>
      <c r="H3" s="898"/>
      <c r="I3" s="898"/>
      <c r="J3" s="898"/>
    </row>
    <row r="4" spans="1:31" ht="10.15" customHeight="1">
      <c r="A4" s="664"/>
      <c r="B4" s="664"/>
      <c r="C4" s="664"/>
      <c r="D4" s="664"/>
      <c r="E4" s="664"/>
      <c r="F4" s="664"/>
      <c r="G4" s="664"/>
      <c r="H4" s="664"/>
      <c r="I4" s="664"/>
      <c r="J4" s="664"/>
    </row>
    <row r="5" spans="1:31">
      <c r="A5" s="900" t="s">
        <v>2009</v>
      </c>
      <c r="B5" s="900"/>
      <c r="C5" s="900"/>
      <c r="D5" s="900"/>
      <c r="E5" s="900"/>
      <c r="F5" s="900"/>
      <c r="G5" s="900"/>
      <c r="H5" s="900"/>
      <c r="I5" s="900"/>
      <c r="J5" s="900"/>
    </row>
    <row r="6" spans="1:31">
      <c r="A6" s="901" t="s">
        <v>1996</v>
      </c>
      <c r="B6" s="901"/>
      <c r="C6" s="901"/>
      <c r="D6" s="901"/>
      <c r="E6" s="901"/>
      <c r="F6" s="901"/>
      <c r="G6" s="901"/>
      <c r="H6" s="901"/>
      <c r="I6" s="901"/>
      <c r="J6" s="901"/>
    </row>
    <row r="7" spans="1:31">
      <c r="A7" s="901" t="s">
        <v>2010</v>
      </c>
      <c r="B7" s="901"/>
      <c r="C7" s="901"/>
      <c r="D7" s="901"/>
      <c r="E7" s="901"/>
      <c r="F7" s="901"/>
      <c r="G7" s="901"/>
      <c r="H7" s="901"/>
      <c r="I7" s="901"/>
      <c r="J7" s="901"/>
    </row>
    <row r="8" spans="1:31">
      <c r="A8" s="901" t="s">
        <v>1705</v>
      </c>
      <c r="B8" s="901"/>
      <c r="C8" s="901"/>
      <c r="D8" s="901"/>
      <c r="E8" s="901"/>
      <c r="F8" s="901"/>
      <c r="G8" s="901"/>
      <c r="H8" s="901"/>
      <c r="I8" s="901"/>
      <c r="J8" s="901"/>
    </row>
    <row r="9" spans="1:31">
      <c r="A9" s="897" t="s">
        <v>1744</v>
      </c>
      <c r="B9" s="897"/>
      <c r="C9" s="897"/>
      <c r="D9" s="897"/>
      <c r="E9" s="897"/>
      <c r="F9" s="897"/>
      <c r="G9" s="897"/>
      <c r="H9" s="897"/>
      <c r="I9" s="897"/>
      <c r="J9" s="897"/>
    </row>
    <row r="10" spans="1:31">
      <c r="A10" s="897" t="s">
        <v>1971</v>
      </c>
      <c r="B10" s="897"/>
      <c r="C10" s="897"/>
      <c r="D10" s="897"/>
      <c r="E10" s="897"/>
      <c r="F10" s="897"/>
      <c r="G10" s="897"/>
      <c r="H10" s="897"/>
      <c r="I10" s="897"/>
      <c r="J10" s="897"/>
    </row>
    <row r="11" spans="1:31">
      <c r="A11" s="897" t="s">
        <v>2003</v>
      </c>
      <c r="B11" s="897"/>
      <c r="C11" s="897"/>
      <c r="D11" s="897"/>
      <c r="E11" s="897"/>
      <c r="F11" s="897"/>
      <c r="G11" s="897"/>
      <c r="H11" s="897"/>
      <c r="I11" s="897"/>
      <c r="J11" s="897"/>
    </row>
    <row r="12" spans="1:31">
      <c r="A12" s="897" t="s">
        <v>2011</v>
      </c>
      <c r="B12" s="897"/>
      <c r="C12" s="897"/>
      <c r="D12" s="897"/>
      <c r="E12" s="897"/>
      <c r="F12" s="897"/>
      <c r="G12" s="897"/>
      <c r="H12" s="897"/>
      <c r="I12" s="897"/>
      <c r="J12" s="897"/>
    </row>
    <row r="13" spans="1:31">
      <c r="I13" s="902" t="s">
        <v>1367</v>
      </c>
      <c r="J13" s="902"/>
    </row>
    <row r="14" spans="1:31" ht="67.5" customHeight="1">
      <c r="A14" s="665" t="s">
        <v>1706</v>
      </c>
      <c r="B14" s="665" t="s">
        <v>1707</v>
      </c>
      <c r="C14" s="665" t="s">
        <v>1708</v>
      </c>
      <c r="D14" s="665" t="s">
        <v>1709</v>
      </c>
      <c r="E14" s="665" t="s">
        <v>1710</v>
      </c>
      <c r="F14" s="665" t="s">
        <v>1711</v>
      </c>
      <c r="G14" s="665" t="s">
        <v>1712</v>
      </c>
      <c r="H14" s="665" t="s">
        <v>1713</v>
      </c>
      <c r="I14" s="665" t="s">
        <v>1714</v>
      </c>
      <c r="J14" s="666" t="s">
        <v>1148</v>
      </c>
      <c r="L14" s="684"/>
    </row>
    <row r="15" spans="1:31" s="667" customFormat="1">
      <c r="A15" s="445">
        <v>1</v>
      </c>
      <c r="B15" s="445">
        <v>2</v>
      </c>
      <c r="C15" s="445">
        <v>3</v>
      </c>
      <c r="D15" s="445">
        <v>4</v>
      </c>
      <c r="E15" s="445">
        <v>5</v>
      </c>
      <c r="F15" s="445">
        <v>6</v>
      </c>
      <c r="G15" s="445" t="s">
        <v>1740</v>
      </c>
      <c r="H15" s="445">
        <v>8</v>
      </c>
      <c r="I15" s="445" t="s">
        <v>1715</v>
      </c>
      <c r="J15" s="445">
        <v>10</v>
      </c>
      <c r="K15" s="663"/>
      <c r="L15" s="684"/>
      <c r="M15" s="663"/>
      <c r="N15" s="663"/>
      <c r="O15" s="663"/>
      <c r="P15" s="663"/>
      <c r="Q15" s="663"/>
      <c r="R15" s="663"/>
      <c r="S15" s="663"/>
      <c r="T15" s="663"/>
      <c r="U15" s="663"/>
      <c r="V15" s="663"/>
      <c r="W15" s="663"/>
      <c r="X15" s="663"/>
      <c r="Y15" s="663"/>
      <c r="Z15" s="663"/>
      <c r="AA15" s="663"/>
      <c r="AB15" s="663"/>
      <c r="AC15" s="663"/>
      <c r="AD15" s="663"/>
      <c r="AE15" s="663"/>
    </row>
    <row r="16" spans="1:31" s="667" customFormat="1" ht="58.9" customHeight="1">
      <c r="A16" s="666" t="s">
        <v>364</v>
      </c>
      <c r="B16" s="843" t="s">
        <v>1738</v>
      </c>
      <c r="C16" s="844">
        <f>C17</f>
        <v>9606000</v>
      </c>
      <c r="D16" s="844">
        <f t="shared" ref="D16:I16" si="0">D17</f>
        <v>0</v>
      </c>
      <c r="E16" s="844">
        <f t="shared" si="0"/>
        <v>9606000</v>
      </c>
      <c r="F16" s="844">
        <f t="shared" si="0"/>
        <v>9606000</v>
      </c>
      <c r="G16" s="844">
        <f t="shared" si="0"/>
        <v>0</v>
      </c>
      <c r="H16" s="844">
        <f t="shared" si="0"/>
        <v>0</v>
      </c>
      <c r="I16" s="844">
        <f t="shared" si="0"/>
        <v>9606000</v>
      </c>
      <c r="J16" s="671"/>
      <c r="K16" s="663"/>
      <c r="L16" s="672"/>
      <c r="M16" s="663"/>
      <c r="N16" s="663"/>
      <c r="O16" s="663"/>
      <c r="P16" s="663"/>
      <c r="Q16" s="663"/>
      <c r="R16" s="663"/>
      <c r="S16" s="663"/>
      <c r="T16" s="663"/>
      <c r="U16" s="663"/>
      <c r="V16" s="663"/>
      <c r="W16" s="663"/>
      <c r="X16" s="663"/>
      <c r="Y16" s="663"/>
      <c r="Z16" s="663"/>
      <c r="AA16" s="663"/>
      <c r="AB16" s="663"/>
      <c r="AC16" s="663"/>
      <c r="AD16" s="663"/>
      <c r="AE16" s="663"/>
    </row>
    <row r="17" spans="1:31" s="686" customFormat="1" ht="66" customHeight="1">
      <c r="A17" s="668">
        <v>1</v>
      </c>
      <c r="B17" s="669" t="s">
        <v>2013</v>
      </c>
      <c r="C17" s="670">
        <f>'2a'!C47</f>
        <v>9606000</v>
      </c>
      <c r="D17" s="670">
        <v>0</v>
      </c>
      <c r="E17" s="670">
        <f>C17</f>
        <v>9606000</v>
      </c>
      <c r="F17" s="670">
        <f>E17</f>
        <v>9606000</v>
      </c>
      <c r="G17" s="670">
        <v>0</v>
      </c>
      <c r="H17" s="670">
        <v>0</v>
      </c>
      <c r="I17" s="670">
        <f>H17+F17</f>
        <v>9606000</v>
      </c>
      <c r="J17" s="671"/>
      <c r="K17" s="663"/>
      <c r="L17" s="672"/>
      <c r="M17" s="663"/>
      <c r="N17" s="663"/>
      <c r="O17" s="663"/>
      <c r="P17" s="663"/>
      <c r="Q17" s="663"/>
      <c r="R17" s="663"/>
      <c r="S17" s="663"/>
      <c r="T17" s="663"/>
      <c r="U17" s="663"/>
      <c r="V17" s="663"/>
      <c r="W17" s="663"/>
      <c r="X17" s="663"/>
      <c r="Y17" s="663"/>
      <c r="Z17" s="663"/>
      <c r="AA17" s="663"/>
      <c r="AB17" s="663"/>
      <c r="AC17" s="663"/>
      <c r="AD17" s="663"/>
      <c r="AE17" s="663"/>
    </row>
    <row r="18" spans="1:31" ht="12" customHeight="1">
      <c r="B18" s="685"/>
      <c r="K18" s="674"/>
      <c r="L18" s="672"/>
    </row>
    <row r="19" spans="1:31" s="673" customFormat="1" ht="19.149999999999999" customHeight="1">
      <c r="A19" s="822" t="s">
        <v>1716</v>
      </c>
      <c r="D19" s="681"/>
      <c r="E19" s="681"/>
      <c r="G19" s="681">
        <v>0</v>
      </c>
      <c r="H19" s="673" t="s">
        <v>1717</v>
      </c>
      <c r="L19" s="681"/>
    </row>
    <row r="20" spans="1:31" s="673" customFormat="1" ht="19.149999999999999" customHeight="1">
      <c r="A20" s="822" t="s">
        <v>1718</v>
      </c>
      <c r="E20" s="681"/>
      <c r="G20" s="681">
        <f>G21+G22+G23</f>
        <v>0</v>
      </c>
      <c r="H20" s="673" t="s">
        <v>1717</v>
      </c>
      <c r="L20" s="681"/>
    </row>
    <row r="21" spans="1:31" ht="19.149999999999999" customHeight="1">
      <c r="A21" s="675" t="s">
        <v>1719</v>
      </c>
      <c r="B21" s="673"/>
      <c r="E21" s="672"/>
      <c r="G21" s="672">
        <f>H16</f>
        <v>0</v>
      </c>
      <c r="H21" s="663" t="s">
        <v>1717</v>
      </c>
      <c r="L21" s="672"/>
    </row>
    <row r="22" spans="1:31" ht="19.149999999999999" customHeight="1">
      <c r="A22" s="675" t="s">
        <v>1720</v>
      </c>
      <c r="B22" s="673"/>
      <c r="D22" s="672"/>
      <c r="E22" s="672"/>
      <c r="G22" s="663">
        <v>0</v>
      </c>
      <c r="H22" s="663" t="s">
        <v>1717</v>
      </c>
      <c r="L22" s="672"/>
    </row>
    <row r="23" spans="1:31" ht="19.149999999999999" customHeight="1">
      <c r="A23" s="675" t="s">
        <v>1721</v>
      </c>
      <c r="B23" s="673"/>
      <c r="D23" s="672"/>
      <c r="E23" s="672"/>
      <c r="G23" s="663">
        <v>0</v>
      </c>
      <c r="H23" s="663" t="s">
        <v>1717</v>
      </c>
      <c r="L23" s="672"/>
    </row>
    <row r="24" spans="1:31" s="673" customFormat="1" ht="19.149999999999999" customHeight="1">
      <c r="A24" s="822" t="s">
        <v>1722</v>
      </c>
      <c r="D24" s="681"/>
      <c r="E24" s="681"/>
      <c r="G24" s="681">
        <f>E16</f>
        <v>9606000</v>
      </c>
      <c r="H24" s="673" t="s">
        <v>1717</v>
      </c>
      <c r="L24" s="681"/>
    </row>
    <row r="25" spans="1:31" s="673" customFormat="1" ht="19.149999999999999" customHeight="1">
      <c r="A25" s="822" t="s">
        <v>1723</v>
      </c>
      <c r="G25" s="681">
        <v>0</v>
      </c>
      <c r="H25" s="673" t="s">
        <v>1717</v>
      </c>
      <c r="L25" s="681"/>
    </row>
    <row r="26" spans="1:31" s="673" customFormat="1" ht="19.149999999999999" customHeight="1">
      <c r="A26" s="822" t="s">
        <v>1724</v>
      </c>
      <c r="B26" s="823"/>
      <c r="C26" s="823"/>
      <c r="D26" s="823"/>
      <c r="E26" s="823"/>
      <c r="F26" s="823"/>
      <c r="G26" s="824">
        <f>G28+G29</f>
        <v>9606000</v>
      </c>
      <c r="H26" s="673" t="s">
        <v>1717</v>
      </c>
      <c r="I26" s="823"/>
      <c r="J26" s="823"/>
      <c r="L26" s="681"/>
    </row>
    <row r="27" spans="1:31" ht="19.149999999999999" customHeight="1">
      <c r="A27" s="903" t="s">
        <v>2008</v>
      </c>
      <c r="B27" s="903"/>
      <c r="C27" s="903"/>
      <c r="D27" s="903"/>
      <c r="E27" s="903"/>
      <c r="F27" s="903"/>
      <c r="G27" s="903"/>
      <c r="H27" s="683"/>
      <c r="I27" s="683"/>
      <c r="J27" s="683"/>
      <c r="L27" s="672"/>
    </row>
    <row r="28" spans="1:31" ht="19.149999999999999" customHeight="1">
      <c r="A28" s="676" t="s">
        <v>1725</v>
      </c>
      <c r="B28" s="673"/>
      <c r="D28" s="672"/>
      <c r="E28" s="672"/>
      <c r="G28" s="663">
        <v>0</v>
      </c>
      <c r="H28" s="663" t="s">
        <v>1717</v>
      </c>
      <c r="L28" s="672"/>
    </row>
    <row r="29" spans="1:31" ht="19.149999999999999" customHeight="1">
      <c r="A29" s="676" t="s">
        <v>1726</v>
      </c>
      <c r="B29" s="673"/>
      <c r="D29" s="672"/>
      <c r="E29" s="672"/>
      <c r="G29" s="672">
        <f>G30+G31+G32</f>
        <v>9606000</v>
      </c>
      <c r="H29" s="663" t="s">
        <v>1717</v>
      </c>
      <c r="L29" s="681"/>
    </row>
    <row r="30" spans="1:31" ht="19.149999999999999" customHeight="1">
      <c r="A30" s="677" t="s">
        <v>1727</v>
      </c>
      <c r="B30" s="673"/>
      <c r="D30" s="672"/>
      <c r="E30" s="672"/>
      <c r="G30" s="821">
        <f>I16</f>
        <v>9606000</v>
      </c>
      <c r="H30" s="663" t="s">
        <v>1717</v>
      </c>
    </row>
    <row r="31" spans="1:31" ht="19.149999999999999" customHeight="1">
      <c r="A31" s="677" t="s">
        <v>1728</v>
      </c>
      <c r="B31" s="673"/>
      <c r="D31" s="672"/>
      <c r="E31" s="672"/>
      <c r="G31" s="679">
        <v>0</v>
      </c>
      <c r="H31" s="663" t="s">
        <v>1717</v>
      </c>
      <c r="L31" s="672"/>
    </row>
    <row r="32" spans="1:31" ht="19.149999999999999" customHeight="1">
      <c r="A32" s="677" t="s">
        <v>1729</v>
      </c>
      <c r="B32" s="673"/>
      <c r="D32" s="672"/>
      <c r="E32" s="672"/>
      <c r="G32" s="679">
        <v>0</v>
      </c>
      <c r="H32" s="663" t="s">
        <v>1717</v>
      </c>
      <c r="L32" s="672"/>
    </row>
    <row r="33" spans="1:12" s="673" customFormat="1" ht="19.149999999999999" customHeight="1">
      <c r="A33" s="822" t="s">
        <v>1730</v>
      </c>
      <c r="D33" s="681"/>
      <c r="E33" s="681"/>
      <c r="G33" s="681">
        <f>G35+G36</f>
        <v>9606000</v>
      </c>
      <c r="H33" s="673" t="s">
        <v>1717</v>
      </c>
    </row>
    <row r="34" spans="1:12" s="673" customFormat="1" ht="16.5" customHeight="1">
      <c r="A34" s="664" t="s">
        <v>1972</v>
      </c>
      <c r="D34" s="681"/>
      <c r="E34" s="681"/>
      <c r="G34" s="681"/>
    </row>
    <row r="35" spans="1:12" ht="19.149999999999999" customHeight="1">
      <c r="A35" s="675" t="s">
        <v>1731</v>
      </c>
      <c r="B35" s="673"/>
      <c r="D35" s="672"/>
      <c r="E35" s="672"/>
      <c r="G35" s="672">
        <f>G19-G25</f>
        <v>0</v>
      </c>
      <c r="H35" s="663" t="s">
        <v>1717</v>
      </c>
      <c r="L35" s="672"/>
    </row>
    <row r="36" spans="1:12" ht="19.149999999999999" customHeight="1">
      <c r="A36" s="675" t="s">
        <v>1732</v>
      </c>
      <c r="B36" s="673"/>
      <c r="D36" s="672"/>
      <c r="E36" s="672"/>
      <c r="G36" s="672">
        <f>G37+G38+G39</f>
        <v>9606000</v>
      </c>
      <c r="H36" s="663" t="s">
        <v>1717</v>
      </c>
    </row>
    <row r="37" spans="1:12" ht="19.149999999999999" customHeight="1">
      <c r="A37" s="677" t="s">
        <v>1733</v>
      </c>
      <c r="B37" s="673"/>
      <c r="D37" s="672"/>
      <c r="E37" s="672"/>
      <c r="G37" s="821">
        <f>G20+G25+G26</f>
        <v>9606000</v>
      </c>
      <c r="H37" s="663" t="s">
        <v>1717</v>
      </c>
    </row>
    <row r="38" spans="1:12" ht="19.149999999999999" customHeight="1">
      <c r="A38" s="677" t="s">
        <v>1734</v>
      </c>
      <c r="B38" s="673"/>
      <c r="D38" s="672"/>
      <c r="E38" s="672"/>
      <c r="G38" s="663">
        <v>0</v>
      </c>
      <c r="H38" s="663" t="s">
        <v>1717</v>
      </c>
      <c r="L38" s="663" t="s">
        <v>1739</v>
      </c>
    </row>
    <row r="39" spans="1:12" ht="19.149999999999999" customHeight="1">
      <c r="A39" s="677" t="s">
        <v>1735</v>
      </c>
      <c r="B39" s="673"/>
      <c r="D39" s="672"/>
      <c r="E39" s="672"/>
      <c r="G39" s="663">
        <v>0</v>
      </c>
      <c r="H39" s="663" t="s">
        <v>1717</v>
      </c>
      <c r="L39" s="681"/>
    </row>
    <row r="40" spans="1:12" ht="21" customHeight="1">
      <c r="G40" s="904" t="s">
        <v>2012</v>
      </c>
      <c r="H40" s="904"/>
      <c r="I40" s="904"/>
      <c r="J40" s="904"/>
    </row>
    <row r="41" spans="1:12" s="673" customFormat="1">
      <c r="A41" s="898" t="s">
        <v>1358</v>
      </c>
      <c r="B41" s="898"/>
      <c r="C41" s="898"/>
      <c r="G41" s="898" t="s">
        <v>1348</v>
      </c>
      <c r="H41" s="898"/>
      <c r="I41" s="898"/>
      <c r="J41" s="898"/>
    </row>
    <row r="42" spans="1:12" s="679" customFormat="1">
      <c r="A42" s="905" t="s">
        <v>1736</v>
      </c>
      <c r="B42" s="905"/>
      <c r="C42" s="905"/>
      <c r="D42" s="678"/>
      <c r="F42" s="678"/>
      <c r="G42" s="905" t="s">
        <v>1736</v>
      </c>
      <c r="H42" s="905"/>
      <c r="I42" s="905"/>
      <c r="J42" s="905"/>
    </row>
    <row r="45" spans="1:12">
      <c r="E45" s="672"/>
    </row>
    <row r="47" spans="1:12">
      <c r="A47" s="898"/>
      <c r="B47" s="898"/>
      <c r="D47" s="898"/>
      <c r="E47" s="898"/>
      <c r="F47" s="898"/>
      <c r="G47" s="898"/>
      <c r="H47" s="898"/>
      <c r="I47" s="898"/>
      <c r="J47" s="673"/>
    </row>
    <row r="50" spans="6:8">
      <c r="F50" s="680"/>
      <c r="G50" s="680"/>
      <c r="H50" s="680"/>
    </row>
    <row r="51" spans="6:8">
      <c r="F51" s="680"/>
      <c r="G51" s="680"/>
      <c r="H51" s="680"/>
    </row>
    <row r="52" spans="6:8">
      <c r="F52" s="672"/>
      <c r="G52" s="672"/>
      <c r="H52" s="672"/>
    </row>
  </sheetData>
  <mergeCells count="21">
    <mergeCell ref="A47:B47"/>
    <mergeCell ref="D47:I47"/>
    <mergeCell ref="I13:J13"/>
    <mergeCell ref="A27:G27"/>
    <mergeCell ref="G40:J40"/>
    <mergeCell ref="A41:C41"/>
    <mergeCell ref="G41:J41"/>
    <mergeCell ref="A42:C42"/>
    <mergeCell ref="G42:J42"/>
    <mergeCell ref="A12:J12"/>
    <mergeCell ref="A1:D1"/>
    <mergeCell ref="I1:J1"/>
    <mergeCell ref="B2:C2"/>
    <mergeCell ref="A3:J3"/>
    <mergeCell ref="A5:J5"/>
    <mergeCell ref="A6:J6"/>
    <mergeCell ref="A7:J7"/>
    <mergeCell ref="A8:J8"/>
    <mergeCell ref="A9:J9"/>
    <mergeCell ref="A10:J10"/>
    <mergeCell ref="A11:J11"/>
  </mergeCells>
  <pageMargins left="0.78740157480314965" right="0.39370078740157483" top="0.68" bottom="0.86" header="0.19685039370078741" footer="0.19685039370078741"/>
  <pageSetup paperSize="9" scale="7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A8" sqref="A8:J8"/>
    </sheetView>
  </sheetViews>
  <sheetFormatPr defaultRowHeight="10.5"/>
  <cols>
    <col min="5" max="5" width="15.1640625" customWidth="1"/>
    <col min="10" max="10" width="20.1640625" customWidth="1"/>
  </cols>
  <sheetData>
    <row r="1" spans="1:10" ht="14.25">
      <c r="A1" s="907" t="s">
        <v>1987</v>
      </c>
      <c r="B1" s="907"/>
      <c r="C1" s="907"/>
      <c r="D1" s="907"/>
      <c r="E1" s="907"/>
      <c r="F1" s="908" t="s">
        <v>1973</v>
      </c>
      <c r="G1" s="908"/>
      <c r="H1" s="908"/>
      <c r="I1" s="908"/>
      <c r="J1" s="908"/>
    </row>
    <row r="2" spans="1:10" ht="16.5">
      <c r="A2" s="907"/>
      <c r="B2" s="907"/>
      <c r="C2" s="907"/>
      <c r="D2" s="907"/>
      <c r="E2" s="907"/>
      <c r="F2" s="909" t="s">
        <v>1974</v>
      </c>
      <c r="G2" s="909"/>
      <c r="H2" s="909"/>
      <c r="I2" s="909"/>
      <c r="J2" s="909"/>
    </row>
    <row r="3" spans="1:10" ht="8.25" customHeight="1">
      <c r="A3" s="825"/>
      <c r="B3" s="825"/>
      <c r="C3" s="825"/>
      <c r="D3" s="825"/>
      <c r="E3" s="825"/>
      <c r="F3" s="825"/>
      <c r="G3" s="825"/>
      <c r="H3" s="825"/>
      <c r="I3" s="825"/>
      <c r="J3" s="825"/>
    </row>
    <row r="4" spans="1:10" ht="16.5">
      <c r="A4" s="910" t="s">
        <v>2001</v>
      </c>
      <c r="B4" s="910"/>
      <c r="C4" s="910"/>
      <c r="D4" s="910"/>
      <c r="E4" s="910"/>
      <c r="F4" s="911" t="s">
        <v>2000</v>
      </c>
      <c r="G4" s="911"/>
      <c r="H4" s="911"/>
      <c r="I4" s="911"/>
      <c r="J4" s="911"/>
    </row>
    <row r="5" spans="1:10" ht="10.5" customHeight="1">
      <c r="A5" s="827"/>
      <c r="B5" s="827"/>
      <c r="C5" s="827"/>
      <c r="D5" s="827"/>
      <c r="E5" s="827"/>
      <c r="F5" s="828"/>
      <c r="G5" s="828"/>
      <c r="H5" s="828"/>
      <c r="I5" s="828"/>
      <c r="J5" s="828"/>
    </row>
    <row r="6" spans="1:10" ht="66.75" customHeight="1">
      <c r="A6" s="906" t="s">
        <v>1997</v>
      </c>
      <c r="B6" s="906"/>
      <c r="C6" s="906"/>
      <c r="D6" s="906"/>
      <c r="E6" s="906"/>
      <c r="F6" s="829"/>
      <c r="G6" s="826"/>
      <c r="H6" s="826"/>
      <c r="I6" s="826"/>
      <c r="J6" s="826"/>
    </row>
    <row r="7" spans="1:10" ht="14.25" customHeight="1">
      <c r="A7" s="830"/>
      <c r="B7" s="830"/>
      <c r="C7" s="830"/>
      <c r="D7" s="830"/>
      <c r="E7" s="830"/>
      <c r="F7" s="830"/>
      <c r="G7" s="830"/>
      <c r="H7" s="830"/>
      <c r="I7" s="830"/>
      <c r="J7" s="830"/>
    </row>
    <row r="8" spans="1:10" ht="95.25" customHeight="1">
      <c r="A8" s="914" t="s">
        <v>1998</v>
      </c>
      <c r="B8" s="914"/>
      <c r="C8" s="914"/>
      <c r="D8" s="914"/>
      <c r="E8" s="914"/>
      <c r="F8" s="914"/>
      <c r="G8" s="914"/>
      <c r="H8" s="914"/>
      <c r="I8" s="914"/>
      <c r="J8" s="914"/>
    </row>
    <row r="9" spans="1:10" ht="24" customHeight="1">
      <c r="A9" s="915" t="s">
        <v>1975</v>
      </c>
      <c r="B9" s="915"/>
      <c r="C9" s="915"/>
      <c r="D9" s="915"/>
      <c r="E9" s="915"/>
      <c r="F9" s="915"/>
      <c r="G9" s="915"/>
      <c r="H9" s="915"/>
      <c r="I9" s="915"/>
      <c r="J9" s="915"/>
    </row>
    <row r="10" spans="1:10" ht="39.75" customHeight="1">
      <c r="A10" s="915" t="s">
        <v>1976</v>
      </c>
      <c r="B10" s="916"/>
      <c r="C10" s="916"/>
      <c r="D10" s="916"/>
      <c r="E10" s="916"/>
      <c r="F10" s="916"/>
      <c r="G10" s="916"/>
      <c r="H10" s="916"/>
      <c r="I10" s="916"/>
      <c r="J10" s="916"/>
    </row>
    <row r="11" spans="1:10" ht="21" customHeight="1">
      <c r="A11" s="831"/>
      <c r="B11" s="912" t="s">
        <v>1977</v>
      </c>
      <c r="C11" s="912"/>
      <c r="D11" s="912"/>
      <c r="E11" s="912"/>
      <c r="F11" s="912"/>
      <c r="G11" s="913">
        <f>'3a XL'!C16</f>
        <v>9606000</v>
      </c>
      <c r="H11" s="913"/>
      <c r="I11" s="913"/>
      <c r="J11" s="913"/>
    </row>
    <row r="12" spans="1:10" ht="21" customHeight="1">
      <c r="A12" s="831"/>
      <c r="B12" s="912" t="s">
        <v>1978</v>
      </c>
      <c r="C12" s="912"/>
      <c r="D12" s="912"/>
      <c r="E12" s="912"/>
      <c r="F12" s="912"/>
      <c r="G12" s="913">
        <f>'3a XL'!G20</f>
        <v>0</v>
      </c>
      <c r="H12" s="913"/>
      <c r="I12" s="913"/>
      <c r="J12" s="913"/>
    </row>
    <row r="13" spans="1:10" ht="21" customHeight="1">
      <c r="A13" s="831"/>
      <c r="B13" s="832" t="s">
        <v>1979</v>
      </c>
      <c r="C13" s="833"/>
      <c r="D13" s="833"/>
      <c r="E13" s="833"/>
      <c r="F13" s="833"/>
      <c r="G13" s="913">
        <f>'3a XL'!E16</f>
        <v>9606000</v>
      </c>
      <c r="H13" s="913"/>
      <c r="I13" s="913"/>
      <c r="J13" s="913"/>
    </row>
    <row r="14" spans="1:10" ht="21" customHeight="1">
      <c r="A14" s="831"/>
      <c r="B14" s="912" t="s">
        <v>1980</v>
      </c>
      <c r="C14" s="912"/>
      <c r="D14" s="912"/>
      <c r="E14" s="912"/>
      <c r="F14" s="912"/>
      <c r="G14" s="913">
        <f>'3a XL'!G25</f>
        <v>0</v>
      </c>
      <c r="H14" s="913"/>
      <c r="I14" s="913"/>
      <c r="J14" s="913"/>
    </row>
    <row r="15" spans="1:10" ht="21" customHeight="1">
      <c r="A15" s="831"/>
      <c r="B15" s="912" t="s">
        <v>1981</v>
      </c>
      <c r="C15" s="912"/>
      <c r="D15" s="912"/>
      <c r="E15" s="912"/>
      <c r="F15" s="912"/>
      <c r="G15" s="913">
        <f>'3a XL'!G26</f>
        <v>9606000</v>
      </c>
      <c r="H15" s="913"/>
      <c r="I15" s="913"/>
      <c r="J15" s="913"/>
    </row>
    <row r="16" spans="1:10" ht="21.75" customHeight="1">
      <c r="A16" s="917" t="s">
        <v>1982</v>
      </c>
      <c r="B16" s="917"/>
      <c r="C16" s="918" t="s">
        <v>1999</v>
      </c>
      <c r="D16" s="918"/>
      <c r="E16" s="918"/>
      <c r="F16" s="918"/>
      <c r="G16" s="918"/>
      <c r="H16" s="918"/>
      <c r="I16" s="918"/>
      <c r="J16" s="918"/>
    </row>
    <row r="17" spans="1:10" ht="12" customHeight="1">
      <c r="A17" s="835"/>
      <c r="B17" s="835"/>
      <c r="C17" s="835"/>
      <c r="D17" s="835"/>
      <c r="E17" s="835"/>
      <c r="F17" s="835"/>
      <c r="G17" s="835"/>
      <c r="H17" s="835"/>
      <c r="I17" s="835"/>
      <c r="J17" s="834"/>
    </row>
    <row r="18" spans="1:10" ht="25.5" customHeight="1">
      <c r="A18" s="922" t="s">
        <v>1988</v>
      </c>
      <c r="B18" s="922"/>
      <c r="C18" s="922"/>
      <c r="D18" s="923" t="s">
        <v>1961</v>
      </c>
      <c r="E18" s="923"/>
      <c r="F18" s="923"/>
      <c r="G18" s="923"/>
      <c r="H18" s="923"/>
      <c r="I18" s="923"/>
      <c r="J18" s="923"/>
    </row>
    <row r="19" spans="1:10" ht="24" customHeight="1">
      <c r="A19" s="921" t="s">
        <v>1989</v>
      </c>
      <c r="B19" s="921"/>
      <c r="C19" s="924" t="s">
        <v>1990</v>
      </c>
      <c r="D19" s="924"/>
      <c r="E19" s="924"/>
      <c r="F19" s="924"/>
      <c r="G19" s="924"/>
      <c r="H19" s="924"/>
      <c r="I19" s="924"/>
      <c r="J19" s="924"/>
    </row>
    <row r="20" spans="1:10" ht="17.25">
      <c r="A20" s="835"/>
      <c r="B20" s="834"/>
      <c r="C20" s="919"/>
      <c r="D20" s="919"/>
      <c r="E20" s="919"/>
      <c r="F20" s="919"/>
      <c r="G20" s="919"/>
      <c r="H20" s="919"/>
      <c r="I20" s="919"/>
      <c r="J20" s="834"/>
    </row>
    <row r="21" spans="1:10" ht="18.75">
      <c r="A21" s="837" t="s">
        <v>1983</v>
      </c>
      <c r="B21" s="838"/>
      <c r="C21" s="836"/>
      <c r="D21" s="836"/>
      <c r="E21" s="920" t="s">
        <v>1986</v>
      </c>
      <c r="F21" s="920"/>
      <c r="G21" s="920"/>
      <c r="H21" s="920"/>
      <c r="I21" s="920"/>
      <c r="J21" s="920"/>
    </row>
    <row r="22" spans="1:10" ht="18.75">
      <c r="A22" s="839" t="s">
        <v>1984</v>
      </c>
      <c r="B22" s="840"/>
      <c r="C22" s="836"/>
      <c r="D22" s="836"/>
      <c r="E22" s="920"/>
      <c r="F22" s="920"/>
      <c r="G22" s="920"/>
      <c r="H22" s="920"/>
      <c r="I22" s="920"/>
      <c r="J22" s="920"/>
    </row>
    <row r="23" spans="1:10" ht="18.75">
      <c r="A23" s="841" t="s">
        <v>1985</v>
      </c>
      <c r="B23" s="838"/>
      <c r="C23" s="836"/>
      <c r="D23" s="836"/>
      <c r="E23" s="836"/>
      <c r="F23" s="836"/>
      <c r="G23" s="836"/>
      <c r="H23" s="836"/>
      <c r="I23" s="836"/>
      <c r="J23" s="836"/>
    </row>
  </sheetData>
  <mergeCells count="26">
    <mergeCell ref="A16:B16"/>
    <mergeCell ref="C16:J16"/>
    <mergeCell ref="C20:I20"/>
    <mergeCell ref="E21:J22"/>
    <mergeCell ref="A19:B19"/>
    <mergeCell ref="A18:C18"/>
    <mergeCell ref="D18:J18"/>
    <mergeCell ref="C19:J19"/>
    <mergeCell ref="B15:F15"/>
    <mergeCell ref="G15:J15"/>
    <mergeCell ref="A8:J8"/>
    <mergeCell ref="A9:J9"/>
    <mergeCell ref="A10:J10"/>
    <mergeCell ref="B11:F11"/>
    <mergeCell ref="G11:J11"/>
    <mergeCell ref="B12:F12"/>
    <mergeCell ref="G12:J12"/>
    <mergeCell ref="G13:J13"/>
    <mergeCell ref="B14:F14"/>
    <mergeCell ref="G14:J14"/>
    <mergeCell ref="A6:E6"/>
    <mergeCell ref="A1:E2"/>
    <mergeCell ref="F1:J1"/>
    <mergeCell ref="F2:J2"/>
    <mergeCell ref="A4:E4"/>
    <mergeCell ref="F4:J4"/>
  </mergeCells>
  <conditionalFormatting sqref="D18 C19">
    <cfRule type="expression" dxfId="223" priority="3">
      <formula>WEEKDAY(#REF!)=1</formula>
    </cfRule>
  </conditionalFormatting>
  <conditionalFormatting sqref="B20:C20">
    <cfRule type="expression" dxfId="222" priority="2">
      <formula>WEEKDAY(#REF!)=1</formula>
    </cfRule>
  </conditionalFormatting>
  <conditionalFormatting sqref="A18">
    <cfRule type="expression" dxfId="221" priority="1">
      <formula>WEEKDAY(#REF!)=1</formula>
    </cfRule>
  </conditionalFormatting>
  <pageMargins left="0.88" right="0.5" top="0.61" bottom="0.75" header="0.3" footer="0.3"/>
  <pageSetup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zoomScale="70" zoomScaleNormal="70" workbookViewId="0">
      <selection activeCell="O9" sqref="O9"/>
    </sheetView>
  </sheetViews>
  <sheetFormatPr defaultColWidth="10.6640625" defaultRowHeight="15.75"/>
  <cols>
    <col min="1" max="1" width="1.6640625" style="411" customWidth="1"/>
    <col min="2" max="2" width="9.33203125" style="429" customWidth="1"/>
    <col min="3" max="3" width="70.5" style="430" customWidth="1"/>
    <col min="4" max="4" width="11.33203125" style="431" customWidth="1"/>
    <col min="5" max="5" width="14.6640625" style="429" customWidth="1"/>
    <col min="6" max="6" width="15" style="429" bestFit="1" customWidth="1"/>
    <col min="7" max="7" width="13.33203125" style="429" customWidth="1"/>
    <col min="8" max="8" width="18" style="432" customWidth="1"/>
    <col min="9" max="9" width="20" style="433" customWidth="1"/>
    <col min="10" max="10" width="19.83203125" style="433" customWidth="1"/>
    <col min="11" max="11" width="12.83203125" style="433" customWidth="1"/>
    <col min="12" max="12" width="7.33203125" style="374" customWidth="1"/>
    <col min="13" max="13" width="21.6640625" style="375" customWidth="1"/>
    <col min="14" max="16384" width="10.6640625" style="375"/>
  </cols>
  <sheetData>
    <row r="1" spans="1:13" ht="15.75" customHeight="1">
      <c r="A1" s="367"/>
      <c r="B1" s="368"/>
      <c r="C1" s="369"/>
      <c r="D1" s="370"/>
      <c r="E1" s="368"/>
      <c r="F1" s="368"/>
      <c r="G1" s="368"/>
      <c r="H1" s="371"/>
      <c r="I1" s="372"/>
      <c r="J1" s="373"/>
      <c r="K1" s="372"/>
    </row>
    <row r="2" spans="1:13" s="383" customFormat="1" ht="26.25" customHeight="1">
      <c r="A2" s="376"/>
      <c r="B2" s="377" t="s">
        <v>1391</v>
      </c>
      <c r="C2" s="378"/>
      <c r="D2" s="378"/>
      <c r="E2" s="379"/>
      <c r="F2" s="379"/>
      <c r="G2" s="379"/>
      <c r="H2" s="380"/>
      <c r="I2" s="380"/>
      <c r="J2" s="380"/>
      <c r="K2" s="381"/>
      <c r="L2" s="382"/>
    </row>
    <row r="3" spans="1:13" ht="16.5">
      <c r="A3" s="367"/>
      <c r="B3" s="388" t="s">
        <v>1958</v>
      </c>
      <c r="C3" s="389"/>
      <c r="D3" s="389"/>
      <c r="E3" s="385"/>
      <c r="F3" s="385"/>
      <c r="G3" s="385"/>
      <c r="H3" s="381"/>
      <c r="I3" s="381"/>
      <c r="J3" s="381"/>
      <c r="K3" s="381"/>
      <c r="L3" s="385"/>
    </row>
    <row r="4" spans="1:13" ht="16.5">
      <c r="A4" s="367"/>
      <c r="B4" s="388" t="s">
        <v>1746</v>
      </c>
      <c r="C4" s="389"/>
      <c r="D4" s="389"/>
      <c r="E4" s="385"/>
      <c r="F4" s="385"/>
      <c r="G4" s="385"/>
      <c r="H4" s="381"/>
      <c r="I4" s="381"/>
      <c r="J4" s="381"/>
      <c r="K4" s="381"/>
      <c r="L4" s="385"/>
    </row>
    <row r="5" spans="1:13" ht="16.5">
      <c r="A5" s="367"/>
      <c r="B5" s="388" t="s">
        <v>1747</v>
      </c>
      <c r="C5" s="389"/>
      <c r="D5" s="803"/>
      <c r="E5" s="388"/>
      <c r="F5" s="388"/>
      <c r="G5" s="388"/>
      <c r="H5" s="388"/>
      <c r="I5" s="388"/>
      <c r="J5" s="388"/>
      <c r="K5" s="388"/>
      <c r="L5" s="385"/>
    </row>
    <row r="6" spans="1:13" ht="16.5">
      <c r="A6" s="367"/>
      <c r="B6" s="388" t="s">
        <v>1744</v>
      </c>
      <c r="C6" s="389"/>
      <c r="D6" s="389"/>
      <c r="E6" s="385"/>
      <c r="F6" s="385"/>
      <c r="G6" s="385"/>
      <c r="H6" s="381"/>
      <c r="I6" s="381"/>
      <c r="J6" s="381"/>
      <c r="K6" s="381"/>
      <c r="L6" s="385"/>
    </row>
    <row r="7" spans="1:13" ht="16.5">
      <c r="A7" s="367"/>
      <c r="B7" s="388" t="s">
        <v>1737</v>
      </c>
      <c r="C7" s="389"/>
      <c r="D7" s="389"/>
      <c r="E7" s="385"/>
      <c r="F7" s="385"/>
      <c r="G7" s="385"/>
      <c r="H7" s="381"/>
      <c r="I7" s="381"/>
      <c r="J7" s="381"/>
      <c r="K7" s="381"/>
      <c r="L7" s="385"/>
    </row>
    <row r="8" spans="1:13" ht="15.75" customHeight="1">
      <c r="A8" s="367"/>
      <c r="B8" s="390"/>
      <c r="C8" s="389"/>
      <c r="D8" s="389"/>
      <c r="E8" s="385"/>
      <c r="F8" s="385"/>
      <c r="G8" s="385"/>
      <c r="H8" s="381"/>
      <c r="I8" s="381"/>
      <c r="J8" s="381"/>
      <c r="K8" s="925" t="s">
        <v>1367</v>
      </c>
      <c r="L8" s="925"/>
    </row>
    <row r="9" spans="1:13" ht="16.5">
      <c r="A9" s="393"/>
      <c r="B9" s="926" t="s">
        <v>1368</v>
      </c>
      <c r="C9" s="926" t="s">
        <v>1369</v>
      </c>
      <c r="D9" s="926" t="s">
        <v>1370</v>
      </c>
      <c r="E9" s="687" t="s">
        <v>17</v>
      </c>
      <c r="F9" s="687"/>
      <c r="G9" s="687"/>
      <c r="H9" s="927" t="s">
        <v>1941</v>
      </c>
      <c r="I9" s="688" t="s">
        <v>1371</v>
      </c>
      <c r="J9" s="688"/>
      <c r="K9" s="688"/>
      <c r="L9" s="926" t="s">
        <v>1148</v>
      </c>
    </row>
    <row r="10" spans="1:13" ht="57.75" customHeight="1">
      <c r="A10" s="394"/>
      <c r="B10" s="926"/>
      <c r="C10" s="926"/>
      <c r="D10" s="926"/>
      <c r="E10" s="809" t="s">
        <v>1940</v>
      </c>
      <c r="F10" s="804" t="s">
        <v>1387</v>
      </c>
      <c r="G10" s="804" t="s">
        <v>1388</v>
      </c>
      <c r="H10" s="927"/>
      <c r="I10" s="809" t="s">
        <v>1940</v>
      </c>
      <c r="J10" s="804" t="s">
        <v>1387</v>
      </c>
      <c r="K10" s="804" t="s">
        <v>1942</v>
      </c>
      <c r="L10" s="926"/>
    </row>
    <row r="11" spans="1:13" s="398" customFormat="1">
      <c r="A11" s="395"/>
      <c r="B11" s="689">
        <v>1</v>
      </c>
      <c r="C11" s="690">
        <f>B11+1</f>
        <v>2</v>
      </c>
      <c r="D11" s="690">
        <f>C11+1</f>
        <v>3</v>
      </c>
      <c r="E11" s="690">
        <f>D11+1</f>
        <v>4</v>
      </c>
      <c r="F11" s="690">
        <f t="shared" ref="F11:L11" si="0">E11+1</f>
        <v>5</v>
      </c>
      <c r="G11" s="690">
        <f t="shared" si="0"/>
        <v>6</v>
      </c>
      <c r="H11" s="690">
        <f t="shared" si="0"/>
        <v>7</v>
      </c>
      <c r="I11" s="690">
        <f t="shared" si="0"/>
        <v>8</v>
      </c>
      <c r="J11" s="690">
        <f t="shared" si="0"/>
        <v>9</v>
      </c>
      <c r="K11" s="690">
        <f t="shared" si="0"/>
        <v>10</v>
      </c>
      <c r="L11" s="690">
        <f t="shared" si="0"/>
        <v>11</v>
      </c>
    </row>
    <row r="12" spans="1:13" ht="16.5">
      <c r="A12" s="367"/>
      <c r="B12" s="645"/>
      <c r="C12" s="655" t="s">
        <v>1748</v>
      </c>
      <c r="D12" s="646"/>
      <c r="E12" s="583"/>
      <c r="F12" s="692"/>
      <c r="G12" s="692"/>
      <c r="H12" s="693"/>
      <c r="I12" s="694"/>
      <c r="J12" s="694"/>
      <c r="K12" s="694"/>
      <c r="L12" s="695"/>
    </row>
    <row r="13" spans="1:13" ht="31.5">
      <c r="A13" s="367"/>
      <c r="B13" s="646">
        <v>1</v>
      </c>
      <c r="C13" s="656" t="s">
        <v>1749</v>
      </c>
      <c r="D13" s="646" t="s">
        <v>52</v>
      </c>
      <c r="E13" s="582">
        <v>4.2194000000000003</v>
      </c>
      <c r="F13" s="579" t="e">
        <f>#REF!</f>
        <v>#REF!</v>
      </c>
      <c r="G13" s="569" t="e">
        <f>F13-E13</f>
        <v>#REF!</v>
      </c>
      <c r="H13" s="777">
        <v>1877945.6543221872</v>
      </c>
      <c r="I13" s="696">
        <f t="shared" ref="I13:I28" si="1">H13*E13</f>
        <v>7923803.8938470371</v>
      </c>
      <c r="J13" s="569" t="e">
        <f t="shared" ref="J13:J28" si="2">F13*H13</f>
        <v>#REF!</v>
      </c>
      <c r="K13" s="569" t="e">
        <f>J13-I13</f>
        <v>#REF!</v>
      </c>
      <c r="L13" s="695"/>
      <c r="M13" s="403" t="e">
        <f>J13-I13</f>
        <v>#REF!</v>
      </c>
    </row>
    <row r="14" spans="1:13" ht="31.5">
      <c r="A14" s="367"/>
      <c r="B14" s="646">
        <v>2</v>
      </c>
      <c r="C14" s="656" t="s">
        <v>1750</v>
      </c>
      <c r="D14" s="646" t="s">
        <v>43</v>
      </c>
      <c r="E14" s="697">
        <v>46.881999999999998</v>
      </c>
      <c r="F14" s="579" t="e">
        <f>#REF!</f>
        <v>#REF!</v>
      </c>
      <c r="G14" s="569" t="e">
        <f t="shared" ref="G14:G28" si="3">F14-E14</f>
        <v>#REF!</v>
      </c>
      <c r="H14" s="698">
        <v>183951.73102726799</v>
      </c>
      <c r="I14" s="696">
        <f t="shared" si="1"/>
        <v>8624025.0540203769</v>
      </c>
      <c r="J14" s="569" t="e">
        <f t="shared" si="2"/>
        <v>#REF!</v>
      </c>
      <c r="K14" s="569" t="e">
        <f t="shared" ref="K14:K28" si="4">J14-I14</f>
        <v>#REF!</v>
      </c>
      <c r="L14" s="695"/>
      <c r="M14" s="403" t="e">
        <f t="shared" ref="M14:M41" si="5">J14-I14</f>
        <v>#REF!</v>
      </c>
    </row>
    <row r="15" spans="1:13" ht="31.5">
      <c r="A15" s="367"/>
      <c r="B15" s="646">
        <v>3</v>
      </c>
      <c r="C15" s="656" t="s">
        <v>1751</v>
      </c>
      <c r="D15" s="646" t="s">
        <v>52</v>
      </c>
      <c r="E15" s="697">
        <v>4.6882000000000001</v>
      </c>
      <c r="F15" s="579" t="e">
        <f>#REF!</f>
        <v>#REF!</v>
      </c>
      <c r="G15" s="569" t="e">
        <f t="shared" si="3"/>
        <v>#REF!</v>
      </c>
      <c r="H15" s="698">
        <v>1933761.0303111244</v>
      </c>
      <c r="I15" s="696">
        <f t="shared" si="1"/>
        <v>9065858.4623046145</v>
      </c>
      <c r="J15" s="569" t="e">
        <f t="shared" si="2"/>
        <v>#REF!</v>
      </c>
      <c r="K15" s="569" t="e">
        <f t="shared" si="4"/>
        <v>#REF!</v>
      </c>
      <c r="L15" s="695"/>
      <c r="M15" s="403" t="e">
        <f t="shared" si="5"/>
        <v>#REF!</v>
      </c>
    </row>
    <row r="16" spans="1:13" ht="31.5">
      <c r="A16" s="367"/>
      <c r="B16" s="646">
        <v>4</v>
      </c>
      <c r="C16" s="656" t="s">
        <v>1752</v>
      </c>
      <c r="D16" s="646" t="s">
        <v>52</v>
      </c>
      <c r="E16" s="697">
        <v>4.6882000000000001</v>
      </c>
      <c r="F16" s="579" t="e">
        <f>#REF!</f>
        <v>#REF!</v>
      </c>
      <c r="G16" s="569" t="e">
        <f t="shared" si="3"/>
        <v>#REF!</v>
      </c>
      <c r="H16" s="698">
        <v>4121848.9081461597</v>
      </c>
      <c r="I16" s="696">
        <f t="shared" si="1"/>
        <v>19324052.051170826</v>
      </c>
      <c r="J16" s="569" t="e">
        <f t="shared" si="2"/>
        <v>#REF!</v>
      </c>
      <c r="K16" s="569" t="e">
        <f t="shared" si="4"/>
        <v>#REF!</v>
      </c>
      <c r="L16" s="695"/>
      <c r="M16" s="403" t="e">
        <f t="shared" si="5"/>
        <v>#REF!</v>
      </c>
    </row>
    <row r="17" spans="1:13" ht="31.5">
      <c r="A17" s="367"/>
      <c r="B17" s="646">
        <v>5</v>
      </c>
      <c r="C17" s="656" t="s">
        <v>1753</v>
      </c>
      <c r="D17" s="646" t="s">
        <v>52</v>
      </c>
      <c r="E17" s="697">
        <v>4.2515999999999998</v>
      </c>
      <c r="F17" s="579" t="e">
        <f>#REF!</f>
        <v>#REF!</v>
      </c>
      <c r="G17" s="569" t="e">
        <f t="shared" si="3"/>
        <v>#REF!</v>
      </c>
      <c r="H17" s="698">
        <v>2320071.2709341906</v>
      </c>
      <c r="I17" s="696">
        <f t="shared" si="1"/>
        <v>9864015.0155038051</v>
      </c>
      <c r="J17" s="569" t="e">
        <f t="shared" si="2"/>
        <v>#REF!</v>
      </c>
      <c r="K17" s="569" t="e">
        <f t="shared" si="4"/>
        <v>#REF!</v>
      </c>
      <c r="L17" s="695"/>
      <c r="M17" s="403" t="e">
        <f t="shared" si="5"/>
        <v>#REF!</v>
      </c>
    </row>
    <row r="18" spans="1:13" ht="16.5">
      <c r="A18" s="367"/>
      <c r="B18" s="646">
        <v>6</v>
      </c>
      <c r="C18" s="656" t="s">
        <v>1754</v>
      </c>
      <c r="D18" s="646" t="s">
        <v>43</v>
      </c>
      <c r="E18" s="697">
        <v>47.24</v>
      </c>
      <c r="F18" s="579" t="e">
        <f>#REF!</f>
        <v>#REF!</v>
      </c>
      <c r="G18" s="569" t="e">
        <f t="shared" si="3"/>
        <v>#REF!</v>
      </c>
      <c r="H18" s="698">
        <v>283466.60191087198</v>
      </c>
      <c r="I18" s="696">
        <f t="shared" si="1"/>
        <v>13390962.274269592</v>
      </c>
      <c r="J18" s="569" t="e">
        <f t="shared" si="2"/>
        <v>#REF!</v>
      </c>
      <c r="K18" s="569" t="e">
        <f t="shared" si="4"/>
        <v>#REF!</v>
      </c>
      <c r="L18" s="695"/>
      <c r="M18" s="403" t="e">
        <f t="shared" si="5"/>
        <v>#REF!</v>
      </c>
    </row>
    <row r="19" spans="1:13" ht="31.5">
      <c r="A19" s="367"/>
      <c r="B19" s="646">
        <v>7</v>
      </c>
      <c r="C19" s="656" t="s">
        <v>1755</v>
      </c>
      <c r="D19" s="646" t="s">
        <v>52</v>
      </c>
      <c r="E19" s="697">
        <v>4.7240000000000002</v>
      </c>
      <c r="F19" s="579" t="e">
        <f>#REF!</f>
        <v>#REF!</v>
      </c>
      <c r="G19" s="569" t="e">
        <f t="shared" si="3"/>
        <v>#REF!</v>
      </c>
      <c r="H19" s="698">
        <v>2190280.3506585178</v>
      </c>
      <c r="I19" s="696">
        <f t="shared" si="1"/>
        <v>10346884.376510838</v>
      </c>
      <c r="J19" s="569" t="e">
        <f t="shared" si="2"/>
        <v>#REF!</v>
      </c>
      <c r="K19" s="569" t="e">
        <f t="shared" si="4"/>
        <v>#REF!</v>
      </c>
      <c r="L19" s="695"/>
      <c r="M19" s="403" t="e">
        <f t="shared" si="5"/>
        <v>#REF!</v>
      </c>
    </row>
    <row r="20" spans="1:13" ht="31.5">
      <c r="A20" s="367"/>
      <c r="B20" s="646">
        <v>8</v>
      </c>
      <c r="C20" s="656" t="s">
        <v>1756</v>
      </c>
      <c r="D20" s="646" t="s">
        <v>52</v>
      </c>
      <c r="E20" s="697">
        <v>4.7240000000000002</v>
      </c>
      <c r="F20" s="579" t="e">
        <f>#REF!</f>
        <v>#REF!</v>
      </c>
      <c r="G20" s="569" t="e">
        <f t="shared" si="3"/>
        <v>#REF!</v>
      </c>
      <c r="H20" s="698">
        <v>4669967.1140166596</v>
      </c>
      <c r="I20" s="696">
        <f t="shared" si="1"/>
        <v>22060924.646614701</v>
      </c>
      <c r="J20" s="569" t="e">
        <f t="shared" si="2"/>
        <v>#REF!</v>
      </c>
      <c r="K20" s="569" t="e">
        <f t="shared" si="4"/>
        <v>#REF!</v>
      </c>
      <c r="L20" s="695"/>
      <c r="M20" s="403" t="e">
        <f t="shared" si="5"/>
        <v>#REF!</v>
      </c>
    </row>
    <row r="21" spans="1:13" ht="31.5">
      <c r="A21" s="367"/>
      <c r="B21" s="646">
        <v>9</v>
      </c>
      <c r="C21" s="656" t="s">
        <v>1757</v>
      </c>
      <c r="D21" s="646" t="s">
        <v>43</v>
      </c>
      <c r="E21" s="697">
        <v>85.26</v>
      </c>
      <c r="F21" s="579" t="e">
        <f>#REF!</f>
        <v>#REF!</v>
      </c>
      <c r="G21" s="569" t="e">
        <f t="shared" si="3"/>
        <v>#REF!</v>
      </c>
      <c r="H21" s="698">
        <v>1828495.09924661</v>
      </c>
      <c r="I21" s="696">
        <f t="shared" si="1"/>
        <v>155897492.16176596</v>
      </c>
      <c r="J21" s="569" t="e">
        <f t="shared" si="2"/>
        <v>#REF!</v>
      </c>
      <c r="K21" s="569" t="e">
        <f t="shared" si="4"/>
        <v>#REF!</v>
      </c>
      <c r="L21" s="695"/>
      <c r="M21" s="403" t="e">
        <f t="shared" si="5"/>
        <v>#REF!</v>
      </c>
    </row>
    <row r="22" spans="1:13" ht="31.5">
      <c r="A22" s="367"/>
      <c r="B22" s="646">
        <v>10</v>
      </c>
      <c r="C22" s="656" t="s">
        <v>1758</v>
      </c>
      <c r="D22" s="646" t="s">
        <v>43</v>
      </c>
      <c r="E22" s="697">
        <v>134.24</v>
      </c>
      <c r="F22" s="579" t="e">
        <f>#REF!</f>
        <v>#REF!</v>
      </c>
      <c r="G22" s="569" t="e">
        <f t="shared" si="3"/>
        <v>#REF!</v>
      </c>
      <c r="H22" s="698">
        <v>2011809.5689607074</v>
      </c>
      <c r="I22" s="696">
        <f t="shared" si="1"/>
        <v>270065316.53728539</v>
      </c>
      <c r="J22" s="569" t="e">
        <f t="shared" si="2"/>
        <v>#REF!</v>
      </c>
      <c r="K22" s="569" t="e">
        <f t="shared" si="4"/>
        <v>#REF!</v>
      </c>
      <c r="L22" s="695"/>
      <c r="M22" s="403" t="e">
        <f t="shared" si="5"/>
        <v>#REF!</v>
      </c>
    </row>
    <row r="23" spans="1:13" ht="16.5">
      <c r="A23" s="367"/>
      <c r="B23" s="646">
        <v>11</v>
      </c>
      <c r="C23" s="656" t="s">
        <v>1759</v>
      </c>
      <c r="D23" s="646" t="s">
        <v>86</v>
      </c>
      <c r="E23" s="697">
        <v>1.81</v>
      </c>
      <c r="F23" s="579" t="e">
        <f>#REF!</f>
        <v>#REF!</v>
      </c>
      <c r="G23" s="569" t="e">
        <f t="shared" si="3"/>
        <v>#REF!</v>
      </c>
      <c r="H23" s="698">
        <v>10744967.349414</v>
      </c>
      <c r="I23" s="696">
        <f t="shared" si="1"/>
        <v>19448390.902439341</v>
      </c>
      <c r="J23" s="569" t="e">
        <f t="shared" si="2"/>
        <v>#REF!</v>
      </c>
      <c r="K23" s="569" t="e">
        <f t="shared" si="4"/>
        <v>#REF!</v>
      </c>
      <c r="L23" s="695"/>
      <c r="M23" s="403" t="e">
        <f t="shared" si="5"/>
        <v>#REF!</v>
      </c>
    </row>
    <row r="24" spans="1:13" ht="31.5">
      <c r="A24" s="367"/>
      <c r="B24" s="646">
        <v>12</v>
      </c>
      <c r="C24" s="656" t="s">
        <v>1760</v>
      </c>
      <c r="D24" s="646" t="s">
        <v>43</v>
      </c>
      <c r="E24" s="697">
        <v>184.35</v>
      </c>
      <c r="F24" s="579" t="e">
        <f>#REF!</f>
        <v>#REF!</v>
      </c>
      <c r="G24" s="569" t="e">
        <f t="shared" si="3"/>
        <v>#REF!</v>
      </c>
      <c r="H24" s="698">
        <v>2056422.6437389865</v>
      </c>
      <c r="I24" s="696">
        <f t="shared" si="1"/>
        <v>379101514.37328213</v>
      </c>
      <c r="J24" s="569" t="e">
        <f t="shared" si="2"/>
        <v>#REF!</v>
      </c>
      <c r="K24" s="569" t="e">
        <f t="shared" si="4"/>
        <v>#REF!</v>
      </c>
      <c r="L24" s="695"/>
      <c r="M24" s="403" t="e">
        <f t="shared" si="5"/>
        <v>#REF!</v>
      </c>
    </row>
    <row r="25" spans="1:13" ht="31.5">
      <c r="A25" s="367"/>
      <c r="B25" s="646">
        <v>13</v>
      </c>
      <c r="C25" s="656" t="s">
        <v>1761</v>
      </c>
      <c r="D25" s="646" t="s">
        <v>109</v>
      </c>
      <c r="E25" s="697">
        <v>837.95</v>
      </c>
      <c r="F25" s="697" t="e">
        <f>#REF!</f>
        <v>#REF!</v>
      </c>
      <c r="G25" s="573" t="e">
        <f t="shared" si="3"/>
        <v>#REF!</v>
      </c>
      <c r="H25" s="698">
        <v>117463.36732056719</v>
      </c>
      <c r="I25" s="696">
        <f t="shared" si="1"/>
        <v>98428428.646269292</v>
      </c>
      <c r="J25" s="569" t="e">
        <f t="shared" si="2"/>
        <v>#REF!</v>
      </c>
      <c r="K25" s="569" t="e">
        <f t="shared" si="4"/>
        <v>#REF!</v>
      </c>
      <c r="L25" s="695"/>
      <c r="M25" s="403" t="e">
        <f t="shared" si="5"/>
        <v>#REF!</v>
      </c>
    </row>
    <row r="26" spans="1:13" ht="31.5">
      <c r="A26" s="367"/>
      <c r="B26" s="646">
        <v>14</v>
      </c>
      <c r="C26" s="656" t="s">
        <v>1762</v>
      </c>
      <c r="D26" s="646" t="s">
        <v>43</v>
      </c>
      <c r="E26" s="697">
        <v>33.74</v>
      </c>
      <c r="F26" s="697">
        <v>33.74</v>
      </c>
      <c r="G26" s="569">
        <f t="shared" si="3"/>
        <v>0</v>
      </c>
      <c r="H26" s="698">
        <v>2531548.5695263469</v>
      </c>
      <c r="I26" s="696">
        <f t="shared" si="1"/>
        <v>85414448.735818952</v>
      </c>
      <c r="J26" s="569">
        <f t="shared" si="2"/>
        <v>85414448.735818952</v>
      </c>
      <c r="K26" s="569">
        <f t="shared" si="4"/>
        <v>0</v>
      </c>
      <c r="L26" s="695"/>
      <c r="M26" s="403">
        <f t="shared" si="5"/>
        <v>0</v>
      </c>
    </row>
    <row r="27" spans="1:13" ht="31.5">
      <c r="A27" s="367"/>
      <c r="B27" s="646">
        <v>15</v>
      </c>
      <c r="C27" s="656" t="s">
        <v>1763</v>
      </c>
      <c r="D27" s="646" t="s">
        <v>192</v>
      </c>
      <c r="E27" s="647">
        <v>1.41</v>
      </c>
      <c r="F27" s="647">
        <v>1.41</v>
      </c>
      <c r="G27" s="569">
        <f t="shared" si="3"/>
        <v>0</v>
      </c>
      <c r="H27" s="698">
        <v>25480894.146888241</v>
      </c>
      <c r="I27" s="696">
        <f t="shared" si="1"/>
        <v>35928060.747112416</v>
      </c>
      <c r="J27" s="569">
        <f t="shared" si="2"/>
        <v>35928060.747112416</v>
      </c>
      <c r="K27" s="569">
        <f t="shared" si="4"/>
        <v>0</v>
      </c>
      <c r="L27" s="695"/>
      <c r="M27" s="403">
        <f t="shared" si="5"/>
        <v>0</v>
      </c>
    </row>
    <row r="28" spans="1:13" ht="16.5">
      <c r="A28" s="367"/>
      <c r="B28" s="646">
        <v>16</v>
      </c>
      <c r="C28" s="656" t="s">
        <v>1764</v>
      </c>
      <c r="D28" s="646" t="s">
        <v>86</v>
      </c>
      <c r="E28" s="697">
        <v>3.63</v>
      </c>
      <c r="F28" s="697">
        <v>3.63</v>
      </c>
      <c r="G28" s="569">
        <f t="shared" si="3"/>
        <v>0</v>
      </c>
      <c r="H28" s="698">
        <v>18246726.833588641</v>
      </c>
      <c r="I28" s="696">
        <f t="shared" si="1"/>
        <v>66235618.405926764</v>
      </c>
      <c r="J28" s="569">
        <f t="shared" si="2"/>
        <v>66235618.405926764</v>
      </c>
      <c r="K28" s="569">
        <f t="shared" si="4"/>
        <v>0</v>
      </c>
      <c r="L28" s="695"/>
      <c r="M28" s="403">
        <f t="shared" si="5"/>
        <v>0</v>
      </c>
    </row>
    <row r="29" spans="1:13" ht="16.5">
      <c r="A29" s="367"/>
      <c r="B29" s="646"/>
      <c r="C29" s="656" t="s">
        <v>1765</v>
      </c>
      <c r="D29" s="646"/>
      <c r="E29" s="697"/>
      <c r="F29" s="579"/>
      <c r="G29" s="569"/>
      <c r="H29" s="698"/>
      <c r="I29" s="696"/>
      <c r="J29" s="569"/>
      <c r="K29" s="569"/>
      <c r="L29" s="695"/>
      <c r="M29" s="403">
        <f t="shared" si="5"/>
        <v>0</v>
      </c>
    </row>
    <row r="30" spans="1:13" ht="31.5">
      <c r="A30" s="367"/>
      <c r="B30" s="646">
        <v>17</v>
      </c>
      <c r="C30" s="656" t="s">
        <v>1766</v>
      </c>
      <c r="D30" s="646" t="s">
        <v>43</v>
      </c>
      <c r="E30" s="697">
        <v>57.14</v>
      </c>
      <c r="F30" s="780" t="e">
        <f>#REF!</f>
        <v>#REF!</v>
      </c>
      <c r="G30" s="569" t="e">
        <f>F30-E30</f>
        <v>#REF!</v>
      </c>
      <c r="H30" s="698">
        <v>2264295.9660472875</v>
      </c>
      <c r="I30" s="696">
        <f>H30*E30</f>
        <v>129381871.499942</v>
      </c>
      <c r="J30" s="569" t="e">
        <f>F30*H30</f>
        <v>#REF!</v>
      </c>
      <c r="K30" s="569" t="e">
        <f>J30-I30</f>
        <v>#REF!</v>
      </c>
      <c r="L30" s="695"/>
      <c r="M30" s="403" t="e">
        <f t="shared" si="5"/>
        <v>#REF!</v>
      </c>
    </row>
    <row r="31" spans="1:13" ht="30.6" customHeight="1">
      <c r="A31" s="367"/>
      <c r="B31" s="646">
        <v>18</v>
      </c>
      <c r="C31" s="656" t="s">
        <v>1767</v>
      </c>
      <c r="D31" s="646" t="s">
        <v>86</v>
      </c>
      <c r="E31" s="697">
        <v>3.37</v>
      </c>
      <c r="F31" s="780" t="e">
        <f>#REF!</f>
        <v>#REF!</v>
      </c>
      <c r="G31" s="569" t="e">
        <f t="shared" ref="G31:G33" si="6">F31-E31</f>
        <v>#REF!</v>
      </c>
      <c r="H31" s="698">
        <v>9435741.1284635998</v>
      </c>
      <c r="I31" s="696">
        <f>H31*E31</f>
        <v>31798447.602922332</v>
      </c>
      <c r="J31" s="569" t="e">
        <f>F31*H31</f>
        <v>#REF!</v>
      </c>
      <c r="K31" s="569" t="e">
        <f t="shared" ref="K31:K33" si="7">J31-I31</f>
        <v>#REF!</v>
      </c>
      <c r="L31" s="695"/>
      <c r="M31" s="403" t="e">
        <f t="shared" si="5"/>
        <v>#REF!</v>
      </c>
    </row>
    <row r="32" spans="1:13" ht="31.15" customHeight="1">
      <c r="A32" s="367"/>
      <c r="B32" s="646">
        <v>19</v>
      </c>
      <c r="C32" s="656" t="s">
        <v>205</v>
      </c>
      <c r="D32" s="646" t="s">
        <v>192</v>
      </c>
      <c r="E32" s="697">
        <v>6.29</v>
      </c>
      <c r="F32" s="780" t="e">
        <f>#REF!</f>
        <v>#REF!</v>
      </c>
      <c r="G32" s="569" t="e">
        <f t="shared" si="6"/>
        <v>#REF!</v>
      </c>
      <c r="H32" s="698">
        <v>26076523.427112244</v>
      </c>
      <c r="I32" s="696">
        <f>H32*E32</f>
        <v>164021332.35653603</v>
      </c>
      <c r="J32" s="569" t="e">
        <f>F32*H32</f>
        <v>#REF!</v>
      </c>
      <c r="K32" s="569" t="e">
        <f t="shared" si="7"/>
        <v>#REF!</v>
      </c>
      <c r="L32" s="695"/>
      <c r="M32" s="403" t="e">
        <f t="shared" si="5"/>
        <v>#REF!</v>
      </c>
    </row>
    <row r="33" spans="1:13" ht="31.5">
      <c r="A33" s="367"/>
      <c r="B33" s="646">
        <v>20</v>
      </c>
      <c r="C33" s="656" t="s">
        <v>1768</v>
      </c>
      <c r="D33" s="646" t="s">
        <v>221</v>
      </c>
      <c r="E33" s="697">
        <v>907</v>
      </c>
      <c r="F33" s="697">
        <v>907</v>
      </c>
      <c r="G33" s="569">
        <f t="shared" si="6"/>
        <v>0</v>
      </c>
      <c r="H33" s="698">
        <v>40732.93911069</v>
      </c>
      <c r="I33" s="696">
        <f>H33*E33</f>
        <v>36944775.773395829</v>
      </c>
      <c r="J33" s="569">
        <f>F33*H33</f>
        <v>36944775.773395829</v>
      </c>
      <c r="K33" s="569">
        <f t="shared" si="7"/>
        <v>0</v>
      </c>
      <c r="L33" s="695"/>
      <c r="M33" s="403">
        <f t="shared" si="5"/>
        <v>0</v>
      </c>
    </row>
    <row r="34" spans="1:13" ht="16.5">
      <c r="A34" s="367"/>
      <c r="B34" s="646"/>
      <c r="C34" s="656" t="s">
        <v>1769</v>
      </c>
      <c r="D34" s="646"/>
      <c r="E34" s="697"/>
      <c r="F34" s="780"/>
      <c r="G34" s="569"/>
      <c r="H34" s="698"/>
      <c r="I34" s="696"/>
      <c r="J34" s="569"/>
      <c r="K34" s="569"/>
      <c r="L34" s="695"/>
      <c r="M34" s="403">
        <f t="shared" si="5"/>
        <v>0</v>
      </c>
    </row>
    <row r="35" spans="1:13" ht="31.5">
      <c r="A35" s="367"/>
      <c r="B35" s="646">
        <v>21</v>
      </c>
      <c r="C35" s="656" t="s">
        <v>1770</v>
      </c>
      <c r="D35" s="646" t="s">
        <v>43</v>
      </c>
      <c r="E35" s="697">
        <v>2.11</v>
      </c>
      <c r="F35" s="780" t="e">
        <f>#REF!</f>
        <v>#REF!</v>
      </c>
      <c r="G35" s="569" t="e">
        <f>F35-E35</f>
        <v>#REF!</v>
      </c>
      <c r="H35" s="698">
        <v>2264295.9660472875</v>
      </c>
      <c r="I35" s="696">
        <f t="shared" ref="I35:I41" si="8">H35*E35</f>
        <v>4777664.4883597763</v>
      </c>
      <c r="J35" s="569" t="e">
        <f t="shared" ref="J35:J41" si="9">F35*H35</f>
        <v>#REF!</v>
      </c>
      <c r="K35" s="569" t="e">
        <f>J35-I35</f>
        <v>#REF!</v>
      </c>
      <c r="L35" s="770"/>
      <c r="M35" s="403" t="e">
        <f t="shared" si="5"/>
        <v>#REF!</v>
      </c>
    </row>
    <row r="36" spans="1:13" ht="16.5">
      <c r="A36" s="367"/>
      <c r="B36" s="646">
        <v>22</v>
      </c>
      <c r="C36" s="656" t="s">
        <v>1771</v>
      </c>
      <c r="D36" s="646" t="s">
        <v>86</v>
      </c>
      <c r="E36" s="697">
        <v>0.45</v>
      </c>
      <c r="F36" s="780" t="e">
        <f>#REF!</f>
        <v>#REF!</v>
      </c>
      <c r="G36" s="569" t="e">
        <f t="shared" ref="G36:G41" si="10">F36-E36</f>
        <v>#REF!</v>
      </c>
      <c r="H36" s="698">
        <v>9435741.1284635998</v>
      </c>
      <c r="I36" s="696">
        <f t="shared" si="8"/>
        <v>4246083.5078086201</v>
      </c>
      <c r="J36" s="569" t="e">
        <f t="shared" si="9"/>
        <v>#REF!</v>
      </c>
      <c r="K36" s="569" t="e">
        <f t="shared" ref="K36:K43" si="11">J36-I36</f>
        <v>#REF!</v>
      </c>
      <c r="L36" s="770"/>
      <c r="M36" s="403" t="e">
        <f t="shared" si="5"/>
        <v>#REF!</v>
      </c>
    </row>
    <row r="37" spans="1:13" ht="31.5">
      <c r="A37" s="367"/>
      <c r="B37" s="646">
        <v>23</v>
      </c>
      <c r="C37" s="656" t="s">
        <v>1772</v>
      </c>
      <c r="D37" s="646" t="s">
        <v>192</v>
      </c>
      <c r="E37" s="697">
        <v>0.28999999999999998</v>
      </c>
      <c r="F37" s="780" t="e">
        <f>#REF!</f>
        <v>#REF!</v>
      </c>
      <c r="G37" s="569" t="e">
        <f t="shared" si="10"/>
        <v>#REF!</v>
      </c>
      <c r="H37" s="698">
        <v>26076523.427112244</v>
      </c>
      <c r="I37" s="696">
        <f t="shared" si="8"/>
        <v>7562191.7938625505</v>
      </c>
      <c r="J37" s="569" t="e">
        <f t="shared" si="9"/>
        <v>#REF!</v>
      </c>
      <c r="K37" s="569" t="e">
        <f t="shared" si="11"/>
        <v>#REF!</v>
      </c>
      <c r="L37" s="770"/>
      <c r="M37" s="403" t="e">
        <f t="shared" si="5"/>
        <v>#REF!</v>
      </c>
    </row>
    <row r="38" spans="1:13" ht="31.5">
      <c r="A38" s="367"/>
      <c r="B38" s="646">
        <v>24</v>
      </c>
      <c r="C38" s="656" t="s">
        <v>1773</v>
      </c>
      <c r="D38" s="646" t="s">
        <v>221</v>
      </c>
      <c r="E38" s="697">
        <v>151</v>
      </c>
      <c r="F38" s="782" t="e">
        <f>#REF!</f>
        <v>#REF!</v>
      </c>
      <c r="G38" s="569" t="e">
        <f t="shared" si="10"/>
        <v>#REF!</v>
      </c>
      <c r="H38" s="698">
        <v>40732.93911069</v>
      </c>
      <c r="I38" s="696">
        <f t="shared" si="8"/>
        <v>6150673.80571419</v>
      </c>
      <c r="J38" s="569" t="e">
        <f t="shared" si="9"/>
        <v>#REF!</v>
      </c>
      <c r="K38" s="569" t="e">
        <f t="shared" si="11"/>
        <v>#REF!</v>
      </c>
      <c r="L38" s="695"/>
      <c r="M38" s="403" t="e">
        <f t="shared" si="5"/>
        <v>#REF!</v>
      </c>
    </row>
    <row r="39" spans="1:13" ht="31.5">
      <c r="A39" s="367"/>
      <c r="B39" s="646">
        <v>25</v>
      </c>
      <c r="C39" s="656" t="s">
        <v>1774</v>
      </c>
      <c r="D39" s="646" t="s">
        <v>52</v>
      </c>
      <c r="E39" s="697">
        <v>8.5953999999999997</v>
      </c>
      <c r="F39" s="697">
        <v>8.5953999999999997</v>
      </c>
      <c r="G39" s="569">
        <f t="shared" si="10"/>
        <v>0</v>
      </c>
      <c r="H39" s="698">
        <v>3745791.501995448</v>
      </c>
      <c r="I39" s="696">
        <f t="shared" si="8"/>
        <v>32196576.276251674</v>
      </c>
      <c r="J39" s="569">
        <f t="shared" si="9"/>
        <v>32196576.276251674</v>
      </c>
      <c r="K39" s="569">
        <f t="shared" si="11"/>
        <v>0</v>
      </c>
      <c r="L39" s="695"/>
      <c r="M39" s="403">
        <f t="shared" si="5"/>
        <v>0</v>
      </c>
    </row>
    <row r="40" spans="1:13" ht="16.5">
      <c r="A40" s="367"/>
      <c r="B40" s="646">
        <v>26</v>
      </c>
      <c r="C40" s="656" t="s">
        <v>1775</v>
      </c>
      <c r="D40" s="646" t="s">
        <v>43</v>
      </c>
      <c r="E40" s="697">
        <v>945.49400000000003</v>
      </c>
      <c r="F40" s="697">
        <v>945.49400000000003</v>
      </c>
      <c r="G40" s="569">
        <f t="shared" si="10"/>
        <v>0</v>
      </c>
      <c r="H40" s="698">
        <v>272225.44800000003</v>
      </c>
      <c r="I40" s="696">
        <f t="shared" si="8"/>
        <v>257387527.73131204</v>
      </c>
      <c r="J40" s="569">
        <f t="shared" si="9"/>
        <v>257387527.73131204</v>
      </c>
      <c r="K40" s="569">
        <f t="shared" si="11"/>
        <v>0</v>
      </c>
      <c r="L40" s="695"/>
      <c r="M40" s="403">
        <f t="shared" si="5"/>
        <v>0</v>
      </c>
    </row>
    <row r="41" spans="1:13" ht="16.5">
      <c r="A41" s="367"/>
      <c r="B41" s="646">
        <v>27</v>
      </c>
      <c r="C41" s="656" t="s">
        <v>1776</v>
      </c>
      <c r="D41" s="646" t="s">
        <v>1690</v>
      </c>
      <c r="E41" s="697">
        <v>2</v>
      </c>
      <c r="F41" s="697">
        <v>2</v>
      </c>
      <c r="G41" s="569">
        <f t="shared" si="10"/>
        <v>0</v>
      </c>
      <c r="H41" s="698">
        <v>12373884</v>
      </c>
      <c r="I41" s="696">
        <f t="shared" si="8"/>
        <v>24747768</v>
      </c>
      <c r="J41" s="569">
        <f t="shared" si="9"/>
        <v>24747768</v>
      </c>
      <c r="K41" s="569">
        <f t="shared" si="11"/>
        <v>0</v>
      </c>
      <c r="L41" s="695"/>
      <c r="M41" s="403">
        <f t="shared" si="5"/>
        <v>0</v>
      </c>
    </row>
    <row r="42" spans="1:13" ht="16.5" hidden="1">
      <c r="A42" s="367"/>
      <c r="B42" s="646"/>
      <c r="C42" s="699" t="s">
        <v>1741</v>
      </c>
      <c r="D42" s="646"/>
      <c r="E42" s="651"/>
      <c r="F42" s="691"/>
      <c r="G42" s="691"/>
      <c r="H42" s="698"/>
      <c r="I42" s="700">
        <f>SUM(I12:I41)</f>
        <v>1910334709.1202471</v>
      </c>
      <c r="J42" s="700" t="e">
        <f>SUM(J12:J41)</f>
        <v>#REF!</v>
      </c>
      <c r="K42" s="569" t="e">
        <f t="shared" si="11"/>
        <v>#REF!</v>
      </c>
      <c r="L42" s="695"/>
    </row>
    <row r="43" spans="1:13" ht="16.5">
      <c r="A43" s="367"/>
      <c r="B43" s="699"/>
      <c r="C43" s="699" t="s">
        <v>1357</v>
      </c>
      <c r="D43" s="699"/>
      <c r="E43" s="702"/>
      <c r="F43" s="702"/>
      <c r="G43" s="702"/>
      <c r="H43" s="703"/>
      <c r="I43" s="701">
        <f>ROUND(I42,-3)</f>
        <v>1910335000</v>
      </c>
      <c r="J43" s="701" t="e">
        <f>ROUNDDOWN(J42,-3)</f>
        <v>#REF!</v>
      </c>
      <c r="K43" s="703" t="e">
        <f t="shared" si="11"/>
        <v>#REF!</v>
      </c>
      <c r="L43" s="704"/>
      <c r="M43" s="410">
        <v>0.95</v>
      </c>
    </row>
    <row r="44" spans="1:13" ht="28.15" customHeight="1">
      <c r="A44" s="367"/>
      <c r="B44" s="928" t="s">
        <v>1957</v>
      </c>
      <c r="C44" s="928"/>
      <c r="D44" s="928"/>
      <c r="E44" s="928"/>
      <c r="F44" s="928"/>
      <c r="G44" s="928"/>
      <c r="H44" s="928"/>
      <c r="I44" s="928"/>
      <c r="J44" s="928"/>
      <c r="K44" s="928"/>
      <c r="L44" s="928"/>
      <c r="M44" s="569" t="e">
        <f>K43*M43</f>
        <v>#REF!</v>
      </c>
    </row>
    <row r="45" spans="1:13" ht="22.9" customHeight="1">
      <c r="A45" s="367"/>
      <c r="B45" s="412"/>
      <c r="C45" s="413"/>
      <c r="D45" s="414"/>
      <c r="E45" s="415"/>
      <c r="F45" s="416"/>
      <c r="G45" s="416"/>
      <c r="H45" s="416"/>
      <c r="I45" s="929" t="s">
        <v>1956</v>
      </c>
      <c r="J45" s="929"/>
      <c r="K45" s="929"/>
      <c r="L45" s="801"/>
    </row>
    <row r="46" spans="1:13" ht="4.1500000000000004" customHeight="1">
      <c r="A46" s="367"/>
      <c r="B46" s="412"/>
      <c r="C46" s="413"/>
      <c r="D46" s="414"/>
      <c r="E46" s="415"/>
      <c r="F46" s="416"/>
      <c r="G46" s="416"/>
      <c r="H46" s="416"/>
      <c r="I46" s="801"/>
      <c r="J46" s="801"/>
      <c r="K46" s="801"/>
      <c r="L46" s="801"/>
    </row>
    <row r="47" spans="1:13" ht="20.25" customHeight="1">
      <c r="A47" s="367"/>
      <c r="B47" s="854" t="s">
        <v>1742</v>
      </c>
      <c r="C47" s="854"/>
      <c r="D47" s="854"/>
      <c r="E47" s="854"/>
      <c r="F47" s="418"/>
      <c r="G47" s="418"/>
      <c r="H47" s="418"/>
      <c r="I47" s="854" t="s">
        <v>1743</v>
      </c>
      <c r="J47" s="854"/>
      <c r="K47" s="854"/>
      <c r="L47" s="854"/>
    </row>
    <row r="48" spans="1:13" ht="16.5" customHeight="1">
      <c r="A48" s="367"/>
      <c r="B48" s="855" t="s">
        <v>1372</v>
      </c>
      <c r="C48" s="855"/>
      <c r="D48" s="855"/>
      <c r="E48" s="855"/>
      <c r="F48" s="419"/>
      <c r="G48" s="419"/>
      <c r="H48" s="419"/>
      <c r="I48" s="856" t="s">
        <v>1372</v>
      </c>
      <c r="J48" s="854"/>
      <c r="K48" s="854"/>
      <c r="L48" s="854"/>
    </row>
    <row r="49" spans="1:13" ht="16.5">
      <c r="A49" s="367"/>
      <c r="B49" s="420"/>
      <c r="C49" s="420"/>
      <c r="D49" s="857"/>
      <c r="E49" s="858"/>
      <c r="F49" s="858"/>
      <c r="G49" s="858"/>
      <c r="H49" s="858"/>
      <c r="I49" s="859"/>
      <c r="J49" s="859"/>
      <c r="K49" s="859"/>
      <c r="L49" s="802"/>
    </row>
    <row r="50" spans="1:13" ht="16.5">
      <c r="A50" s="367"/>
      <c r="B50" s="422"/>
      <c r="C50" s="423"/>
      <c r="D50" s="424"/>
      <c r="E50" s="425"/>
      <c r="F50" s="426"/>
      <c r="G50" s="426"/>
      <c r="H50" s="426"/>
      <c r="I50" s="427"/>
      <c r="J50" s="427"/>
      <c r="K50" s="428"/>
      <c r="L50" s="428"/>
      <c r="M50" s="403"/>
    </row>
    <row r="51" spans="1:13">
      <c r="C51" s="854"/>
      <c r="D51" s="854"/>
      <c r="E51" s="854"/>
      <c r="F51" s="854"/>
    </row>
    <row r="52" spans="1:13">
      <c r="K52" s="705"/>
    </row>
    <row r="53" spans="1:13">
      <c r="K53" s="706"/>
    </row>
    <row r="54" spans="1:13">
      <c r="L54" s="433"/>
    </row>
    <row r="55" spans="1:13">
      <c r="L55" s="433"/>
    </row>
    <row r="56" spans="1:13">
      <c r="L56" s="433"/>
      <c r="M56" s="403"/>
    </row>
    <row r="57" spans="1:13">
      <c r="L57" s="433"/>
    </row>
    <row r="58" spans="1:13">
      <c r="L58" s="433"/>
    </row>
    <row r="59" spans="1:13">
      <c r="L59" s="433"/>
    </row>
    <row r="60" spans="1:13">
      <c r="L60" s="433"/>
    </row>
    <row r="61" spans="1:13">
      <c r="L61" s="433"/>
    </row>
    <row r="62" spans="1:13">
      <c r="L62" s="433"/>
    </row>
    <row r="63" spans="1:13">
      <c r="L63" s="433"/>
    </row>
    <row r="64" spans="1:13">
      <c r="L64" s="433"/>
    </row>
  </sheetData>
  <mergeCells count="15">
    <mergeCell ref="D49:H49"/>
    <mergeCell ref="I49:K49"/>
    <mergeCell ref="C51:F51"/>
    <mergeCell ref="B44:L44"/>
    <mergeCell ref="I45:K45"/>
    <mergeCell ref="B47:E47"/>
    <mergeCell ref="I47:L47"/>
    <mergeCell ref="B48:E48"/>
    <mergeCell ref="I48:L48"/>
    <mergeCell ref="K8:L8"/>
    <mergeCell ref="B9:B10"/>
    <mergeCell ref="C9:C10"/>
    <mergeCell ref="D9:D10"/>
    <mergeCell ref="H9:H10"/>
    <mergeCell ref="L9:L10"/>
  </mergeCells>
  <conditionalFormatting sqref="F12:H12 D42:E42 F29:F32 F34:F38 G42 F13:F24 H13">
    <cfRule type="cellIs" dxfId="220" priority="16" stopIfTrue="1" operator="lessThan">
      <formula>0</formula>
    </cfRule>
    <cfRule type="cellIs" dxfId="219" priority="17" stopIfTrue="1" operator="lessThan">
      <formula>0</formula>
    </cfRule>
    <cfRule type="cellIs" dxfId="218" priority="18" stopIfTrue="1" operator="lessThan">
      <formula>0</formula>
    </cfRule>
  </conditionalFormatting>
  <conditionalFormatting sqref="D12:E13 D14:D41">
    <cfRule type="cellIs" dxfId="217" priority="13" stopIfTrue="1" operator="lessThan">
      <formula>0</formula>
    </cfRule>
    <cfRule type="cellIs" dxfId="216" priority="14" stopIfTrue="1" operator="lessThan">
      <formula>0</formula>
    </cfRule>
    <cfRule type="cellIs" dxfId="215" priority="15" stopIfTrue="1" operator="lessThan">
      <formula>0</formula>
    </cfRule>
  </conditionalFormatting>
  <conditionalFormatting sqref="E14:E41">
    <cfRule type="cellIs" dxfId="214" priority="10" stopIfTrue="1" operator="lessThan">
      <formula>0</formula>
    </cfRule>
    <cfRule type="cellIs" dxfId="213" priority="11" stopIfTrue="1" operator="lessThan">
      <formula>0</formula>
    </cfRule>
    <cfRule type="cellIs" dxfId="212" priority="12" stopIfTrue="1" operator="lessThan">
      <formula>0</formula>
    </cfRule>
  </conditionalFormatting>
  <conditionalFormatting sqref="F25:F28">
    <cfRule type="cellIs" dxfId="211" priority="7" stopIfTrue="1" operator="lessThan">
      <formula>0</formula>
    </cfRule>
    <cfRule type="cellIs" dxfId="210" priority="8" stopIfTrue="1" operator="lessThan">
      <formula>0</formula>
    </cfRule>
    <cfRule type="cellIs" dxfId="209" priority="9" stopIfTrue="1" operator="lessThan">
      <formula>0</formula>
    </cfRule>
  </conditionalFormatting>
  <conditionalFormatting sqref="F33">
    <cfRule type="cellIs" dxfId="208" priority="4" stopIfTrue="1" operator="lessThan">
      <formula>0</formula>
    </cfRule>
    <cfRule type="cellIs" dxfId="207" priority="5" stopIfTrue="1" operator="lessThan">
      <formula>0</formula>
    </cfRule>
    <cfRule type="cellIs" dxfId="206" priority="6" stopIfTrue="1" operator="lessThan">
      <formula>0</formula>
    </cfRule>
  </conditionalFormatting>
  <conditionalFormatting sqref="F39:F41">
    <cfRule type="cellIs" dxfId="205" priority="1" stopIfTrue="1" operator="lessThan">
      <formula>0</formula>
    </cfRule>
    <cfRule type="cellIs" dxfId="204" priority="2" stopIfTrue="1" operator="lessThan">
      <formula>0</formula>
    </cfRule>
    <cfRule type="cellIs" dxfId="203" priority="3" stopIfTrue="1" operator="lessThan">
      <formula>0</formula>
    </cfRule>
  </conditionalFormatting>
  <dataValidations disablePrompts="1" count="1">
    <dataValidation allowBlank="1" showInputMessage="1" showErrorMessage="1" prompt="Cột 1, 2, 3, 4, 5 link đầy đủ từ sheet QT sang" sqref="C12:C41"/>
  </dataValidations>
  <pageMargins left="0.70866141732283472" right="0.19685039370078741" top="0.35433070866141736" bottom="0.35433070866141736" header="0.19685039370078741" footer="0.19685039370078741"/>
  <pageSetup paperSize="9" scale="8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sqref="A1:F23"/>
    </sheetView>
  </sheetViews>
  <sheetFormatPr defaultColWidth="9" defaultRowHeight="15.75"/>
  <cols>
    <col min="1" max="1" width="8.1640625" style="745" customWidth="1"/>
    <col min="2" max="2" width="64.33203125" style="745" customWidth="1"/>
    <col min="3" max="3" width="12.33203125" style="745" customWidth="1"/>
    <col min="4" max="4" width="12" style="745" customWidth="1"/>
    <col min="5" max="5" width="60.6640625" style="745" customWidth="1"/>
    <col min="6" max="6" width="16.33203125" style="745" customWidth="1"/>
    <col min="7" max="7" width="14.83203125" style="744" customWidth="1"/>
    <col min="8" max="16384" width="9" style="744"/>
  </cols>
  <sheetData>
    <row r="1" spans="1:8" ht="42" customHeight="1">
      <c r="A1" s="930" t="s">
        <v>1954</v>
      </c>
      <c r="B1" s="930"/>
      <c r="C1" s="930"/>
      <c r="D1" s="930"/>
      <c r="E1" s="930"/>
      <c r="F1" s="930"/>
    </row>
    <row r="2" spans="1:8" s="745" customFormat="1">
      <c r="A2" s="807" t="s">
        <v>61</v>
      </c>
      <c r="B2" s="807" t="s">
        <v>1793</v>
      </c>
      <c r="C2" s="807" t="s">
        <v>359</v>
      </c>
      <c r="D2" s="807" t="s">
        <v>628</v>
      </c>
      <c r="E2" s="807" t="s">
        <v>1247</v>
      </c>
      <c r="F2" s="807" t="s">
        <v>1794</v>
      </c>
    </row>
    <row r="3" spans="1:8" s="745" customFormat="1">
      <c r="A3" s="746"/>
      <c r="B3" s="746" t="s">
        <v>1748</v>
      </c>
      <c r="C3" s="807" t="s">
        <v>116</v>
      </c>
      <c r="D3" s="807" t="s">
        <v>1795</v>
      </c>
      <c r="E3" s="805" t="s">
        <v>1796</v>
      </c>
      <c r="F3" s="747">
        <v>453.5</v>
      </c>
      <c r="G3" s="771"/>
      <c r="H3" s="771"/>
    </row>
    <row r="4" spans="1:8" s="808" customFormat="1">
      <c r="A4" s="746"/>
      <c r="B4" s="746" t="s">
        <v>1797</v>
      </c>
      <c r="C4" s="807" t="s">
        <v>116</v>
      </c>
      <c r="D4" s="807" t="s">
        <v>1798</v>
      </c>
      <c r="E4" s="807" t="s">
        <v>1799</v>
      </c>
      <c r="F4" s="748">
        <f>AVERAGE('[1]Bang KL chi tiet'!C4:C24,'[1]Bang KL chi tiet'!C30:C68)</f>
        <v>1.4438709677419355</v>
      </c>
    </row>
    <row r="5" spans="1:8" s="808" customFormat="1">
      <c r="A5" s="807"/>
      <c r="B5" s="746" t="s">
        <v>1800</v>
      </c>
      <c r="C5" s="807" t="s">
        <v>116</v>
      </c>
      <c r="D5" s="807" t="s">
        <v>1801</v>
      </c>
      <c r="E5" s="805" t="s">
        <v>1802</v>
      </c>
      <c r="F5" s="750">
        <f>+F4-0.52</f>
        <v>0.92387096774193544</v>
      </c>
    </row>
    <row r="6" spans="1:8" s="431" customFormat="1">
      <c r="A6" s="751">
        <v>1</v>
      </c>
      <c r="B6" s="752" t="s">
        <v>1803</v>
      </c>
      <c r="C6" s="751" t="s">
        <v>43</v>
      </c>
      <c r="D6" s="751" t="s">
        <v>1804</v>
      </c>
      <c r="E6" s="806" t="s">
        <v>1867</v>
      </c>
      <c r="F6" s="779">
        <v>4.2194000000000003</v>
      </c>
    </row>
    <row r="7" spans="1:8" s="431" customFormat="1">
      <c r="A7" s="751">
        <v>2</v>
      </c>
      <c r="B7" s="752" t="s">
        <v>1806</v>
      </c>
      <c r="C7" s="751" t="s">
        <v>43</v>
      </c>
      <c r="D7" s="751" t="s">
        <v>1807</v>
      </c>
      <c r="E7" s="806" t="s">
        <v>1867</v>
      </c>
      <c r="F7" s="779">
        <v>4.2515999999999998</v>
      </c>
    </row>
    <row r="8" spans="1:8" s="755" customFormat="1" ht="18.75">
      <c r="A8" s="751">
        <v>3</v>
      </c>
      <c r="B8" s="753" t="s">
        <v>1809</v>
      </c>
      <c r="C8" s="751" t="s">
        <v>43</v>
      </c>
      <c r="D8" s="751" t="s">
        <v>1810</v>
      </c>
      <c r="E8" s="751" t="s">
        <v>1808</v>
      </c>
      <c r="F8" s="778">
        <v>85.26</v>
      </c>
    </row>
    <row r="9" spans="1:8" s="755" customFormat="1" ht="18.75">
      <c r="A9" s="751">
        <v>4</v>
      </c>
      <c r="B9" s="753" t="s">
        <v>1811</v>
      </c>
      <c r="C9" s="751" t="s">
        <v>43</v>
      </c>
      <c r="D9" s="751" t="s">
        <v>1812</v>
      </c>
      <c r="E9" s="751" t="s">
        <v>1813</v>
      </c>
      <c r="F9" s="781">
        <v>134.24</v>
      </c>
    </row>
    <row r="10" spans="1:8" s="755" customFormat="1" ht="18.75">
      <c r="A10" s="751">
        <v>5</v>
      </c>
      <c r="B10" s="753" t="s">
        <v>1814</v>
      </c>
      <c r="C10" s="751" t="s">
        <v>86</v>
      </c>
      <c r="D10" s="751" t="s">
        <v>1815</v>
      </c>
      <c r="E10" s="751" t="s">
        <v>1816</v>
      </c>
      <c r="F10" s="781">
        <v>1.81</v>
      </c>
    </row>
    <row r="11" spans="1:8" s="755" customFormat="1" ht="18.75">
      <c r="A11" s="751">
        <v>6</v>
      </c>
      <c r="B11" s="753" t="s">
        <v>1817</v>
      </c>
      <c r="C11" s="751" t="s">
        <v>43</v>
      </c>
      <c r="D11" s="751" t="s">
        <v>1818</v>
      </c>
      <c r="E11" s="751" t="s">
        <v>1819</v>
      </c>
      <c r="F11" s="754">
        <v>184.35</v>
      </c>
    </row>
    <row r="12" spans="1:8" s="755" customFormat="1" ht="18.75">
      <c r="A12" s="751">
        <v>7</v>
      </c>
      <c r="B12" s="753" t="s">
        <v>1820</v>
      </c>
      <c r="C12" s="751" t="s">
        <v>109</v>
      </c>
      <c r="D12" s="751" t="s">
        <v>1368</v>
      </c>
      <c r="E12" s="751" t="s">
        <v>1943</v>
      </c>
      <c r="F12" s="754">
        <f>837.95-151*0.1*0.1*2</f>
        <v>834.93000000000006</v>
      </c>
    </row>
    <row r="13" spans="1:8" s="755" customFormat="1" ht="18.75">
      <c r="A13" s="751">
        <v>8</v>
      </c>
      <c r="B13" s="753" t="s">
        <v>1821</v>
      </c>
      <c r="C13" s="751" t="s">
        <v>43</v>
      </c>
      <c r="D13" s="751" t="s">
        <v>1944</v>
      </c>
      <c r="E13" s="751" t="s">
        <v>1945</v>
      </c>
      <c r="F13" s="754">
        <v>33.74</v>
      </c>
    </row>
    <row r="14" spans="1:8" s="755" customFormat="1" ht="18.75">
      <c r="A14" s="751">
        <v>9</v>
      </c>
      <c r="B14" s="753" t="s">
        <v>1822</v>
      </c>
      <c r="C14" s="751" t="s">
        <v>192</v>
      </c>
      <c r="D14" s="751" t="s">
        <v>1946</v>
      </c>
      <c r="E14" s="751" t="s">
        <v>1947</v>
      </c>
      <c r="F14" s="754">
        <v>1.41</v>
      </c>
    </row>
    <row r="15" spans="1:8" s="755" customFormat="1" ht="18.75">
      <c r="A15" s="751">
        <v>10</v>
      </c>
      <c r="B15" s="753" t="s">
        <v>1823</v>
      </c>
      <c r="C15" s="751" t="s">
        <v>86</v>
      </c>
      <c r="D15" s="751" t="s">
        <v>1948</v>
      </c>
      <c r="E15" s="751" t="s">
        <v>1949</v>
      </c>
      <c r="F15" s="754">
        <v>3.63</v>
      </c>
    </row>
    <row r="16" spans="1:8" s="755" customFormat="1" ht="18.75">
      <c r="A16" s="751">
        <v>11</v>
      </c>
      <c r="B16" s="753" t="s">
        <v>1824</v>
      </c>
      <c r="C16" s="751" t="s">
        <v>427</v>
      </c>
      <c r="D16" s="751" t="s">
        <v>1950</v>
      </c>
      <c r="E16" s="751" t="s">
        <v>1951</v>
      </c>
      <c r="F16" s="754">
        <v>907</v>
      </c>
    </row>
    <row r="17" spans="1:6" s="755" customFormat="1" ht="18.75">
      <c r="A17" s="751">
        <v>12</v>
      </c>
      <c r="B17" s="753" t="s">
        <v>1825</v>
      </c>
      <c r="C17" s="751" t="s">
        <v>43</v>
      </c>
      <c r="D17" s="751" t="s">
        <v>1826</v>
      </c>
      <c r="E17" s="751" t="s">
        <v>1827</v>
      </c>
      <c r="F17" s="781">
        <v>57.14</v>
      </c>
    </row>
    <row r="18" spans="1:6" s="755" customFormat="1" ht="18.75">
      <c r="A18" s="751">
        <v>13</v>
      </c>
      <c r="B18" s="753" t="s">
        <v>1828</v>
      </c>
      <c r="C18" s="751" t="s">
        <v>86</v>
      </c>
      <c r="D18" s="751" t="s">
        <v>1829</v>
      </c>
      <c r="E18" s="751" t="s">
        <v>1830</v>
      </c>
      <c r="F18" s="781">
        <v>3.37</v>
      </c>
    </row>
    <row r="19" spans="1:6" s="755" customFormat="1" ht="18.75">
      <c r="A19" s="751">
        <v>14</v>
      </c>
      <c r="B19" s="753" t="s">
        <v>1831</v>
      </c>
      <c r="C19" s="751" t="s">
        <v>192</v>
      </c>
      <c r="D19" s="751" t="s">
        <v>1832</v>
      </c>
      <c r="E19" s="751" t="s">
        <v>1833</v>
      </c>
      <c r="F19" s="781">
        <v>6.29</v>
      </c>
    </row>
    <row r="20" spans="1:6" s="755" customFormat="1" ht="18.75">
      <c r="A20" s="751">
        <v>15</v>
      </c>
      <c r="B20" s="753" t="s">
        <v>1834</v>
      </c>
      <c r="C20" s="751" t="s">
        <v>427</v>
      </c>
      <c r="D20" s="751" t="s">
        <v>810</v>
      </c>
      <c r="E20" s="751" t="s">
        <v>1835</v>
      </c>
      <c r="F20" s="754">
        <f>ROUND(F3/3,0)</f>
        <v>151</v>
      </c>
    </row>
    <row r="21" spans="1:6" s="755" customFormat="1" ht="18.75">
      <c r="A21" s="751">
        <v>16</v>
      </c>
      <c r="B21" s="753" t="s">
        <v>1836</v>
      </c>
      <c r="C21" s="751" t="s">
        <v>43</v>
      </c>
      <c r="D21" s="751" t="s">
        <v>1837</v>
      </c>
      <c r="E21" s="751" t="s">
        <v>1838</v>
      </c>
      <c r="F21" s="781">
        <v>2.11</v>
      </c>
    </row>
    <row r="22" spans="1:6" s="755" customFormat="1" ht="18.75">
      <c r="A22" s="751">
        <v>17</v>
      </c>
      <c r="B22" s="753" t="s">
        <v>1839</v>
      </c>
      <c r="C22" s="751" t="s">
        <v>86</v>
      </c>
      <c r="D22" s="751" t="s">
        <v>1840</v>
      </c>
      <c r="E22" s="751" t="s">
        <v>1841</v>
      </c>
      <c r="F22" s="781">
        <v>0.45</v>
      </c>
    </row>
    <row r="23" spans="1:6" s="755" customFormat="1" ht="18.75">
      <c r="A23" s="751">
        <v>18</v>
      </c>
      <c r="B23" s="753" t="s">
        <v>1842</v>
      </c>
      <c r="C23" s="751" t="s">
        <v>192</v>
      </c>
      <c r="D23" s="751" t="s">
        <v>1843</v>
      </c>
      <c r="E23" s="751" t="s">
        <v>1844</v>
      </c>
      <c r="F23" s="781">
        <v>0.28999999999999998</v>
      </c>
    </row>
    <row r="24" spans="1:6" s="755" customFormat="1" ht="18.75">
      <c r="A24" s="751">
        <v>19</v>
      </c>
      <c r="B24" s="753" t="s">
        <v>1845</v>
      </c>
      <c r="C24" s="751" t="s">
        <v>43</v>
      </c>
      <c r="D24" s="751" t="s">
        <v>1846</v>
      </c>
      <c r="E24" s="806" t="s">
        <v>1805</v>
      </c>
      <c r="F24" s="754">
        <v>859.54</v>
      </c>
    </row>
    <row r="25" spans="1:6">
      <c r="A25" s="751">
        <v>20</v>
      </c>
      <c r="B25" s="753" t="s">
        <v>1952</v>
      </c>
      <c r="C25" s="751" t="s">
        <v>43</v>
      </c>
      <c r="D25" s="751"/>
      <c r="E25" s="806" t="s">
        <v>1953</v>
      </c>
      <c r="F25" s="754">
        <f>859.54*1.1</f>
        <v>945.49400000000003</v>
      </c>
    </row>
    <row r="26" spans="1:6">
      <c r="A26" s="751">
        <v>21</v>
      </c>
      <c r="B26" s="753" t="s">
        <v>1776</v>
      </c>
      <c r="C26" s="751" t="s">
        <v>1690</v>
      </c>
      <c r="D26" s="751"/>
      <c r="E26" s="806"/>
      <c r="F26" s="754">
        <v>2</v>
      </c>
    </row>
    <row r="27" spans="1:6" ht="20.45" customHeight="1">
      <c r="A27" s="808"/>
      <c r="B27" s="808" t="s">
        <v>1500</v>
      </c>
      <c r="C27" s="784"/>
      <c r="D27" s="808"/>
      <c r="E27" s="931" t="s">
        <v>1501</v>
      </c>
      <c r="F27" s="931"/>
    </row>
    <row r="28" spans="1:6">
      <c r="A28" s="808"/>
      <c r="B28" s="808"/>
      <c r="C28" s="808"/>
      <c r="D28" s="808"/>
      <c r="E28" s="808"/>
      <c r="F28" s="808"/>
    </row>
    <row r="29" spans="1:6">
      <c r="A29" s="808"/>
      <c r="B29" s="808"/>
      <c r="C29" s="808"/>
      <c r="D29" s="808"/>
      <c r="E29" s="808"/>
      <c r="F29" s="808"/>
    </row>
    <row r="30" spans="1:6">
      <c r="A30" s="808"/>
      <c r="B30" s="808"/>
      <c r="C30" s="808"/>
      <c r="D30" s="808"/>
      <c r="E30" s="808"/>
      <c r="F30" s="808"/>
    </row>
    <row r="31" spans="1:6">
      <c r="A31" s="808"/>
      <c r="B31" s="808"/>
      <c r="C31" s="808"/>
      <c r="D31" s="808"/>
      <c r="E31" s="808"/>
      <c r="F31" s="808"/>
    </row>
    <row r="32" spans="1:6">
      <c r="A32" s="808"/>
      <c r="B32" s="808"/>
      <c r="C32" s="808"/>
      <c r="D32" s="808"/>
      <c r="E32" s="808"/>
      <c r="F32" s="808"/>
    </row>
    <row r="33" spans="1:6">
      <c r="A33" s="808"/>
      <c r="B33" s="808" t="s">
        <v>1868</v>
      </c>
      <c r="C33" s="808"/>
      <c r="D33" s="808"/>
      <c r="E33" s="931" t="s">
        <v>1502</v>
      </c>
      <c r="F33" s="931"/>
    </row>
    <row r="34" spans="1:6">
      <c r="A34" s="808"/>
      <c r="B34" s="808"/>
      <c r="C34" s="808"/>
      <c r="D34" s="808"/>
      <c r="E34" s="808"/>
      <c r="F34" s="808"/>
    </row>
  </sheetData>
  <mergeCells count="3">
    <mergeCell ref="A1:F1"/>
    <mergeCell ref="E27:F27"/>
    <mergeCell ref="E33:F33"/>
  </mergeCells>
  <pageMargins left="0.78740157480314965" right="0.59055118110236227" top="0.59055118110236227" bottom="0.59055118110236227" header="0.19685039370078741" footer="0.19685039370078741"/>
  <pageSetup paperSize="9" scale="8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zoomScale="70" zoomScaleNormal="70" workbookViewId="0">
      <selection activeCell="A2" sqref="A2:A3"/>
    </sheetView>
  </sheetViews>
  <sheetFormatPr defaultColWidth="9.33203125" defaultRowHeight="18"/>
  <cols>
    <col min="1" max="1" width="13.83203125" style="763" customWidth="1"/>
    <col min="2" max="2" width="14.6640625" style="764" customWidth="1"/>
    <col min="3" max="9" width="18" style="765" customWidth="1"/>
    <col min="10" max="16384" width="9.33203125" style="756"/>
  </cols>
  <sheetData>
    <row r="1" spans="1:9" ht="41.45" customHeight="1">
      <c r="A1" s="932" t="s">
        <v>1955</v>
      </c>
      <c r="B1" s="933"/>
      <c r="C1" s="933"/>
      <c r="D1" s="933"/>
      <c r="E1" s="933"/>
      <c r="F1" s="933"/>
      <c r="G1" s="933"/>
      <c r="H1" s="933"/>
      <c r="I1" s="933"/>
    </row>
    <row r="2" spans="1:9" s="757" customFormat="1" ht="21" customHeight="1">
      <c r="A2" s="934" t="s">
        <v>1847</v>
      </c>
      <c r="B2" s="935" t="s">
        <v>1848</v>
      </c>
      <c r="C2" s="936" t="s">
        <v>1849</v>
      </c>
      <c r="D2" s="936"/>
      <c r="E2" s="936"/>
      <c r="F2" s="936"/>
      <c r="G2" s="936"/>
      <c r="H2" s="936"/>
      <c r="I2" s="936"/>
    </row>
    <row r="3" spans="1:9" s="758" customFormat="1" ht="39" customHeight="1">
      <c r="A3" s="934"/>
      <c r="B3" s="935"/>
      <c r="C3" s="812" t="s">
        <v>1850</v>
      </c>
      <c r="D3" s="812" t="s">
        <v>1851</v>
      </c>
      <c r="E3" s="812" t="s">
        <v>1852</v>
      </c>
      <c r="F3" s="812" t="s">
        <v>1853</v>
      </c>
      <c r="G3" s="812" t="s">
        <v>1854</v>
      </c>
      <c r="H3" s="812" t="s">
        <v>1855</v>
      </c>
      <c r="I3" s="812" t="s">
        <v>1856</v>
      </c>
    </row>
    <row r="4" spans="1:9" s="758" customFormat="1" ht="17.25" customHeight="1">
      <c r="A4" s="813" t="s">
        <v>1857</v>
      </c>
      <c r="B4" s="814" t="s">
        <v>1858</v>
      </c>
      <c r="C4" s="815">
        <v>1.58</v>
      </c>
      <c r="D4" s="815">
        <v>1</v>
      </c>
      <c r="E4" s="815">
        <v>1.86</v>
      </c>
      <c r="F4" s="815">
        <v>1.2</v>
      </c>
      <c r="G4" s="812"/>
      <c r="H4" s="812"/>
      <c r="I4" s="812"/>
    </row>
    <row r="5" spans="1:9" s="758" customFormat="1" ht="17.25" customHeight="1">
      <c r="A5" s="813" t="s">
        <v>1858</v>
      </c>
      <c r="B5" s="814">
        <v>3.03</v>
      </c>
      <c r="C5" s="815" t="s">
        <v>1858</v>
      </c>
      <c r="D5" s="815" t="s">
        <v>1858</v>
      </c>
      <c r="E5" s="815" t="s">
        <v>1858</v>
      </c>
      <c r="F5" s="815" t="s">
        <v>1858</v>
      </c>
      <c r="G5" s="815">
        <f>(D4+D6)/2*$B5</f>
        <v>3.1814999999999998</v>
      </c>
      <c r="H5" s="815">
        <f t="shared" ref="H5:I5" si="0">(E4+E6)/2*$B5</f>
        <v>5.5600499999999995</v>
      </c>
      <c r="I5" s="815">
        <f t="shared" si="0"/>
        <v>3.2724000000000002</v>
      </c>
    </row>
    <row r="6" spans="1:9" s="758" customFormat="1" ht="17.25" customHeight="1">
      <c r="A6" s="813">
        <v>1</v>
      </c>
      <c r="B6" s="814" t="s">
        <v>1858</v>
      </c>
      <c r="C6" s="815">
        <v>1.52</v>
      </c>
      <c r="D6" s="815">
        <v>1.1000000000000001</v>
      </c>
      <c r="E6" s="815">
        <v>1.81</v>
      </c>
      <c r="F6" s="815">
        <v>0.96</v>
      </c>
      <c r="G6" s="812"/>
      <c r="H6" s="812"/>
      <c r="I6" s="812"/>
    </row>
    <row r="7" spans="1:9" s="758" customFormat="1" ht="17.25" customHeight="1">
      <c r="A7" s="813" t="s">
        <v>1858</v>
      </c>
      <c r="B7" s="814">
        <v>14.47</v>
      </c>
      <c r="C7" s="815" t="s">
        <v>1858</v>
      </c>
      <c r="D7" s="815" t="s">
        <v>1858</v>
      </c>
      <c r="E7" s="815" t="s">
        <v>1858</v>
      </c>
      <c r="F7" s="815" t="s">
        <v>1858</v>
      </c>
      <c r="G7" s="815">
        <f t="shared" ref="G7:I7" si="1">(D6+D8)/2*$B7</f>
        <v>16.71285</v>
      </c>
      <c r="H7" s="815">
        <f t="shared" si="1"/>
        <v>25.322500000000002</v>
      </c>
      <c r="I7" s="815">
        <f t="shared" si="1"/>
        <v>12.1548</v>
      </c>
    </row>
    <row r="8" spans="1:9" s="758" customFormat="1" ht="17.25" customHeight="1">
      <c r="A8" s="813">
        <v>2</v>
      </c>
      <c r="B8" s="814" t="s">
        <v>1858</v>
      </c>
      <c r="C8" s="815">
        <v>1.36</v>
      </c>
      <c r="D8" s="815">
        <v>1.21</v>
      </c>
      <c r="E8" s="815">
        <v>1.69</v>
      </c>
      <c r="F8" s="815">
        <v>0.72</v>
      </c>
      <c r="G8" s="812"/>
      <c r="H8" s="812"/>
      <c r="I8" s="812"/>
    </row>
    <row r="9" spans="1:9" s="758" customFormat="1" ht="17.25" customHeight="1">
      <c r="A9" s="813" t="s">
        <v>1858</v>
      </c>
      <c r="B9" s="814">
        <v>17.5</v>
      </c>
      <c r="C9" s="815" t="s">
        <v>1858</v>
      </c>
      <c r="D9" s="815" t="s">
        <v>1858</v>
      </c>
      <c r="E9" s="815" t="s">
        <v>1858</v>
      </c>
      <c r="F9" s="815" t="s">
        <v>1858</v>
      </c>
      <c r="G9" s="815">
        <f t="shared" ref="G9:I9" si="2">(D8+D10)/2*$B9</f>
        <v>20.474999999999998</v>
      </c>
      <c r="H9" s="815">
        <f t="shared" si="2"/>
        <v>29.75</v>
      </c>
      <c r="I9" s="815">
        <f t="shared" si="2"/>
        <v>11.2875</v>
      </c>
    </row>
    <row r="10" spans="1:9" s="758" customFormat="1" ht="17.25" customHeight="1">
      <c r="A10" s="813">
        <v>3</v>
      </c>
      <c r="B10" s="814" t="s">
        <v>1858</v>
      </c>
      <c r="C10" s="815">
        <v>1.39</v>
      </c>
      <c r="D10" s="815">
        <v>1.1299999999999999</v>
      </c>
      <c r="E10" s="815">
        <v>1.71</v>
      </c>
      <c r="F10" s="815">
        <v>0.56999999999999995</v>
      </c>
      <c r="G10" s="812"/>
      <c r="H10" s="812"/>
      <c r="I10" s="812"/>
    </row>
    <row r="11" spans="1:9" s="758" customFormat="1" ht="17.25" customHeight="1">
      <c r="A11" s="813" t="s">
        <v>1858</v>
      </c>
      <c r="B11" s="814">
        <v>17.5</v>
      </c>
      <c r="C11" s="815" t="s">
        <v>1858</v>
      </c>
      <c r="D11" s="815" t="s">
        <v>1858</v>
      </c>
      <c r="E11" s="815" t="s">
        <v>1858</v>
      </c>
      <c r="F11" s="815" t="s">
        <v>1858</v>
      </c>
      <c r="G11" s="815">
        <f t="shared" ref="G11:I11" si="3">(D10+D12)/2*$B11</f>
        <v>22.487499999999997</v>
      </c>
      <c r="H11" s="815">
        <f t="shared" si="3"/>
        <v>38.412500000000009</v>
      </c>
      <c r="I11" s="815">
        <f t="shared" si="3"/>
        <v>13.212499999999999</v>
      </c>
    </row>
    <row r="12" spans="1:9" s="758" customFormat="1" ht="17.25" customHeight="1">
      <c r="A12" s="813">
        <v>4</v>
      </c>
      <c r="B12" s="814" t="s">
        <v>1858</v>
      </c>
      <c r="C12" s="815">
        <v>1.39</v>
      </c>
      <c r="D12" s="815">
        <v>1.44</v>
      </c>
      <c r="E12" s="815">
        <v>2.68</v>
      </c>
      <c r="F12" s="815">
        <v>0.94</v>
      </c>
      <c r="G12" s="812"/>
      <c r="H12" s="812"/>
      <c r="I12" s="812"/>
    </row>
    <row r="13" spans="1:9" s="758" customFormat="1" ht="17.25" customHeight="1">
      <c r="A13" s="813" t="s">
        <v>1858</v>
      </c>
      <c r="B13" s="814">
        <v>13.5</v>
      </c>
      <c r="C13" s="815" t="s">
        <v>1858</v>
      </c>
      <c r="D13" s="815" t="s">
        <v>1858</v>
      </c>
      <c r="E13" s="815" t="s">
        <v>1858</v>
      </c>
      <c r="F13" s="815" t="s">
        <v>1858</v>
      </c>
      <c r="G13" s="815">
        <f t="shared" ref="G13:I13" si="4">(D12+D14)/2*$B13</f>
        <v>19.777499999999996</v>
      </c>
      <c r="H13" s="815">
        <f t="shared" si="4"/>
        <v>39.487499999999997</v>
      </c>
      <c r="I13" s="815">
        <f t="shared" si="4"/>
        <v>13.5</v>
      </c>
    </row>
    <row r="14" spans="1:9" s="758" customFormat="1" ht="17.25" customHeight="1">
      <c r="A14" s="813" t="s">
        <v>1859</v>
      </c>
      <c r="B14" s="814" t="s">
        <v>1858</v>
      </c>
      <c r="C14" s="815">
        <v>1.41</v>
      </c>
      <c r="D14" s="815">
        <v>1.49</v>
      </c>
      <c r="E14" s="815">
        <v>3.17</v>
      </c>
      <c r="F14" s="815">
        <v>1.06</v>
      </c>
      <c r="G14" s="819"/>
      <c r="H14" s="819"/>
      <c r="I14" s="819"/>
    </row>
    <row r="15" spans="1:9" s="758" customFormat="1" ht="17.25" customHeight="1">
      <c r="A15" s="813" t="s">
        <v>1858</v>
      </c>
      <c r="B15" s="814">
        <v>20.22</v>
      </c>
      <c r="C15" s="815" t="s">
        <v>1858</v>
      </c>
      <c r="D15" s="815" t="s">
        <v>1858</v>
      </c>
      <c r="E15" s="815" t="s">
        <v>1858</v>
      </c>
      <c r="F15" s="815" t="s">
        <v>1858</v>
      </c>
      <c r="G15" s="815">
        <f t="shared" ref="G15:I15" si="5">(D14+D16)/2*$B15</f>
        <v>26.488199999999999</v>
      </c>
      <c r="H15" s="815">
        <f t="shared" si="5"/>
        <v>53.380799999999994</v>
      </c>
      <c r="I15" s="815">
        <f t="shared" si="5"/>
        <v>23.455200000000001</v>
      </c>
    </row>
    <row r="16" spans="1:9" s="758" customFormat="1" ht="17.25" customHeight="1">
      <c r="A16" s="813">
        <v>5</v>
      </c>
      <c r="B16" s="814" t="s">
        <v>1858</v>
      </c>
      <c r="C16" s="815">
        <v>1.42</v>
      </c>
      <c r="D16" s="815">
        <v>1.1299999999999999</v>
      </c>
      <c r="E16" s="815">
        <v>2.11</v>
      </c>
      <c r="F16" s="815">
        <v>1.26</v>
      </c>
      <c r="G16" s="812"/>
      <c r="H16" s="812"/>
      <c r="I16" s="812"/>
    </row>
    <row r="17" spans="1:9" s="758" customFormat="1" ht="17.25" customHeight="1">
      <c r="A17" s="813" t="s">
        <v>1858</v>
      </c>
      <c r="B17" s="814">
        <v>18.79</v>
      </c>
      <c r="C17" s="815" t="s">
        <v>1858</v>
      </c>
      <c r="D17" s="815" t="s">
        <v>1858</v>
      </c>
      <c r="E17" s="815" t="s">
        <v>1858</v>
      </c>
      <c r="F17" s="815" t="s">
        <v>1858</v>
      </c>
      <c r="G17" s="815">
        <f t="shared" ref="G17:I17" si="6">(D16+D18)/2*$B17</f>
        <v>20.481099999999998</v>
      </c>
      <c r="H17" s="815">
        <f t="shared" si="6"/>
        <v>36.358649999999997</v>
      </c>
      <c r="I17" s="815">
        <f t="shared" si="6"/>
        <v>19.447650000000003</v>
      </c>
    </row>
    <row r="18" spans="1:9" s="758" customFormat="1" ht="17.25" customHeight="1">
      <c r="A18" s="813">
        <v>6</v>
      </c>
      <c r="B18" s="814" t="s">
        <v>1858</v>
      </c>
      <c r="C18" s="815">
        <v>1.46</v>
      </c>
      <c r="D18" s="815">
        <v>1.05</v>
      </c>
      <c r="E18" s="815">
        <v>1.76</v>
      </c>
      <c r="F18" s="815">
        <v>0.81</v>
      </c>
      <c r="G18" s="812"/>
      <c r="H18" s="812"/>
      <c r="I18" s="812"/>
    </row>
    <row r="19" spans="1:9" s="758" customFormat="1" ht="17.25" customHeight="1">
      <c r="A19" s="813" t="s">
        <v>1858</v>
      </c>
      <c r="B19" s="814">
        <v>24</v>
      </c>
      <c r="C19" s="815" t="s">
        <v>1858</v>
      </c>
      <c r="D19" s="815" t="s">
        <v>1858</v>
      </c>
      <c r="E19" s="815" t="s">
        <v>1858</v>
      </c>
      <c r="F19" s="815" t="s">
        <v>1858</v>
      </c>
      <c r="G19" s="815">
        <f t="shared" ref="G19:I19" si="7">(D18+D20)/2*$B19</f>
        <v>26.159999999999997</v>
      </c>
      <c r="H19" s="815">
        <f t="shared" si="7"/>
        <v>45.239999999999995</v>
      </c>
      <c r="I19" s="815">
        <f t="shared" si="7"/>
        <v>17.400000000000002</v>
      </c>
    </row>
    <row r="20" spans="1:9" s="758" customFormat="1" ht="17.25" customHeight="1">
      <c r="A20" s="813">
        <v>7</v>
      </c>
      <c r="B20" s="814" t="s">
        <v>1858</v>
      </c>
      <c r="C20" s="815">
        <v>1.49</v>
      </c>
      <c r="D20" s="815">
        <v>1.1299999999999999</v>
      </c>
      <c r="E20" s="815">
        <v>2.0099999999999998</v>
      </c>
      <c r="F20" s="815">
        <v>0.64</v>
      </c>
      <c r="G20" s="812"/>
      <c r="H20" s="812"/>
      <c r="I20" s="812"/>
    </row>
    <row r="21" spans="1:9" s="758" customFormat="1" ht="17.25" customHeight="1">
      <c r="A21" s="813" t="s">
        <v>1858</v>
      </c>
      <c r="B21" s="814">
        <v>15.29</v>
      </c>
      <c r="C21" s="815" t="s">
        <v>1858</v>
      </c>
      <c r="D21" s="815" t="s">
        <v>1858</v>
      </c>
      <c r="E21" s="815" t="s">
        <v>1858</v>
      </c>
      <c r="F21" s="815" t="s">
        <v>1858</v>
      </c>
      <c r="G21" s="815">
        <f t="shared" ref="G21:I21" si="8">(D20+D22)/2*$B21</f>
        <v>17.277699999999996</v>
      </c>
      <c r="H21" s="815">
        <f t="shared" si="8"/>
        <v>28.898099999999996</v>
      </c>
      <c r="I21" s="815">
        <f t="shared" si="8"/>
        <v>12.0791</v>
      </c>
    </row>
    <row r="22" spans="1:9" s="758" customFormat="1" ht="17.25" customHeight="1">
      <c r="A22" s="813" t="s">
        <v>1860</v>
      </c>
      <c r="B22" s="814" t="s">
        <v>1858</v>
      </c>
      <c r="C22" s="815">
        <v>1.49</v>
      </c>
      <c r="D22" s="815">
        <v>1.1299999999999999</v>
      </c>
      <c r="E22" s="815">
        <v>1.77</v>
      </c>
      <c r="F22" s="815">
        <v>0.94</v>
      </c>
      <c r="G22" s="819"/>
      <c r="H22" s="819"/>
      <c r="I22" s="819"/>
    </row>
    <row r="23" spans="1:9" s="758" customFormat="1" ht="17.25" customHeight="1">
      <c r="A23" s="813" t="s">
        <v>1858</v>
      </c>
      <c r="B23" s="814">
        <v>7.41</v>
      </c>
      <c r="C23" s="815" t="s">
        <v>1858</v>
      </c>
      <c r="D23" s="815" t="s">
        <v>1858</v>
      </c>
      <c r="E23" s="815" t="s">
        <v>1858</v>
      </c>
      <c r="F23" s="815" t="s">
        <v>1858</v>
      </c>
      <c r="G23" s="815">
        <f t="shared" ref="G23:I23" si="9">(D22+D24)/2*$B23</f>
        <v>8.1139499999999991</v>
      </c>
      <c r="H23" s="815">
        <f t="shared" si="9"/>
        <v>13.078650000000001</v>
      </c>
      <c r="I23" s="815">
        <f t="shared" si="9"/>
        <v>7.7804999999999991</v>
      </c>
    </row>
    <row r="24" spans="1:9" s="758" customFormat="1" ht="17.25" customHeight="1">
      <c r="A24" s="813">
        <v>8</v>
      </c>
      <c r="B24" s="814" t="s">
        <v>1858</v>
      </c>
      <c r="C24" s="815">
        <v>1.49</v>
      </c>
      <c r="D24" s="815">
        <v>1.06</v>
      </c>
      <c r="E24" s="815">
        <v>1.76</v>
      </c>
      <c r="F24" s="815">
        <v>1.1599999999999999</v>
      </c>
      <c r="G24" s="812"/>
      <c r="H24" s="812"/>
      <c r="I24" s="812"/>
    </row>
    <row r="25" spans="1:9" s="758" customFormat="1" ht="17.25" customHeight="1">
      <c r="A25" s="813" t="s">
        <v>1858</v>
      </c>
      <c r="B25" s="814">
        <v>3.27</v>
      </c>
      <c r="C25" s="815" t="s">
        <v>1858</v>
      </c>
      <c r="D25" s="815" t="s">
        <v>1858</v>
      </c>
      <c r="E25" s="815" t="s">
        <v>1858</v>
      </c>
      <c r="F25" s="815" t="s">
        <v>1858</v>
      </c>
      <c r="G25" s="815">
        <f t="shared" ref="G25:I25" si="10">(D24+D26)/2*$B25</f>
        <v>1.7331000000000001</v>
      </c>
      <c r="H25" s="815">
        <f t="shared" si="10"/>
        <v>2.8776000000000002</v>
      </c>
      <c r="I25" s="815">
        <f t="shared" si="10"/>
        <v>1.8965999999999998</v>
      </c>
    </row>
    <row r="26" spans="1:9" s="758" customFormat="1" ht="17.25" customHeight="1">
      <c r="A26" s="813">
        <v>9</v>
      </c>
      <c r="B26" s="814" t="s">
        <v>1858</v>
      </c>
      <c r="C26" s="815">
        <v>0</v>
      </c>
      <c r="D26" s="815">
        <v>0</v>
      </c>
      <c r="E26" s="815">
        <v>0</v>
      </c>
      <c r="F26" s="815">
        <v>0</v>
      </c>
      <c r="G26" s="812"/>
      <c r="H26" s="812"/>
      <c r="I26" s="812"/>
    </row>
    <row r="27" spans="1:9" s="758" customFormat="1" ht="17.25" customHeight="1">
      <c r="A27" s="813" t="s">
        <v>1858</v>
      </c>
      <c r="B27" s="814">
        <v>4.1100000000000003</v>
      </c>
      <c r="C27" s="815" t="s">
        <v>1858</v>
      </c>
      <c r="D27" s="815" t="s">
        <v>1858</v>
      </c>
      <c r="E27" s="815" t="s">
        <v>1858</v>
      </c>
      <c r="F27" s="815" t="s">
        <v>1858</v>
      </c>
      <c r="G27" s="815">
        <f t="shared" ref="G27:I27" si="11">(D26+D28)/2*$B27</f>
        <v>0</v>
      </c>
      <c r="H27" s="815">
        <f t="shared" si="11"/>
        <v>0</v>
      </c>
      <c r="I27" s="815">
        <f t="shared" si="11"/>
        <v>0</v>
      </c>
    </row>
    <row r="28" spans="1:9" s="758" customFormat="1" ht="17.25" customHeight="1">
      <c r="A28" s="813">
        <v>10</v>
      </c>
      <c r="B28" s="814" t="s">
        <v>1858</v>
      </c>
      <c r="C28" s="815">
        <v>0</v>
      </c>
      <c r="D28" s="815">
        <v>0</v>
      </c>
      <c r="E28" s="815">
        <v>0</v>
      </c>
      <c r="F28" s="815">
        <v>0</v>
      </c>
      <c r="G28" s="812"/>
      <c r="H28" s="812"/>
      <c r="I28" s="812"/>
    </row>
    <row r="29" spans="1:9" s="758" customFormat="1" ht="17.25" customHeight="1">
      <c r="A29" s="813" t="s">
        <v>1858</v>
      </c>
      <c r="B29" s="814">
        <v>5.17</v>
      </c>
      <c r="C29" s="815" t="s">
        <v>1858</v>
      </c>
      <c r="D29" s="815" t="s">
        <v>1858</v>
      </c>
      <c r="E29" s="815" t="s">
        <v>1858</v>
      </c>
      <c r="F29" s="815" t="s">
        <v>1858</v>
      </c>
      <c r="G29" s="815">
        <f t="shared" ref="G29:I29" si="12">(D28+D30)/2*$B29</f>
        <v>2.0680000000000001</v>
      </c>
      <c r="H29" s="815">
        <f t="shared" si="12"/>
        <v>4.26525</v>
      </c>
      <c r="I29" s="815">
        <f t="shared" si="12"/>
        <v>4.4978999999999996</v>
      </c>
    </row>
    <row r="30" spans="1:9" s="758" customFormat="1" ht="17.25" customHeight="1">
      <c r="A30" s="813" t="s">
        <v>1861</v>
      </c>
      <c r="B30" s="814" t="s">
        <v>1858</v>
      </c>
      <c r="C30" s="815">
        <v>1.47</v>
      </c>
      <c r="D30" s="815">
        <v>0.8</v>
      </c>
      <c r="E30" s="815">
        <v>1.65</v>
      </c>
      <c r="F30" s="815">
        <v>1.74</v>
      </c>
      <c r="G30" s="812"/>
      <c r="H30" s="812"/>
      <c r="I30" s="812"/>
    </row>
    <row r="31" spans="1:9" s="758" customFormat="1" ht="17.25" customHeight="1">
      <c r="A31" s="813" t="s">
        <v>1858</v>
      </c>
      <c r="B31" s="814">
        <v>10.75</v>
      </c>
      <c r="C31" s="815" t="s">
        <v>1858</v>
      </c>
      <c r="D31" s="815" t="s">
        <v>1858</v>
      </c>
      <c r="E31" s="815" t="s">
        <v>1858</v>
      </c>
      <c r="F31" s="815" t="s">
        <v>1858</v>
      </c>
      <c r="G31" s="815">
        <f t="shared" ref="G31:I31" si="13">(D30+D32)/2*$B31</f>
        <v>8.9762500000000003</v>
      </c>
      <c r="H31" s="815">
        <f t="shared" si="13"/>
        <v>17.307499999999997</v>
      </c>
      <c r="I31" s="815">
        <f t="shared" si="13"/>
        <v>15.426250000000001</v>
      </c>
    </row>
    <row r="32" spans="1:9" s="758" customFormat="1" ht="17.25" customHeight="1">
      <c r="A32" s="813">
        <v>11</v>
      </c>
      <c r="B32" s="814" t="s">
        <v>1858</v>
      </c>
      <c r="C32" s="815">
        <v>1.46</v>
      </c>
      <c r="D32" s="815">
        <v>0.87</v>
      </c>
      <c r="E32" s="815">
        <v>1.57</v>
      </c>
      <c r="F32" s="815">
        <v>1.1299999999999999</v>
      </c>
      <c r="G32" s="812"/>
      <c r="H32" s="812"/>
      <c r="I32" s="812"/>
    </row>
    <row r="33" spans="1:9" s="758" customFormat="1" ht="17.25" customHeight="1">
      <c r="A33" s="813" t="s">
        <v>1858</v>
      </c>
      <c r="B33" s="814">
        <v>17.5</v>
      </c>
      <c r="C33" s="815" t="s">
        <v>1858</v>
      </c>
      <c r="D33" s="815" t="s">
        <v>1858</v>
      </c>
      <c r="E33" s="815" t="s">
        <v>1858</v>
      </c>
      <c r="F33" s="815" t="s">
        <v>1858</v>
      </c>
      <c r="G33" s="815">
        <f t="shared" ref="G33:I33" si="14">(D32+D34)/2*$B33</f>
        <v>14.9625</v>
      </c>
      <c r="H33" s="815">
        <f t="shared" si="14"/>
        <v>26.6875</v>
      </c>
      <c r="I33" s="815">
        <f t="shared" si="14"/>
        <v>20.474999999999998</v>
      </c>
    </row>
    <row r="34" spans="1:9" s="758" customFormat="1" ht="17.25" customHeight="1">
      <c r="A34" s="813">
        <v>12</v>
      </c>
      <c r="B34" s="814" t="s">
        <v>1858</v>
      </c>
      <c r="C34" s="815">
        <v>1.4</v>
      </c>
      <c r="D34" s="815">
        <v>0.84</v>
      </c>
      <c r="E34" s="815">
        <v>1.48</v>
      </c>
      <c r="F34" s="815">
        <v>1.21</v>
      </c>
      <c r="G34" s="812"/>
      <c r="H34" s="812"/>
      <c r="I34" s="812"/>
    </row>
    <row r="35" spans="1:9" s="758" customFormat="1" ht="17.25" customHeight="1">
      <c r="A35" s="813" t="s">
        <v>1858</v>
      </c>
      <c r="B35" s="814">
        <v>17.5</v>
      </c>
      <c r="C35" s="815" t="s">
        <v>1858</v>
      </c>
      <c r="D35" s="815" t="s">
        <v>1858</v>
      </c>
      <c r="E35" s="815" t="s">
        <v>1858</v>
      </c>
      <c r="F35" s="815" t="s">
        <v>1858</v>
      </c>
      <c r="G35" s="815">
        <f t="shared" ref="G35:I35" si="15">(D34+D36)/2*$B35</f>
        <v>14.7875</v>
      </c>
      <c r="H35" s="815">
        <f t="shared" si="15"/>
        <v>25.9</v>
      </c>
      <c r="I35" s="815">
        <f t="shared" si="15"/>
        <v>22.05</v>
      </c>
    </row>
    <row r="36" spans="1:9" s="758" customFormat="1" ht="17.25" customHeight="1">
      <c r="A36" s="816">
        <v>13</v>
      </c>
      <c r="B36" s="817" t="s">
        <v>1858</v>
      </c>
      <c r="C36" s="818">
        <v>1.38</v>
      </c>
      <c r="D36" s="818">
        <v>0.85</v>
      </c>
      <c r="E36" s="818">
        <v>1.48</v>
      </c>
      <c r="F36" s="818">
        <v>1.31</v>
      </c>
      <c r="G36" s="819"/>
      <c r="H36" s="819"/>
      <c r="I36" s="819"/>
    </row>
    <row r="37" spans="1:9" s="758" customFormat="1" ht="17.25" customHeight="1">
      <c r="A37" s="813" t="s">
        <v>1858</v>
      </c>
      <c r="B37" s="814">
        <v>17.5</v>
      </c>
      <c r="C37" s="815" t="s">
        <v>1858</v>
      </c>
      <c r="D37" s="815" t="s">
        <v>1858</v>
      </c>
      <c r="E37" s="815" t="s">
        <v>1858</v>
      </c>
      <c r="F37" s="815" t="s">
        <v>1858</v>
      </c>
      <c r="G37" s="815">
        <f t="shared" ref="G37:I37" si="16">(D36+D38)/2*$B37</f>
        <v>14.525000000000002</v>
      </c>
      <c r="H37" s="815">
        <f t="shared" si="16"/>
        <v>25.8125</v>
      </c>
      <c r="I37" s="815">
        <f t="shared" si="16"/>
        <v>23.1</v>
      </c>
    </row>
    <row r="38" spans="1:9" s="758" customFormat="1" ht="17.25" customHeight="1">
      <c r="A38" s="813">
        <v>14</v>
      </c>
      <c r="B38" s="814" t="s">
        <v>1858</v>
      </c>
      <c r="C38" s="815">
        <v>1.39</v>
      </c>
      <c r="D38" s="815">
        <v>0.81</v>
      </c>
      <c r="E38" s="815">
        <v>1.47</v>
      </c>
      <c r="F38" s="815">
        <v>1.33</v>
      </c>
      <c r="G38" s="812"/>
      <c r="H38" s="812"/>
      <c r="I38" s="812"/>
    </row>
    <row r="39" spans="1:9" s="758" customFormat="1" ht="17.25" customHeight="1">
      <c r="A39" s="813" t="s">
        <v>1858</v>
      </c>
      <c r="B39" s="814">
        <v>17.5</v>
      </c>
      <c r="C39" s="815" t="s">
        <v>1858</v>
      </c>
      <c r="D39" s="815" t="s">
        <v>1858</v>
      </c>
      <c r="E39" s="815" t="s">
        <v>1858</v>
      </c>
      <c r="F39" s="815" t="s">
        <v>1858</v>
      </c>
      <c r="G39" s="815">
        <f t="shared" ref="G39:I39" si="17">(D38+D40)/2*$B39</f>
        <v>15.225000000000001</v>
      </c>
      <c r="H39" s="815">
        <f t="shared" si="17"/>
        <v>27.474999999999998</v>
      </c>
      <c r="I39" s="815">
        <f t="shared" si="17"/>
        <v>19.950000000000003</v>
      </c>
    </row>
    <row r="40" spans="1:9" s="758" customFormat="1" ht="17.25" customHeight="1">
      <c r="A40" s="813">
        <v>15</v>
      </c>
      <c r="B40" s="814" t="s">
        <v>1858</v>
      </c>
      <c r="C40" s="815">
        <v>1.4</v>
      </c>
      <c r="D40" s="815">
        <v>0.93</v>
      </c>
      <c r="E40" s="815">
        <v>1.67</v>
      </c>
      <c r="F40" s="815">
        <v>0.95</v>
      </c>
      <c r="G40" s="812"/>
      <c r="H40" s="812"/>
      <c r="I40" s="812"/>
    </row>
    <row r="41" spans="1:9" s="758" customFormat="1" ht="17.25" customHeight="1">
      <c r="A41" s="813" t="s">
        <v>1858</v>
      </c>
      <c r="B41" s="814">
        <v>18.190000000000001</v>
      </c>
      <c r="C41" s="815" t="s">
        <v>1858</v>
      </c>
      <c r="D41" s="815" t="s">
        <v>1858</v>
      </c>
      <c r="E41" s="815" t="s">
        <v>1858</v>
      </c>
      <c r="F41" s="815" t="s">
        <v>1858</v>
      </c>
      <c r="G41" s="815">
        <f t="shared" ref="G41:I41" si="18">(D40+D42)/2*$B41</f>
        <v>17.917150000000003</v>
      </c>
      <c r="H41" s="815">
        <f t="shared" si="18"/>
        <v>32.105350000000001</v>
      </c>
      <c r="I41" s="815">
        <f t="shared" si="18"/>
        <v>15.734350000000001</v>
      </c>
    </row>
    <row r="42" spans="1:9" s="758" customFormat="1" ht="17.25" customHeight="1">
      <c r="A42" s="813" t="s">
        <v>1862</v>
      </c>
      <c r="B42" s="814" t="s">
        <v>1858</v>
      </c>
      <c r="C42" s="815">
        <v>1.4</v>
      </c>
      <c r="D42" s="815">
        <v>1.04</v>
      </c>
      <c r="E42" s="815">
        <v>1.86</v>
      </c>
      <c r="F42" s="815">
        <v>0.78</v>
      </c>
      <c r="G42" s="812"/>
      <c r="H42" s="812"/>
      <c r="I42" s="812"/>
    </row>
    <row r="43" spans="1:9" s="758" customFormat="1" ht="17.25" customHeight="1">
      <c r="A43" s="813" t="s">
        <v>1858</v>
      </c>
      <c r="B43" s="814">
        <v>16.809999999999999</v>
      </c>
      <c r="C43" s="815" t="s">
        <v>1858</v>
      </c>
      <c r="D43" s="815" t="s">
        <v>1858</v>
      </c>
      <c r="E43" s="815" t="s">
        <v>1858</v>
      </c>
      <c r="F43" s="815" t="s">
        <v>1858</v>
      </c>
      <c r="G43" s="815">
        <f t="shared" ref="G43:I43" si="19">(D42+D44)/2*$B43</f>
        <v>18.154799999999998</v>
      </c>
      <c r="H43" s="815">
        <f t="shared" si="19"/>
        <v>32.527349999999998</v>
      </c>
      <c r="I43" s="815">
        <f t="shared" si="19"/>
        <v>13.19585</v>
      </c>
    </row>
    <row r="44" spans="1:9" s="758" customFormat="1" ht="17.25" customHeight="1">
      <c r="A44" s="813">
        <v>16</v>
      </c>
      <c r="B44" s="814" t="s">
        <v>1858</v>
      </c>
      <c r="C44" s="815">
        <v>1.41</v>
      </c>
      <c r="D44" s="815">
        <v>1.1200000000000001</v>
      </c>
      <c r="E44" s="815">
        <v>2.0099999999999998</v>
      </c>
      <c r="F44" s="815">
        <v>0.79</v>
      </c>
      <c r="G44" s="812"/>
      <c r="H44" s="812"/>
      <c r="I44" s="812"/>
    </row>
    <row r="45" spans="1:9" s="758" customFormat="1" ht="17.25" customHeight="1">
      <c r="A45" s="813" t="s">
        <v>1858</v>
      </c>
      <c r="B45" s="814">
        <v>17.5</v>
      </c>
      <c r="C45" s="815" t="s">
        <v>1858</v>
      </c>
      <c r="D45" s="815" t="s">
        <v>1858</v>
      </c>
      <c r="E45" s="815" t="s">
        <v>1858</v>
      </c>
      <c r="F45" s="815" t="s">
        <v>1858</v>
      </c>
      <c r="G45" s="815">
        <f t="shared" ref="G45:I45" si="20">(D44+D46)/2*$B45</f>
        <v>20.037500000000001</v>
      </c>
      <c r="H45" s="815">
        <f t="shared" si="20"/>
        <v>36.662499999999994</v>
      </c>
      <c r="I45" s="815">
        <f t="shared" si="20"/>
        <v>13.912500000000001</v>
      </c>
    </row>
    <row r="46" spans="1:9" s="758" customFormat="1" ht="17.25" customHeight="1">
      <c r="A46" s="816">
        <v>17</v>
      </c>
      <c r="B46" s="817" t="s">
        <v>1858</v>
      </c>
      <c r="C46" s="818">
        <v>1.43</v>
      </c>
      <c r="D46" s="818">
        <v>1.17</v>
      </c>
      <c r="E46" s="818">
        <v>2.1800000000000002</v>
      </c>
      <c r="F46" s="818">
        <v>0.8</v>
      </c>
      <c r="G46" s="819"/>
      <c r="H46" s="819"/>
      <c r="I46" s="819"/>
    </row>
    <row r="47" spans="1:9" s="758" customFormat="1" ht="17.25" customHeight="1">
      <c r="A47" s="813" t="s">
        <v>1858</v>
      </c>
      <c r="B47" s="814">
        <v>17.5</v>
      </c>
      <c r="C47" s="815" t="s">
        <v>1858</v>
      </c>
      <c r="D47" s="815" t="s">
        <v>1858</v>
      </c>
      <c r="E47" s="815" t="s">
        <v>1858</v>
      </c>
      <c r="F47" s="815" t="s">
        <v>1858</v>
      </c>
      <c r="G47" s="815">
        <f t="shared" ref="G47:I47" si="21">(D46+D48)/2*$B47</f>
        <v>20.474999999999998</v>
      </c>
      <c r="H47" s="815">
        <f t="shared" si="21"/>
        <v>39.375</v>
      </c>
      <c r="I47" s="815">
        <f t="shared" si="21"/>
        <v>15.6625</v>
      </c>
    </row>
    <row r="48" spans="1:9" s="758" customFormat="1" ht="17.25" customHeight="1">
      <c r="A48" s="813">
        <v>18</v>
      </c>
      <c r="B48" s="814" t="s">
        <v>1858</v>
      </c>
      <c r="C48" s="815">
        <v>1.52</v>
      </c>
      <c r="D48" s="815">
        <v>1.17</v>
      </c>
      <c r="E48" s="815">
        <v>2.3199999999999998</v>
      </c>
      <c r="F48" s="815">
        <v>0.99</v>
      </c>
      <c r="G48" s="812"/>
      <c r="H48" s="812"/>
      <c r="I48" s="812"/>
    </row>
    <row r="49" spans="1:9" s="758" customFormat="1" ht="17.25" customHeight="1">
      <c r="A49" s="813" t="s">
        <v>1858</v>
      </c>
      <c r="B49" s="814">
        <v>17.5</v>
      </c>
      <c r="C49" s="815" t="s">
        <v>1858</v>
      </c>
      <c r="D49" s="815" t="s">
        <v>1858</v>
      </c>
      <c r="E49" s="815" t="s">
        <v>1858</v>
      </c>
      <c r="F49" s="815" t="s">
        <v>1858</v>
      </c>
      <c r="G49" s="815">
        <f t="shared" ref="G49:I49" si="22">(D48+D50)/2*$B49</f>
        <v>19.074999999999996</v>
      </c>
      <c r="H49" s="815">
        <f t="shared" si="22"/>
        <v>35.787500000000001</v>
      </c>
      <c r="I49" s="815">
        <f t="shared" si="22"/>
        <v>20.387499999999999</v>
      </c>
    </row>
    <row r="50" spans="1:9" s="758" customFormat="1" ht="17.25" customHeight="1">
      <c r="A50" s="813">
        <v>19</v>
      </c>
      <c r="B50" s="814" t="s">
        <v>1858</v>
      </c>
      <c r="C50" s="815">
        <v>1.57</v>
      </c>
      <c r="D50" s="815">
        <v>1.01</v>
      </c>
      <c r="E50" s="815">
        <v>1.77</v>
      </c>
      <c r="F50" s="815">
        <v>1.34</v>
      </c>
      <c r="G50" s="812"/>
      <c r="H50" s="812"/>
      <c r="I50" s="812"/>
    </row>
    <row r="51" spans="1:9" s="758" customFormat="1" ht="17.25" customHeight="1">
      <c r="A51" s="813" t="s">
        <v>1858</v>
      </c>
      <c r="B51" s="814">
        <v>17.5</v>
      </c>
      <c r="C51" s="815" t="s">
        <v>1858</v>
      </c>
      <c r="D51" s="815" t="s">
        <v>1858</v>
      </c>
      <c r="E51" s="815" t="s">
        <v>1858</v>
      </c>
      <c r="F51" s="815" t="s">
        <v>1858</v>
      </c>
      <c r="G51" s="815">
        <f t="shared" ref="G51:I51" si="23">(D50+D52)/2*$B51</f>
        <v>16.362500000000001</v>
      </c>
      <c r="H51" s="815">
        <f t="shared" si="23"/>
        <v>33.25</v>
      </c>
      <c r="I51" s="815">
        <f t="shared" si="23"/>
        <v>27.562500000000004</v>
      </c>
    </row>
    <row r="52" spans="1:9" s="758" customFormat="1" ht="17.25" customHeight="1">
      <c r="A52" s="813">
        <v>20</v>
      </c>
      <c r="B52" s="814" t="s">
        <v>1858</v>
      </c>
      <c r="C52" s="815">
        <v>1.64</v>
      </c>
      <c r="D52" s="815">
        <v>0.86</v>
      </c>
      <c r="E52" s="815">
        <v>2.0299999999999998</v>
      </c>
      <c r="F52" s="815">
        <v>1.81</v>
      </c>
      <c r="G52" s="812"/>
      <c r="H52" s="812"/>
      <c r="I52" s="812"/>
    </row>
    <row r="53" spans="1:9" s="758" customFormat="1" ht="17.25" customHeight="1">
      <c r="A53" s="813" t="s">
        <v>1858</v>
      </c>
      <c r="B53" s="814">
        <v>21.21</v>
      </c>
      <c r="C53" s="815" t="s">
        <v>1858</v>
      </c>
      <c r="D53" s="815" t="s">
        <v>1858</v>
      </c>
      <c r="E53" s="815" t="s">
        <v>1858</v>
      </c>
      <c r="F53" s="815" t="s">
        <v>1858</v>
      </c>
      <c r="G53" s="815">
        <f t="shared" ref="G53:I53" si="24">(D52+D54)/2*$B53</f>
        <v>9.1203000000000003</v>
      </c>
      <c r="H53" s="815">
        <f t="shared" si="24"/>
        <v>21.52815</v>
      </c>
      <c r="I53" s="815">
        <f t="shared" si="24"/>
        <v>19.195050000000002</v>
      </c>
    </row>
    <row r="54" spans="1:9" s="758" customFormat="1" ht="17.25" customHeight="1">
      <c r="A54" s="816" t="s">
        <v>1863</v>
      </c>
      <c r="B54" s="817" t="s">
        <v>1858</v>
      </c>
      <c r="C54" s="818">
        <v>0</v>
      </c>
      <c r="D54" s="818">
        <v>0</v>
      </c>
      <c r="E54" s="818">
        <v>0</v>
      </c>
      <c r="F54" s="818">
        <v>0</v>
      </c>
      <c r="G54" s="819"/>
      <c r="H54" s="819"/>
      <c r="I54" s="819"/>
    </row>
    <row r="55" spans="1:9" s="758" customFormat="1" ht="17.25" customHeight="1">
      <c r="A55" s="813" t="s">
        <v>1858</v>
      </c>
      <c r="B55" s="814">
        <v>13.79</v>
      </c>
      <c r="C55" s="815" t="s">
        <v>1858</v>
      </c>
      <c r="D55" s="815" t="s">
        <v>1858</v>
      </c>
      <c r="E55" s="815" t="s">
        <v>1858</v>
      </c>
      <c r="F55" s="815" t="s">
        <v>1858</v>
      </c>
      <c r="G55" s="815">
        <f t="shared" ref="G55:I55" si="25">(D54+D56)/2*$B55</f>
        <v>6.6881499999999994</v>
      </c>
      <c r="H55" s="815">
        <f t="shared" si="25"/>
        <v>14.272649999999999</v>
      </c>
      <c r="I55" s="815">
        <f t="shared" si="25"/>
        <v>8.9634999999999998</v>
      </c>
    </row>
    <row r="56" spans="1:9" s="758" customFormat="1" ht="17.25" customHeight="1">
      <c r="A56" s="813">
        <v>21</v>
      </c>
      <c r="B56" s="814" t="s">
        <v>1858</v>
      </c>
      <c r="C56" s="815">
        <v>1.65</v>
      </c>
      <c r="D56" s="815">
        <v>0.97</v>
      </c>
      <c r="E56" s="815">
        <v>2.0699999999999998</v>
      </c>
      <c r="F56" s="815">
        <v>1.3</v>
      </c>
      <c r="G56" s="812"/>
      <c r="H56" s="812"/>
      <c r="I56" s="812"/>
    </row>
    <row r="57" spans="1:9" s="758" customFormat="1" ht="17.25" customHeight="1">
      <c r="A57" s="813" t="s">
        <v>1858</v>
      </c>
      <c r="B57" s="814">
        <v>17.5</v>
      </c>
      <c r="C57" s="815" t="s">
        <v>1858</v>
      </c>
      <c r="D57" s="815" t="s">
        <v>1858</v>
      </c>
      <c r="E57" s="815" t="s">
        <v>1858</v>
      </c>
      <c r="F57" s="815" t="s">
        <v>1858</v>
      </c>
      <c r="G57" s="815">
        <f t="shared" ref="G57:I57" si="26">(D56+D58)/2*$B57</f>
        <v>16.8</v>
      </c>
      <c r="H57" s="815">
        <f t="shared" si="26"/>
        <v>34.65</v>
      </c>
      <c r="I57" s="815">
        <f t="shared" si="26"/>
        <v>21.7</v>
      </c>
    </row>
    <row r="58" spans="1:9" s="758" customFormat="1" ht="17.25" customHeight="1">
      <c r="A58" s="813">
        <v>22</v>
      </c>
      <c r="B58" s="814" t="s">
        <v>1858</v>
      </c>
      <c r="C58" s="815">
        <v>1.59</v>
      </c>
      <c r="D58" s="815">
        <v>0.95</v>
      </c>
      <c r="E58" s="815">
        <v>1.89</v>
      </c>
      <c r="F58" s="815">
        <v>1.18</v>
      </c>
      <c r="G58" s="812"/>
      <c r="H58" s="812"/>
      <c r="I58" s="812"/>
    </row>
    <row r="59" spans="1:9" s="758" customFormat="1" ht="17.25" customHeight="1">
      <c r="A59" s="813" t="s">
        <v>1858</v>
      </c>
      <c r="B59" s="814">
        <v>17.5</v>
      </c>
      <c r="C59" s="815" t="s">
        <v>1858</v>
      </c>
      <c r="D59" s="815" t="s">
        <v>1858</v>
      </c>
      <c r="E59" s="815" t="s">
        <v>1858</v>
      </c>
      <c r="F59" s="815" t="s">
        <v>1858</v>
      </c>
      <c r="G59" s="815">
        <f t="shared" ref="G59:I59" si="27">(D58+D60)/2*$B59</f>
        <v>16.45</v>
      </c>
      <c r="H59" s="815">
        <f t="shared" si="27"/>
        <v>33.162500000000001</v>
      </c>
      <c r="I59" s="815">
        <f t="shared" si="27"/>
        <v>21.787500000000001</v>
      </c>
    </row>
    <row r="60" spans="1:9" s="758" customFormat="1" ht="17.25" customHeight="1">
      <c r="A60" s="813">
        <v>23</v>
      </c>
      <c r="B60" s="814" t="s">
        <v>1858</v>
      </c>
      <c r="C60" s="815">
        <v>1.6</v>
      </c>
      <c r="D60" s="815">
        <v>0.93</v>
      </c>
      <c r="E60" s="815">
        <v>1.9</v>
      </c>
      <c r="F60" s="815">
        <v>1.31</v>
      </c>
      <c r="G60" s="812"/>
      <c r="H60" s="812"/>
      <c r="I60" s="812"/>
    </row>
    <row r="61" spans="1:9" s="758" customFormat="1" ht="17.25" customHeight="1">
      <c r="A61" s="813" t="s">
        <v>1858</v>
      </c>
      <c r="B61" s="814">
        <v>17.5</v>
      </c>
      <c r="C61" s="815" t="s">
        <v>1858</v>
      </c>
      <c r="D61" s="815" t="s">
        <v>1858</v>
      </c>
      <c r="E61" s="815" t="s">
        <v>1858</v>
      </c>
      <c r="F61" s="815" t="s">
        <v>1858</v>
      </c>
      <c r="G61" s="815">
        <f t="shared" ref="G61:I61" si="28">(D60+D62)/2*$B61</f>
        <v>17.0625</v>
      </c>
      <c r="H61" s="815">
        <f t="shared" si="28"/>
        <v>32.375</v>
      </c>
      <c r="I61" s="815">
        <f t="shared" si="28"/>
        <v>20.212500000000002</v>
      </c>
    </row>
    <row r="62" spans="1:9" s="758" customFormat="1" ht="17.25" customHeight="1">
      <c r="A62" s="813">
        <v>24</v>
      </c>
      <c r="B62" s="814" t="s">
        <v>1858</v>
      </c>
      <c r="C62" s="815">
        <v>1.56</v>
      </c>
      <c r="D62" s="815">
        <v>1.02</v>
      </c>
      <c r="E62" s="815">
        <v>1.8</v>
      </c>
      <c r="F62" s="815">
        <v>1</v>
      </c>
      <c r="G62" s="812"/>
      <c r="H62" s="812"/>
      <c r="I62" s="812"/>
    </row>
    <row r="63" spans="1:9" s="758" customFormat="1" ht="17.25" customHeight="1">
      <c r="A63" s="813" t="s">
        <v>1858</v>
      </c>
      <c r="B63" s="814">
        <v>17.5</v>
      </c>
      <c r="C63" s="815" t="s">
        <v>1858</v>
      </c>
      <c r="D63" s="815" t="s">
        <v>1858</v>
      </c>
      <c r="E63" s="815" t="s">
        <v>1858</v>
      </c>
      <c r="F63" s="815" t="s">
        <v>1858</v>
      </c>
      <c r="G63" s="815">
        <f t="shared" ref="G63:I63" si="29">(D62+D64)/2*$B63</f>
        <v>17.850000000000001</v>
      </c>
      <c r="H63" s="815">
        <f t="shared" si="29"/>
        <v>31.937500000000004</v>
      </c>
      <c r="I63" s="815">
        <f t="shared" si="29"/>
        <v>16.099999999999998</v>
      </c>
    </row>
    <row r="64" spans="1:9" s="758" customFormat="1" ht="17.25" customHeight="1">
      <c r="A64" s="813">
        <v>25</v>
      </c>
      <c r="B64" s="814" t="s">
        <v>1858</v>
      </c>
      <c r="C64" s="815">
        <v>1.58</v>
      </c>
      <c r="D64" s="815">
        <v>1.02</v>
      </c>
      <c r="E64" s="815">
        <v>1.85</v>
      </c>
      <c r="F64" s="815">
        <v>0.84</v>
      </c>
      <c r="G64" s="812"/>
      <c r="H64" s="812"/>
      <c r="I64" s="812"/>
    </row>
    <row r="65" spans="1:12" s="758" customFormat="1" ht="17.25" customHeight="1">
      <c r="A65" s="813" t="s">
        <v>1858</v>
      </c>
      <c r="B65" s="814">
        <v>14.26</v>
      </c>
      <c r="C65" s="815" t="s">
        <v>1858</v>
      </c>
      <c r="D65" s="815" t="s">
        <v>1858</v>
      </c>
      <c r="E65" s="815" t="s">
        <v>1858</v>
      </c>
      <c r="F65" s="815" t="s">
        <v>1858</v>
      </c>
      <c r="G65" s="815">
        <f t="shared" ref="G65:I65" si="30">(D64+D66)/2*$B65</f>
        <v>14.759100000000002</v>
      </c>
      <c r="H65" s="815">
        <f t="shared" si="30"/>
        <v>26.594899999999999</v>
      </c>
      <c r="I65" s="815">
        <f t="shared" si="30"/>
        <v>12.192299999999999</v>
      </c>
    </row>
    <row r="66" spans="1:12" s="758" customFormat="1" ht="17.25" customHeight="1">
      <c r="A66" s="813">
        <v>26</v>
      </c>
      <c r="B66" s="814" t="s">
        <v>1858</v>
      </c>
      <c r="C66" s="815">
        <v>1.63</v>
      </c>
      <c r="D66" s="815">
        <v>1.05</v>
      </c>
      <c r="E66" s="815">
        <v>1.88</v>
      </c>
      <c r="F66" s="815">
        <v>0.87</v>
      </c>
      <c r="G66" s="812"/>
      <c r="H66" s="812"/>
      <c r="I66" s="812"/>
    </row>
    <row r="67" spans="1:12" s="758" customFormat="1" ht="17.25" customHeight="1">
      <c r="A67" s="813" t="s">
        <v>1858</v>
      </c>
      <c r="B67" s="814">
        <v>3.74</v>
      </c>
      <c r="C67" s="815" t="s">
        <v>1858</v>
      </c>
      <c r="D67" s="815" t="s">
        <v>1858</v>
      </c>
      <c r="E67" s="815" t="s">
        <v>1858</v>
      </c>
      <c r="F67" s="815" t="s">
        <v>1858</v>
      </c>
      <c r="G67" s="815">
        <f t="shared" ref="G67:I67" si="31">(D66+D68)/2*$B67</f>
        <v>4.6375999999999999</v>
      </c>
      <c r="H67" s="815">
        <f t="shared" si="31"/>
        <v>9.4996000000000009</v>
      </c>
      <c r="I67" s="815">
        <f t="shared" si="31"/>
        <v>4.8059000000000003</v>
      </c>
    </row>
    <row r="68" spans="1:12" s="758" customFormat="1" ht="17.25" customHeight="1">
      <c r="A68" s="813">
        <v>27</v>
      </c>
      <c r="B68" s="814" t="s">
        <v>1858</v>
      </c>
      <c r="C68" s="815">
        <v>1.68</v>
      </c>
      <c r="D68" s="815">
        <v>1.43</v>
      </c>
      <c r="E68" s="815">
        <v>3.2</v>
      </c>
      <c r="F68" s="815">
        <v>1.7</v>
      </c>
      <c r="G68" s="815"/>
      <c r="H68" s="815"/>
      <c r="I68" s="815"/>
    </row>
    <row r="69" spans="1:12" s="757" customFormat="1" ht="25.5" customHeight="1">
      <c r="A69" s="937" t="s">
        <v>1864</v>
      </c>
      <c r="B69" s="937"/>
      <c r="C69" s="937"/>
      <c r="D69" s="937"/>
      <c r="E69" s="937"/>
      <c r="F69" s="937"/>
      <c r="G69" s="759">
        <f>SUM(G4:G68)</f>
        <v>468.82225000000005</v>
      </c>
      <c r="H69" s="759">
        <f>SUM(H4:H68)</f>
        <v>859.5421</v>
      </c>
      <c r="I69" s="759">
        <f>SUM(I4:I68)</f>
        <v>472.39735000000007</v>
      </c>
    </row>
    <row r="70" spans="1:12" s="757" customFormat="1" ht="18.75">
      <c r="A70" s="760"/>
      <c r="B70" s="761"/>
      <c r="C70" s="762"/>
      <c r="D70" s="762"/>
      <c r="E70" s="762"/>
      <c r="F70" s="762"/>
      <c r="G70" s="762"/>
      <c r="H70" s="762"/>
      <c r="I70" s="762"/>
    </row>
    <row r="71" spans="1:12" ht="17.45" customHeight="1">
      <c r="A71" s="931" t="s">
        <v>1500</v>
      </c>
      <c r="B71" s="931"/>
      <c r="C71" s="931"/>
      <c r="D71" s="931"/>
      <c r="E71" s="808"/>
      <c r="F71" s="783"/>
      <c r="G71" s="931" t="s">
        <v>1501</v>
      </c>
      <c r="H71" s="931"/>
      <c r="I71" s="931"/>
      <c r="J71" s="784"/>
      <c r="K71" s="784"/>
      <c r="L71" s="784"/>
    </row>
    <row r="72" spans="1:12">
      <c r="A72" s="772"/>
      <c r="B72" s="808"/>
      <c r="C72" s="808"/>
      <c r="D72" s="808"/>
      <c r="E72" s="808"/>
      <c r="F72" s="808"/>
      <c r="G72" s="808"/>
      <c r="H72" s="783"/>
      <c r="I72" s="783"/>
      <c r="J72" s="783"/>
      <c r="K72" s="783"/>
      <c r="L72" s="783"/>
    </row>
    <row r="73" spans="1:12">
      <c r="A73" s="772"/>
      <c r="B73" s="808"/>
      <c r="C73" s="808"/>
      <c r="D73" s="808"/>
      <c r="E73" s="808"/>
      <c r="F73" s="808"/>
      <c r="G73" s="808"/>
      <c r="H73" s="783"/>
      <c r="I73" s="783"/>
      <c r="J73" s="783"/>
      <c r="K73" s="783"/>
      <c r="L73" s="783"/>
    </row>
    <row r="74" spans="1:12">
      <c r="A74" s="772"/>
      <c r="B74" s="808"/>
      <c r="C74" s="808"/>
      <c r="D74" s="808"/>
      <c r="E74" s="808"/>
      <c r="F74" s="808"/>
      <c r="G74" s="808"/>
      <c r="H74" s="783"/>
      <c r="I74" s="783"/>
      <c r="J74" s="783"/>
      <c r="K74" s="783"/>
      <c r="L74" s="783"/>
    </row>
    <row r="75" spans="1:12">
      <c r="A75" s="756"/>
      <c r="B75" s="808"/>
      <c r="C75" s="808"/>
      <c r="D75" s="808"/>
      <c r="E75" s="808"/>
      <c r="F75" s="808"/>
      <c r="G75" s="808"/>
      <c r="H75" s="783"/>
      <c r="I75" s="783"/>
      <c r="J75" s="783"/>
      <c r="K75" s="783"/>
      <c r="L75" s="783"/>
    </row>
    <row r="76" spans="1:12" ht="17.45" customHeight="1">
      <c r="A76" s="931" t="s">
        <v>1868</v>
      </c>
      <c r="B76" s="931"/>
      <c r="C76" s="931"/>
      <c r="D76" s="931"/>
      <c r="E76" s="808"/>
      <c r="F76" s="783"/>
      <c r="G76" s="931" t="s">
        <v>1502</v>
      </c>
      <c r="H76" s="931"/>
      <c r="I76" s="931"/>
      <c r="J76" s="784"/>
      <c r="K76" s="784"/>
      <c r="L76" s="784"/>
    </row>
    <row r="77" spans="1:12">
      <c r="A77" s="756"/>
      <c r="B77" s="808"/>
      <c r="C77" s="808"/>
      <c r="D77" s="808"/>
      <c r="E77" s="808"/>
      <c r="F77" s="808"/>
      <c r="G77" s="808"/>
      <c r="H77" s="783"/>
      <c r="I77" s="783"/>
      <c r="J77" s="783"/>
      <c r="K77" s="783"/>
      <c r="L77" s="783"/>
    </row>
    <row r="78" spans="1:12">
      <c r="A78" s="756"/>
      <c r="B78" s="763"/>
      <c r="C78" s="763"/>
      <c r="D78" s="764"/>
      <c r="J78" s="765"/>
      <c r="K78" s="765"/>
      <c r="L78" s="765"/>
    </row>
  </sheetData>
  <mergeCells count="10">
    <mergeCell ref="A71:D71"/>
    <mergeCell ref="G71:I71"/>
    <mergeCell ref="A76:D76"/>
    <mergeCell ref="G76:I76"/>
    <mergeCell ref="A1:I1"/>
    <mergeCell ref="A2:A3"/>
    <mergeCell ref="B2:B3"/>
    <mergeCell ref="C2:F2"/>
    <mergeCell ref="G2:I2"/>
    <mergeCell ref="A69:F69"/>
  </mergeCells>
  <pageMargins left="0.59055118110236227" right="0.39370078740157483" top="0.78740157480314965" bottom="0.59055118110236227" header="0.19685039370078741" footer="0.19685039370078741"/>
  <pageSetup scale="76" fitToHeight="0"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19"/>
  <sheetViews>
    <sheetView workbookViewId="0">
      <selection activeCell="A2" sqref="A2:K2"/>
    </sheetView>
  </sheetViews>
  <sheetFormatPr defaultColWidth="11.33203125" defaultRowHeight="15"/>
  <cols>
    <col min="1" max="1" width="8.1640625" style="740" customWidth="1"/>
    <col min="2" max="2" width="56.83203125" style="707" customWidth="1"/>
    <col min="3" max="3" width="10.5" style="740" customWidth="1"/>
    <col min="4" max="4" width="12.6640625" style="740" customWidth="1"/>
    <col min="5" max="5" width="10" style="740" customWidth="1"/>
    <col min="6" max="6" width="8.6640625" style="740" bestFit="1" customWidth="1"/>
    <col min="7" max="7" width="7" style="740" bestFit="1" customWidth="1"/>
    <col min="8" max="8" width="7.6640625" style="740" bestFit="1" customWidth="1"/>
    <col min="9" max="9" width="12.33203125" style="740" customWidth="1"/>
    <col min="10" max="10" width="11" style="740" customWidth="1"/>
    <col min="11" max="11" width="8.83203125" style="707" customWidth="1"/>
    <col min="12" max="12" width="11.33203125" style="707" hidden="1" customWidth="1"/>
    <col min="13" max="19" width="11.33203125" style="707" customWidth="1"/>
    <col min="20" max="256" width="11.33203125" style="707"/>
    <col min="257" max="257" width="8.1640625" style="707" customWidth="1"/>
    <col min="258" max="258" width="56.83203125" style="707" customWidth="1"/>
    <col min="259" max="259" width="10.5" style="707" customWidth="1"/>
    <col min="260" max="260" width="12.6640625" style="707" customWidth="1"/>
    <col min="261" max="261" width="10" style="707" customWidth="1"/>
    <col min="262" max="262" width="8.6640625" style="707" bestFit="1" customWidth="1"/>
    <col min="263" max="263" width="7" style="707" bestFit="1" customWidth="1"/>
    <col min="264" max="264" width="7.6640625" style="707" bestFit="1" customWidth="1"/>
    <col min="265" max="265" width="12.33203125" style="707" customWidth="1"/>
    <col min="266" max="266" width="11" style="707" customWidth="1"/>
    <col min="267" max="267" width="8.83203125" style="707" customWidth="1"/>
    <col min="268" max="268" width="0" style="707" hidden="1" customWidth="1"/>
    <col min="269" max="275" width="11.33203125" style="707" customWidth="1"/>
    <col min="276" max="512" width="11.33203125" style="707"/>
    <col min="513" max="513" width="8.1640625" style="707" customWidth="1"/>
    <col min="514" max="514" width="56.83203125" style="707" customWidth="1"/>
    <col min="515" max="515" width="10.5" style="707" customWidth="1"/>
    <col min="516" max="516" width="12.6640625" style="707" customWidth="1"/>
    <col min="517" max="517" width="10" style="707" customWidth="1"/>
    <col min="518" max="518" width="8.6640625" style="707" bestFit="1" customWidth="1"/>
    <col min="519" max="519" width="7" style="707" bestFit="1" customWidth="1"/>
    <col min="520" max="520" width="7.6640625" style="707" bestFit="1" customWidth="1"/>
    <col min="521" max="521" width="12.33203125" style="707" customWidth="1"/>
    <col min="522" max="522" width="11" style="707" customWidth="1"/>
    <col min="523" max="523" width="8.83203125" style="707" customWidth="1"/>
    <col min="524" max="524" width="0" style="707" hidden="1" customWidth="1"/>
    <col min="525" max="531" width="11.33203125" style="707" customWidth="1"/>
    <col min="532" max="768" width="11.33203125" style="707"/>
    <col min="769" max="769" width="8.1640625" style="707" customWidth="1"/>
    <col min="770" max="770" width="56.83203125" style="707" customWidth="1"/>
    <col min="771" max="771" width="10.5" style="707" customWidth="1"/>
    <col min="772" max="772" width="12.6640625" style="707" customWidth="1"/>
    <col min="773" max="773" width="10" style="707" customWidth="1"/>
    <col min="774" max="774" width="8.6640625" style="707" bestFit="1" customWidth="1"/>
    <col min="775" max="775" width="7" style="707" bestFit="1" customWidth="1"/>
    <col min="776" max="776" width="7.6640625" style="707" bestFit="1" customWidth="1"/>
    <col min="777" max="777" width="12.33203125" style="707" customWidth="1"/>
    <col min="778" max="778" width="11" style="707" customWidth="1"/>
    <col min="779" max="779" width="8.83203125" style="707" customWidth="1"/>
    <col min="780" max="780" width="0" style="707" hidden="1" customWidth="1"/>
    <col min="781" max="787" width="11.33203125" style="707" customWidth="1"/>
    <col min="788" max="1024" width="11.33203125" style="707"/>
    <col min="1025" max="1025" width="8.1640625" style="707" customWidth="1"/>
    <col min="1026" max="1026" width="56.83203125" style="707" customWidth="1"/>
    <col min="1027" max="1027" width="10.5" style="707" customWidth="1"/>
    <col min="1028" max="1028" width="12.6640625" style="707" customWidth="1"/>
    <col min="1029" max="1029" width="10" style="707" customWidth="1"/>
    <col min="1030" max="1030" width="8.6640625" style="707" bestFit="1" customWidth="1"/>
    <col min="1031" max="1031" width="7" style="707" bestFit="1" customWidth="1"/>
    <col min="1032" max="1032" width="7.6640625" style="707" bestFit="1" customWidth="1"/>
    <col min="1033" max="1033" width="12.33203125" style="707" customWidth="1"/>
    <col min="1034" max="1034" width="11" style="707" customWidth="1"/>
    <col min="1035" max="1035" width="8.83203125" style="707" customWidth="1"/>
    <col min="1036" max="1036" width="0" style="707" hidden="1" customWidth="1"/>
    <col min="1037" max="1043" width="11.33203125" style="707" customWidth="1"/>
    <col min="1044" max="1280" width="11.33203125" style="707"/>
    <col min="1281" max="1281" width="8.1640625" style="707" customWidth="1"/>
    <col min="1282" max="1282" width="56.83203125" style="707" customWidth="1"/>
    <col min="1283" max="1283" width="10.5" style="707" customWidth="1"/>
    <col min="1284" max="1284" width="12.6640625" style="707" customWidth="1"/>
    <col min="1285" max="1285" width="10" style="707" customWidth="1"/>
    <col min="1286" max="1286" width="8.6640625" style="707" bestFit="1" customWidth="1"/>
    <col min="1287" max="1287" width="7" style="707" bestFit="1" customWidth="1"/>
    <col min="1288" max="1288" width="7.6640625" style="707" bestFit="1" customWidth="1"/>
    <col min="1289" max="1289" width="12.33203125" style="707" customWidth="1"/>
    <col min="1290" max="1290" width="11" style="707" customWidth="1"/>
    <col min="1291" max="1291" width="8.83203125" style="707" customWidth="1"/>
    <col min="1292" max="1292" width="0" style="707" hidden="1" customWidth="1"/>
    <col min="1293" max="1299" width="11.33203125" style="707" customWidth="1"/>
    <col min="1300" max="1536" width="11.33203125" style="707"/>
    <col min="1537" max="1537" width="8.1640625" style="707" customWidth="1"/>
    <col min="1538" max="1538" width="56.83203125" style="707" customWidth="1"/>
    <col min="1539" max="1539" width="10.5" style="707" customWidth="1"/>
    <col min="1540" max="1540" width="12.6640625" style="707" customWidth="1"/>
    <col min="1541" max="1541" width="10" style="707" customWidth="1"/>
    <col min="1542" max="1542" width="8.6640625" style="707" bestFit="1" customWidth="1"/>
    <col min="1543" max="1543" width="7" style="707" bestFit="1" customWidth="1"/>
    <col min="1544" max="1544" width="7.6640625" style="707" bestFit="1" customWidth="1"/>
    <col min="1545" max="1545" width="12.33203125" style="707" customWidth="1"/>
    <col min="1546" max="1546" width="11" style="707" customWidth="1"/>
    <col min="1547" max="1547" width="8.83203125" style="707" customWidth="1"/>
    <col min="1548" max="1548" width="0" style="707" hidden="1" customWidth="1"/>
    <col min="1549" max="1555" width="11.33203125" style="707" customWidth="1"/>
    <col min="1556" max="1792" width="11.33203125" style="707"/>
    <col min="1793" max="1793" width="8.1640625" style="707" customWidth="1"/>
    <col min="1794" max="1794" width="56.83203125" style="707" customWidth="1"/>
    <col min="1795" max="1795" width="10.5" style="707" customWidth="1"/>
    <col min="1796" max="1796" width="12.6640625" style="707" customWidth="1"/>
    <col min="1797" max="1797" width="10" style="707" customWidth="1"/>
    <col min="1798" max="1798" width="8.6640625" style="707" bestFit="1" customWidth="1"/>
    <col min="1799" max="1799" width="7" style="707" bestFit="1" customWidth="1"/>
    <col min="1800" max="1800" width="7.6640625" style="707" bestFit="1" customWidth="1"/>
    <col min="1801" max="1801" width="12.33203125" style="707" customWidth="1"/>
    <col min="1802" max="1802" width="11" style="707" customWidth="1"/>
    <col min="1803" max="1803" width="8.83203125" style="707" customWidth="1"/>
    <col min="1804" max="1804" width="0" style="707" hidden="1" customWidth="1"/>
    <col min="1805" max="1811" width="11.33203125" style="707" customWidth="1"/>
    <col min="1812" max="2048" width="11.33203125" style="707"/>
    <col min="2049" max="2049" width="8.1640625" style="707" customWidth="1"/>
    <col min="2050" max="2050" width="56.83203125" style="707" customWidth="1"/>
    <col min="2051" max="2051" width="10.5" style="707" customWidth="1"/>
    <col min="2052" max="2052" width="12.6640625" style="707" customWidth="1"/>
    <col min="2053" max="2053" width="10" style="707" customWidth="1"/>
    <col min="2054" max="2054" width="8.6640625" style="707" bestFit="1" customWidth="1"/>
    <col min="2055" max="2055" width="7" style="707" bestFit="1" customWidth="1"/>
    <col min="2056" max="2056" width="7.6640625" style="707" bestFit="1" customWidth="1"/>
    <col min="2057" max="2057" width="12.33203125" style="707" customWidth="1"/>
    <col min="2058" max="2058" width="11" style="707" customWidth="1"/>
    <col min="2059" max="2059" width="8.83203125" style="707" customWidth="1"/>
    <col min="2060" max="2060" width="0" style="707" hidden="1" customWidth="1"/>
    <col min="2061" max="2067" width="11.33203125" style="707" customWidth="1"/>
    <col min="2068" max="2304" width="11.33203125" style="707"/>
    <col min="2305" max="2305" width="8.1640625" style="707" customWidth="1"/>
    <col min="2306" max="2306" width="56.83203125" style="707" customWidth="1"/>
    <col min="2307" max="2307" width="10.5" style="707" customWidth="1"/>
    <col min="2308" max="2308" width="12.6640625" style="707" customWidth="1"/>
    <col min="2309" max="2309" width="10" style="707" customWidth="1"/>
    <col min="2310" max="2310" width="8.6640625" style="707" bestFit="1" customWidth="1"/>
    <col min="2311" max="2311" width="7" style="707" bestFit="1" customWidth="1"/>
    <col min="2312" max="2312" width="7.6640625" style="707" bestFit="1" customWidth="1"/>
    <col min="2313" max="2313" width="12.33203125" style="707" customWidth="1"/>
    <col min="2314" max="2314" width="11" style="707" customWidth="1"/>
    <col min="2315" max="2315" width="8.83203125" style="707" customWidth="1"/>
    <col min="2316" max="2316" width="0" style="707" hidden="1" customWidth="1"/>
    <col min="2317" max="2323" width="11.33203125" style="707" customWidth="1"/>
    <col min="2324" max="2560" width="11.33203125" style="707"/>
    <col min="2561" max="2561" width="8.1640625" style="707" customWidth="1"/>
    <col min="2562" max="2562" width="56.83203125" style="707" customWidth="1"/>
    <col min="2563" max="2563" width="10.5" style="707" customWidth="1"/>
    <col min="2564" max="2564" width="12.6640625" style="707" customWidth="1"/>
    <col min="2565" max="2565" width="10" style="707" customWidth="1"/>
    <col min="2566" max="2566" width="8.6640625" style="707" bestFit="1" customWidth="1"/>
    <col min="2567" max="2567" width="7" style="707" bestFit="1" customWidth="1"/>
    <col min="2568" max="2568" width="7.6640625" style="707" bestFit="1" customWidth="1"/>
    <col min="2569" max="2569" width="12.33203125" style="707" customWidth="1"/>
    <col min="2570" max="2570" width="11" style="707" customWidth="1"/>
    <col min="2571" max="2571" width="8.83203125" style="707" customWidth="1"/>
    <col min="2572" max="2572" width="0" style="707" hidden="1" customWidth="1"/>
    <col min="2573" max="2579" width="11.33203125" style="707" customWidth="1"/>
    <col min="2580" max="2816" width="11.33203125" style="707"/>
    <col min="2817" max="2817" width="8.1640625" style="707" customWidth="1"/>
    <col min="2818" max="2818" width="56.83203125" style="707" customWidth="1"/>
    <col min="2819" max="2819" width="10.5" style="707" customWidth="1"/>
    <col min="2820" max="2820" width="12.6640625" style="707" customWidth="1"/>
    <col min="2821" max="2821" width="10" style="707" customWidth="1"/>
    <col min="2822" max="2822" width="8.6640625" style="707" bestFit="1" customWidth="1"/>
    <col min="2823" max="2823" width="7" style="707" bestFit="1" customWidth="1"/>
    <col min="2824" max="2824" width="7.6640625" style="707" bestFit="1" customWidth="1"/>
    <col min="2825" max="2825" width="12.33203125" style="707" customWidth="1"/>
    <col min="2826" max="2826" width="11" style="707" customWidth="1"/>
    <col min="2827" max="2827" width="8.83203125" style="707" customWidth="1"/>
    <col min="2828" max="2828" width="0" style="707" hidden="1" customWidth="1"/>
    <col min="2829" max="2835" width="11.33203125" style="707" customWidth="1"/>
    <col min="2836" max="3072" width="11.33203125" style="707"/>
    <col min="3073" max="3073" width="8.1640625" style="707" customWidth="1"/>
    <col min="3074" max="3074" width="56.83203125" style="707" customWidth="1"/>
    <col min="3075" max="3075" width="10.5" style="707" customWidth="1"/>
    <col min="3076" max="3076" width="12.6640625" style="707" customWidth="1"/>
    <col min="3077" max="3077" width="10" style="707" customWidth="1"/>
    <col min="3078" max="3078" width="8.6640625" style="707" bestFit="1" customWidth="1"/>
    <col min="3079" max="3079" width="7" style="707" bestFit="1" customWidth="1"/>
    <col min="3080" max="3080" width="7.6640625" style="707" bestFit="1" customWidth="1"/>
    <col min="3081" max="3081" width="12.33203125" style="707" customWidth="1"/>
    <col min="3082" max="3082" width="11" style="707" customWidth="1"/>
    <col min="3083" max="3083" width="8.83203125" style="707" customWidth="1"/>
    <col min="3084" max="3084" width="0" style="707" hidden="1" customWidth="1"/>
    <col min="3085" max="3091" width="11.33203125" style="707" customWidth="1"/>
    <col min="3092" max="3328" width="11.33203125" style="707"/>
    <col min="3329" max="3329" width="8.1640625" style="707" customWidth="1"/>
    <col min="3330" max="3330" width="56.83203125" style="707" customWidth="1"/>
    <col min="3331" max="3331" width="10.5" style="707" customWidth="1"/>
    <col min="3332" max="3332" width="12.6640625" style="707" customWidth="1"/>
    <col min="3333" max="3333" width="10" style="707" customWidth="1"/>
    <col min="3334" max="3334" width="8.6640625" style="707" bestFit="1" customWidth="1"/>
    <col min="3335" max="3335" width="7" style="707" bestFit="1" customWidth="1"/>
    <col min="3336" max="3336" width="7.6640625" style="707" bestFit="1" customWidth="1"/>
    <col min="3337" max="3337" width="12.33203125" style="707" customWidth="1"/>
    <col min="3338" max="3338" width="11" style="707" customWidth="1"/>
    <col min="3339" max="3339" width="8.83203125" style="707" customWidth="1"/>
    <col min="3340" max="3340" width="0" style="707" hidden="1" customWidth="1"/>
    <col min="3341" max="3347" width="11.33203125" style="707" customWidth="1"/>
    <col min="3348" max="3584" width="11.33203125" style="707"/>
    <col min="3585" max="3585" width="8.1640625" style="707" customWidth="1"/>
    <col min="3586" max="3586" width="56.83203125" style="707" customWidth="1"/>
    <col min="3587" max="3587" width="10.5" style="707" customWidth="1"/>
    <col min="3588" max="3588" width="12.6640625" style="707" customWidth="1"/>
    <col min="3589" max="3589" width="10" style="707" customWidth="1"/>
    <col min="3590" max="3590" width="8.6640625" style="707" bestFit="1" customWidth="1"/>
    <col min="3591" max="3591" width="7" style="707" bestFit="1" customWidth="1"/>
    <col min="3592" max="3592" width="7.6640625" style="707" bestFit="1" customWidth="1"/>
    <col min="3593" max="3593" width="12.33203125" style="707" customWidth="1"/>
    <col min="3594" max="3594" width="11" style="707" customWidth="1"/>
    <col min="3595" max="3595" width="8.83203125" style="707" customWidth="1"/>
    <col min="3596" max="3596" width="0" style="707" hidden="1" customWidth="1"/>
    <col min="3597" max="3603" width="11.33203125" style="707" customWidth="1"/>
    <col min="3604" max="3840" width="11.33203125" style="707"/>
    <col min="3841" max="3841" width="8.1640625" style="707" customWidth="1"/>
    <col min="3842" max="3842" width="56.83203125" style="707" customWidth="1"/>
    <col min="3843" max="3843" width="10.5" style="707" customWidth="1"/>
    <col min="3844" max="3844" width="12.6640625" style="707" customWidth="1"/>
    <col min="3845" max="3845" width="10" style="707" customWidth="1"/>
    <col min="3846" max="3846" width="8.6640625" style="707" bestFit="1" customWidth="1"/>
    <col min="3847" max="3847" width="7" style="707" bestFit="1" customWidth="1"/>
    <col min="3848" max="3848" width="7.6640625" style="707" bestFit="1" customWidth="1"/>
    <col min="3849" max="3849" width="12.33203125" style="707" customWidth="1"/>
    <col min="3850" max="3850" width="11" style="707" customWidth="1"/>
    <col min="3851" max="3851" width="8.83203125" style="707" customWidth="1"/>
    <col min="3852" max="3852" width="0" style="707" hidden="1" customWidth="1"/>
    <col min="3853" max="3859" width="11.33203125" style="707" customWidth="1"/>
    <col min="3860" max="4096" width="11.33203125" style="707"/>
    <col min="4097" max="4097" width="8.1640625" style="707" customWidth="1"/>
    <col min="4098" max="4098" width="56.83203125" style="707" customWidth="1"/>
    <col min="4099" max="4099" width="10.5" style="707" customWidth="1"/>
    <col min="4100" max="4100" width="12.6640625" style="707" customWidth="1"/>
    <col min="4101" max="4101" width="10" style="707" customWidth="1"/>
    <col min="4102" max="4102" width="8.6640625" style="707" bestFit="1" customWidth="1"/>
    <col min="4103" max="4103" width="7" style="707" bestFit="1" customWidth="1"/>
    <col min="4104" max="4104" width="7.6640625" style="707" bestFit="1" customWidth="1"/>
    <col min="4105" max="4105" width="12.33203125" style="707" customWidth="1"/>
    <col min="4106" max="4106" width="11" style="707" customWidth="1"/>
    <col min="4107" max="4107" width="8.83203125" style="707" customWidth="1"/>
    <col min="4108" max="4108" width="0" style="707" hidden="1" customWidth="1"/>
    <col min="4109" max="4115" width="11.33203125" style="707" customWidth="1"/>
    <col min="4116" max="4352" width="11.33203125" style="707"/>
    <col min="4353" max="4353" width="8.1640625" style="707" customWidth="1"/>
    <col min="4354" max="4354" width="56.83203125" style="707" customWidth="1"/>
    <col min="4355" max="4355" width="10.5" style="707" customWidth="1"/>
    <col min="4356" max="4356" width="12.6640625" style="707" customWidth="1"/>
    <col min="4357" max="4357" width="10" style="707" customWidth="1"/>
    <col min="4358" max="4358" width="8.6640625" style="707" bestFit="1" customWidth="1"/>
    <col min="4359" max="4359" width="7" style="707" bestFit="1" customWidth="1"/>
    <col min="4360" max="4360" width="7.6640625" style="707" bestFit="1" customWidth="1"/>
    <col min="4361" max="4361" width="12.33203125" style="707" customWidth="1"/>
    <col min="4362" max="4362" width="11" style="707" customWidth="1"/>
    <col min="4363" max="4363" width="8.83203125" style="707" customWidth="1"/>
    <col min="4364" max="4364" width="0" style="707" hidden="1" customWidth="1"/>
    <col min="4365" max="4371" width="11.33203125" style="707" customWidth="1"/>
    <col min="4372" max="4608" width="11.33203125" style="707"/>
    <col min="4609" max="4609" width="8.1640625" style="707" customWidth="1"/>
    <col min="4610" max="4610" width="56.83203125" style="707" customWidth="1"/>
    <col min="4611" max="4611" width="10.5" style="707" customWidth="1"/>
    <col min="4612" max="4612" width="12.6640625" style="707" customWidth="1"/>
    <col min="4613" max="4613" width="10" style="707" customWidth="1"/>
    <col min="4614" max="4614" width="8.6640625" style="707" bestFit="1" customWidth="1"/>
    <col min="4615" max="4615" width="7" style="707" bestFit="1" customWidth="1"/>
    <col min="4616" max="4616" width="7.6640625" style="707" bestFit="1" customWidth="1"/>
    <col min="4617" max="4617" width="12.33203125" style="707" customWidth="1"/>
    <col min="4618" max="4618" width="11" style="707" customWidth="1"/>
    <col min="4619" max="4619" width="8.83203125" style="707" customWidth="1"/>
    <col min="4620" max="4620" width="0" style="707" hidden="1" customWidth="1"/>
    <col min="4621" max="4627" width="11.33203125" style="707" customWidth="1"/>
    <col min="4628" max="4864" width="11.33203125" style="707"/>
    <col min="4865" max="4865" width="8.1640625" style="707" customWidth="1"/>
    <col min="4866" max="4866" width="56.83203125" style="707" customWidth="1"/>
    <col min="4867" max="4867" width="10.5" style="707" customWidth="1"/>
    <col min="4868" max="4868" width="12.6640625" style="707" customWidth="1"/>
    <col min="4869" max="4869" width="10" style="707" customWidth="1"/>
    <col min="4870" max="4870" width="8.6640625" style="707" bestFit="1" customWidth="1"/>
    <col min="4871" max="4871" width="7" style="707" bestFit="1" customWidth="1"/>
    <col min="4872" max="4872" width="7.6640625" style="707" bestFit="1" customWidth="1"/>
    <col min="4873" max="4873" width="12.33203125" style="707" customWidth="1"/>
    <col min="4874" max="4874" width="11" style="707" customWidth="1"/>
    <col min="4875" max="4875" width="8.83203125" style="707" customWidth="1"/>
    <col min="4876" max="4876" width="0" style="707" hidden="1" customWidth="1"/>
    <col min="4877" max="4883" width="11.33203125" style="707" customWidth="1"/>
    <col min="4884" max="5120" width="11.33203125" style="707"/>
    <col min="5121" max="5121" width="8.1640625" style="707" customWidth="1"/>
    <col min="5122" max="5122" width="56.83203125" style="707" customWidth="1"/>
    <col min="5123" max="5123" width="10.5" style="707" customWidth="1"/>
    <col min="5124" max="5124" width="12.6640625" style="707" customWidth="1"/>
    <col min="5125" max="5125" width="10" style="707" customWidth="1"/>
    <col min="5126" max="5126" width="8.6640625" style="707" bestFit="1" customWidth="1"/>
    <col min="5127" max="5127" width="7" style="707" bestFit="1" customWidth="1"/>
    <col min="5128" max="5128" width="7.6640625" style="707" bestFit="1" customWidth="1"/>
    <col min="5129" max="5129" width="12.33203125" style="707" customWidth="1"/>
    <col min="5130" max="5130" width="11" style="707" customWidth="1"/>
    <col min="5131" max="5131" width="8.83203125" style="707" customWidth="1"/>
    <col min="5132" max="5132" width="0" style="707" hidden="1" customWidth="1"/>
    <col min="5133" max="5139" width="11.33203125" style="707" customWidth="1"/>
    <col min="5140" max="5376" width="11.33203125" style="707"/>
    <col min="5377" max="5377" width="8.1640625" style="707" customWidth="1"/>
    <col min="5378" max="5378" width="56.83203125" style="707" customWidth="1"/>
    <col min="5379" max="5379" width="10.5" style="707" customWidth="1"/>
    <col min="5380" max="5380" width="12.6640625" style="707" customWidth="1"/>
    <col min="5381" max="5381" width="10" style="707" customWidth="1"/>
    <col min="5382" max="5382" width="8.6640625" style="707" bestFit="1" customWidth="1"/>
    <col min="5383" max="5383" width="7" style="707" bestFit="1" customWidth="1"/>
    <col min="5384" max="5384" width="7.6640625" style="707" bestFit="1" customWidth="1"/>
    <col min="5385" max="5385" width="12.33203125" style="707" customWidth="1"/>
    <col min="5386" max="5386" width="11" style="707" customWidth="1"/>
    <col min="5387" max="5387" width="8.83203125" style="707" customWidth="1"/>
    <col min="5388" max="5388" width="0" style="707" hidden="1" customWidth="1"/>
    <col min="5389" max="5395" width="11.33203125" style="707" customWidth="1"/>
    <col min="5396" max="5632" width="11.33203125" style="707"/>
    <col min="5633" max="5633" width="8.1640625" style="707" customWidth="1"/>
    <col min="5634" max="5634" width="56.83203125" style="707" customWidth="1"/>
    <col min="5635" max="5635" width="10.5" style="707" customWidth="1"/>
    <col min="5636" max="5636" width="12.6640625" style="707" customWidth="1"/>
    <col min="5637" max="5637" width="10" style="707" customWidth="1"/>
    <col min="5638" max="5638" width="8.6640625" style="707" bestFit="1" customWidth="1"/>
    <col min="5639" max="5639" width="7" style="707" bestFit="1" customWidth="1"/>
    <col min="5640" max="5640" width="7.6640625" style="707" bestFit="1" customWidth="1"/>
    <col min="5641" max="5641" width="12.33203125" style="707" customWidth="1"/>
    <col min="5642" max="5642" width="11" style="707" customWidth="1"/>
    <col min="5643" max="5643" width="8.83203125" style="707" customWidth="1"/>
    <col min="5644" max="5644" width="0" style="707" hidden="1" customWidth="1"/>
    <col min="5645" max="5651" width="11.33203125" style="707" customWidth="1"/>
    <col min="5652" max="5888" width="11.33203125" style="707"/>
    <col min="5889" max="5889" width="8.1640625" style="707" customWidth="1"/>
    <col min="5890" max="5890" width="56.83203125" style="707" customWidth="1"/>
    <col min="5891" max="5891" width="10.5" style="707" customWidth="1"/>
    <col min="5892" max="5892" width="12.6640625" style="707" customWidth="1"/>
    <col min="5893" max="5893" width="10" style="707" customWidth="1"/>
    <col min="5894" max="5894" width="8.6640625" style="707" bestFit="1" customWidth="1"/>
    <col min="5895" max="5895" width="7" style="707" bestFit="1" customWidth="1"/>
    <col min="5896" max="5896" width="7.6640625" style="707" bestFit="1" customWidth="1"/>
    <col min="5897" max="5897" width="12.33203125" style="707" customWidth="1"/>
    <col min="5898" max="5898" width="11" style="707" customWidth="1"/>
    <col min="5899" max="5899" width="8.83203125" style="707" customWidth="1"/>
    <col min="5900" max="5900" width="0" style="707" hidden="1" customWidth="1"/>
    <col min="5901" max="5907" width="11.33203125" style="707" customWidth="1"/>
    <col min="5908" max="6144" width="11.33203125" style="707"/>
    <col min="6145" max="6145" width="8.1640625" style="707" customWidth="1"/>
    <col min="6146" max="6146" width="56.83203125" style="707" customWidth="1"/>
    <col min="6147" max="6147" width="10.5" style="707" customWidth="1"/>
    <col min="6148" max="6148" width="12.6640625" style="707" customWidth="1"/>
    <col min="6149" max="6149" width="10" style="707" customWidth="1"/>
    <col min="6150" max="6150" width="8.6640625" style="707" bestFit="1" customWidth="1"/>
    <col min="6151" max="6151" width="7" style="707" bestFit="1" customWidth="1"/>
    <col min="6152" max="6152" width="7.6640625" style="707" bestFit="1" customWidth="1"/>
    <col min="6153" max="6153" width="12.33203125" style="707" customWidth="1"/>
    <col min="6154" max="6154" width="11" style="707" customWidth="1"/>
    <col min="6155" max="6155" width="8.83203125" style="707" customWidth="1"/>
    <col min="6156" max="6156" width="0" style="707" hidden="1" customWidth="1"/>
    <col min="6157" max="6163" width="11.33203125" style="707" customWidth="1"/>
    <col min="6164" max="6400" width="11.33203125" style="707"/>
    <col min="6401" max="6401" width="8.1640625" style="707" customWidth="1"/>
    <col min="6402" max="6402" width="56.83203125" style="707" customWidth="1"/>
    <col min="6403" max="6403" width="10.5" style="707" customWidth="1"/>
    <col min="6404" max="6404" width="12.6640625" style="707" customWidth="1"/>
    <col min="6405" max="6405" width="10" style="707" customWidth="1"/>
    <col min="6406" max="6406" width="8.6640625" style="707" bestFit="1" customWidth="1"/>
    <col min="6407" max="6407" width="7" style="707" bestFit="1" customWidth="1"/>
    <col min="6408" max="6408" width="7.6640625" style="707" bestFit="1" customWidth="1"/>
    <col min="6409" max="6409" width="12.33203125" style="707" customWidth="1"/>
    <col min="6410" max="6410" width="11" style="707" customWidth="1"/>
    <col min="6411" max="6411" width="8.83203125" style="707" customWidth="1"/>
    <col min="6412" max="6412" width="0" style="707" hidden="1" customWidth="1"/>
    <col min="6413" max="6419" width="11.33203125" style="707" customWidth="1"/>
    <col min="6420" max="6656" width="11.33203125" style="707"/>
    <col min="6657" max="6657" width="8.1640625" style="707" customWidth="1"/>
    <col min="6658" max="6658" width="56.83203125" style="707" customWidth="1"/>
    <col min="6659" max="6659" width="10.5" style="707" customWidth="1"/>
    <col min="6660" max="6660" width="12.6640625" style="707" customWidth="1"/>
    <col min="6661" max="6661" width="10" style="707" customWidth="1"/>
    <col min="6662" max="6662" width="8.6640625" style="707" bestFit="1" customWidth="1"/>
    <col min="6663" max="6663" width="7" style="707" bestFit="1" customWidth="1"/>
    <col min="6664" max="6664" width="7.6640625" style="707" bestFit="1" customWidth="1"/>
    <col min="6665" max="6665" width="12.33203125" style="707" customWidth="1"/>
    <col min="6666" max="6666" width="11" style="707" customWidth="1"/>
    <col min="6667" max="6667" width="8.83203125" style="707" customWidth="1"/>
    <col min="6668" max="6668" width="0" style="707" hidden="1" customWidth="1"/>
    <col min="6669" max="6675" width="11.33203125" style="707" customWidth="1"/>
    <col min="6676" max="6912" width="11.33203125" style="707"/>
    <col min="6913" max="6913" width="8.1640625" style="707" customWidth="1"/>
    <col min="6914" max="6914" width="56.83203125" style="707" customWidth="1"/>
    <col min="6915" max="6915" width="10.5" style="707" customWidth="1"/>
    <col min="6916" max="6916" width="12.6640625" style="707" customWidth="1"/>
    <col min="6917" max="6917" width="10" style="707" customWidth="1"/>
    <col min="6918" max="6918" width="8.6640625" style="707" bestFit="1" customWidth="1"/>
    <col min="6919" max="6919" width="7" style="707" bestFit="1" customWidth="1"/>
    <col min="6920" max="6920" width="7.6640625" style="707" bestFit="1" customWidth="1"/>
    <col min="6921" max="6921" width="12.33203125" style="707" customWidth="1"/>
    <col min="6922" max="6922" width="11" style="707" customWidth="1"/>
    <col min="6923" max="6923" width="8.83203125" style="707" customWidth="1"/>
    <col min="6924" max="6924" width="0" style="707" hidden="1" customWidth="1"/>
    <col min="6925" max="6931" width="11.33203125" style="707" customWidth="1"/>
    <col min="6932" max="7168" width="11.33203125" style="707"/>
    <col min="7169" max="7169" width="8.1640625" style="707" customWidth="1"/>
    <col min="7170" max="7170" width="56.83203125" style="707" customWidth="1"/>
    <col min="7171" max="7171" width="10.5" style="707" customWidth="1"/>
    <col min="7172" max="7172" width="12.6640625" style="707" customWidth="1"/>
    <col min="7173" max="7173" width="10" style="707" customWidth="1"/>
    <col min="7174" max="7174" width="8.6640625" style="707" bestFit="1" customWidth="1"/>
    <col min="7175" max="7175" width="7" style="707" bestFit="1" customWidth="1"/>
    <col min="7176" max="7176" width="7.6640625" style="707" bestFit="1" customWidth="1"/>
    <col min="7177" max="7177" width="12.33203125" style="707" customWidth="1"/>
    <col min="7178" max="7178" width="11" style="707" customWidth="1"/>
    <col min="7179" max="7179" width="8.83203125" style="707" customWidth="1"/>
    <col min="7180" max="7180" width="0" style="707" hidden="1" customWidth="1"/>
    <col min="7181" max="7187" width="11.33203125" style="707" customWidth="1"/>
    <col min="7188" max="7424" width="11.33203125" style="707"/>
    <col min="7425" max="7425" width="8.1640625" style="707" customWidth="1"/>
    <col min="7426" max="7426" width="56.83203125" style="707" customWidth="1"/>
    <col min="7427" max="7427" width="10.5" style="707" customWidth="1"/>
    <col min="7428" max="7428" width="12.6640625" style="707" customWidth="1"/>
    <col min="7429" max="7429" width="10" style="707" customWidth="1"/>
    <col min="7430" max="7430" width="8.6640625" style="707" bestFit="1" customWidth="1"/>
    <col min="7431" max="7431" width="7" style="707" bestFit="1" customWidth="1"/>
    <col min="7432" max="7432" width="7.6640625" style="707" bestFit="1" customWidth="1"/>
    <col min="7433" max="7433" width="12.33203125" style="707" customWidth="1"/>
    <col min="7434" max="7434" width="11" style="707" customWidth="1"/>
    <col min="7435" max="7435" width="8.83203125" style="707" customWidth="1"/>
    <col min="7436" max="7436" width="0" style="707" hidden="1" customWidth="1"/>
    <col min="7437" max="7443" width="11.33203125" style="707" customWidth="1"/>
    <col min="7444" max="7680" width="11.33203125" style="707"/>
    <col min="7681" max="7681" width="8.1640625" style="707" customWidth="1"/>
    <col min="7682" max="7682" width="56.83203125" style="707" customWidth="1"/>
    <col min="7683" max="7683" width="10.5" style="707" customWidth="1"/>
    <col min="7684" max="7684" width="12.6640625" style="707" customWidth="1"/>
    <col min="7685" max="7685" width="10" style="707" customWidth="1"/>
    <col min="7686" max="7686" width="8.6640625" style="707" bestFit="1" customWidth="1"/>
    <col min="7687" max="7687" width="7" style="707" bestFit="1" customWidth="1"/>
    <col min="7688" max="7688" width="7.6640625" style="707" bestFit="1" customWidth="1"/>
    <col min="7689" max="7689" width="12.33203125" style="707" customWidth="1"/>
    <col min="7690" max="7690" width="11" style="707" customWidth="1"/>
    <col min="7691" max="7691" width="8.83203125" style="707" customWidth="1"/>
    <col min="7692" max="7692" width="0" style="707" hidden="1" customWidth="1"/>
    <col min="7693" max="7699" width="11.33203125" style="707" customWidth="1"/>
    <col min="7700" max="7936" width="11.33203125" style="707"/>
    <col min="7937" max="7937" width="8.1640625" style="707" customWidth="1"/>
    <col min="7938" max="7938" width="56.83203125" style="707" customWidth="1"/>
    <col min="7939" max="7939" width="10.5" style="707" customWidth="1"/>
    <col min="7940" max="7940" width="12.6640625" style="707" customWidth="1"/>
    <col min="7941" max="7941" width="10" style="707" customWidth="1"/>
    <col min="7942" max="7942" width="8.6640625" style="707" bestFit="1" customWidth="1"/>
    <col min="7943" max="7943" width="7" style="707" bestFit="1" customWidth="1"/>
    <col min="7944" max="7944" width="7.6640625" style="707" bestFit="1" customWidth="1"/>
    <col min="7945" max="7945" width="12.33203125" style="707" customWidth="1"/>
    <col min="7946" max="7946" width="11" style="707" customWidth="1"/>
    <col min="7947" max="7947" width="8.83203125" style="707" customWidth="1"/>
    <col min="7948" max="7948" width="0" style="707" hidden="1" customWidth="1"/>
    <col min="7949" max="7955" width="11.33203125" style="707" customWidth="1"/>
    <col min="7956" max="8192" width="11.33203125" style="707"/>
    <col min="8193" max="8193" width="8.1640625" style="707" customWidth="1"/>
    <col min="8194" max="8194" width="56.83203125" style="707" customWidth="1"/>
    <col min="8195" max="8195" width="10.5" style="707" customWidth="1"/>
    <col min="8196" max="8196" width="12.6640625" style="707" customWidth="1"/>
    <col min="8197" max="8197" width="10" style="707" customWidth="1"/>
    <col min="8198" max="8198" width="8.6640625" style="707" bestFit="1" customWidth="1"/>
    <col min="8199" max="8199" width="7" style="707" bestFit="1" customWidth="1"/>
    <col min="8200" max="8200" width="7.6640625" style="707" bestFit="1" customWidth="1"/>
    <col min="8201" max="8201" width="12.33203125" style="707" customWidth="1"/>
    <col min="8202" max="8202" width="11" style="707" customWidth="1"/>
    <col min="8203" max="8203" width="8.83203125" style="707" customWidth="1"/>
    <col min="8204" max="8204" width="0" style="707" hidden="1" customWidth="1"/>
    <col min="8205" max="8211" width="11.33203125" style="707" customWidth="1"/>
    <col min="8212" max="8448" width="11.33203125" style="707"/>
    <col min="8449" max="8449" width="8.1640625" style="707" customWidth="1"/>
    <col min="8450" max="8450" width="56.83203125" style="707" customWidth="1"/>
    <col min="8451" max="8451" width="10.5" style="707" customWidth="1"/>
    <col min="8452" max="8452" width="12.6640625" style="707" customWidth="1"/>
    <col min="8453" max="8453" width="10" style="707" customWidth="1"/>
    <col min="8454" max="8454" width="8.6640625" style="707" bestFit="1" customWidth="1"/>
    <col min="8455" max="8455" width="7" style="707" bestFit="1" customWidth="1"/>
    <col min="8456" max="8456" width="7.6640625" style="707" bestFit="1" customWidth="1"/>
    <col min="8457" max="8457" width="12.33203125" style="707" customWidth="1"/>
    <col min="8458" max="8458" width="11" style="707" customWidth="1"/>
    <col min="8459" max="8459" width="8.83203125" style="707" customWidth="1"/>
    <col min="8460" max="8460" width="0" style="707" hidden="1" customWidth="1"/>
    <col min="8461" max="8467" width="11.33203125" style="707" customWidth="1"/>
    <col min="8468" max="8704" width="11.33203125" style="707"/>
    <col min="8705" max="8705" width="8.1640625" style="707" customWidth="1"/>
    <col min="8706" max="8706" width="56.83203125" style="707" customWidth="1"/>
    <col min="8707" max="8707" width="10.5" style="707" customWidth="1"/>
    <col min="8708" max="8708" width="12.6640625" style="707" customWidth="1"/>
    <col min="8709" max="8709" width="10" style="707" customWidth="1"/>
    <col min="8710" max="8710" width="8.6640625" style="707" bestFit="1" customWidth="1"/>
    <col min="8711" max="8711" width="7" style="707" bestFit="1" customWidth="1"/>
    <col min="8712" max="8712" width="7.6640625" style="707" bestFit="1" customWidth="1"/>
    <col min="8713" max="8713" width="12.33203125" style="707" customWidth="1"/>
    <col min="8714" max="8714" width="11" style="707" customWidth="1"/>
    <col min="8715" max="8715" width="8.83203125" style="707" customWidth="1"/>
    <col min="8716" max="8716" width="0" style="707" hidden="1" customWidth="1"/>
    <col min="8717" max="8723" width="11.33203125" style="707" customWidth="1"/>
    <col min="8724" max="8960" width="11.33203125" style="707"/>
    <col min="8961" max="8961" width="8.1640625" style="707" customWidth="1"/>
    <col min="8962" max="8962" width="56.83203125" style="707" customWidth="1"/>
    <col min="8963" max="8963" width="10.5" style="707" customWidth="1"/>
    <col min="8964" max="8964" width="12.6640625" style="707" customWidth="1"/>
    <col min="8965" max="8965" width="10" style="707" customWidth="1"/>
    <col min="8966" max="8966" width="8.6640625" style="707" bestFit="1" customWidth="1"/>
    <col min="8967" max="8967" width="7" style="707" bestFit="1" customWidth="1"/>
    <col min="8968" max="8968" width="7.6640625" style="707" bestFit="1" customWidth="1"/>
    <col min="8969" max="8969" width="12.33203125" style="707" customWidth="1"/>
    <col min="8970" max="8970" width="11" style="707" customWidth="1"/>
    <col min="8971" max="8971" width="8.83203125" style="707" customWidth="1"/>
    <col min="8972" max="8972" width="0" style="707" hidden="1" customWidth="1"/>
    <col min="8973" max="8979" width="11.33203125" style="707" customWidth="1"/>
    <col min="8980" max="9216" width="11.33203125" style="707"/>
    <col min="9217" max="9217" width="8.1640625" style="707" customWidth="1"/>
    <col min="9218" max="9218" width="56.83203125" style="707" customWidth="1"/>
    <col min="9219" max="9219" width="10.5" style="707" customWidth="1"/>
    <col min="9220" max="9220" width="12.6640625" style="707" customWidth="1"/>
    <col min="9221" max="9221" width="10" style="707" customWidth="1"/>
    <col min="9222" max="9222" width="8.6640625" style="707" bestFit="1" customWidth="1"/>
    <col min="9223" max="9223" width="7" style="707" bestFit="1" customWidth="1"/>
    <col min="9224" max="9224" width="7.6640625" style="707" bestFit="1" customWidth="1"/>
    <col min="9225" max="9225" width="12.33203125" style="707" customWidth="1"/>
    <col min="9226" max="9226" width="11" style="707" customWidth="1"/>
    <col min="9227" max="9227" width="8.83203125" style="707" customWidth="1"/>
    <col min="9228" max="9228" width="0" style="707" hidden="1" customWidth="1"/>
    <col min="9229" max="9235" width="11.33203125" style="707" customWidth="1"/>
    <col min="9236" max="9472" width="11.33203125" style="707"/>
    <col min="9473" max="9473" width="8.1640625" style="707" customWidth="1"/>
    <col min="9474" max="9474" width="56.83203125" style="707" customWidth="1"/>
    <col min="9475" max="9475" width="10.5" style="707" customWidth="1"/>
    <col min="9476" max="9476" width="12.6640625" style="707" customWidth="1"/>
    <col min="9477" max="9477" width="10" style="707" customWidth="1"/>
    <col min="9478" max="9478" width="8.6640625" style="707" bestFit="1" customWidth="1"/>
    <col min="9479" max="9479" width="7" style="707" bestFit="1" customWidth="1"/>
    <col min="9480" max="9480" width="7.6640625" style="707" bestFit="1" customWidth="1"/>
    <col min="9481" max="9481" width="12.33203125" style="707" customWidth="1"/>
    <col min="9482" max="9482" width="11" style="707" customWidth="1"/>
    <col min="9483" max="9483" width="8.83203125" style="707" customWidth="1"/>
    <col min="9484" max="9484" width="0" style="707" hidden="1" customWidth="1"/>
    <col min="9485" max="9491" width="11.33203125" style="707" customWidth="1"/>
    <col min="9492" max="9728" width="11.33203125" style="707"/>
    <col min="9729" max="9729" width="8.1640625" style="707" customWidth="1"/>
    <col min="9730" max="9730" width="56.83203125" style="707" customWidth="1"/>
    <col min="9731" max="9731" width="10.5" style="707" customWidth="1"/>
    <col min="9732" max="9732" width="12.6640625" style="707" customWidth="1"/>
    <col min="9733" max="9733" width="10" style="707" customWidth="1"/>
    <col min="9734" max="9734" width="8.6640625" style="707" bestFit="1" customWidth="1"/>
    <col min="9735" max="9735" width="7" style="707" bestFit="1" customWidth="1"/>
    <col min="9736" max="9736" width="7.6640625" style="707" bestFit="1" customWidth="1"/>
    <col min="9737" max="9737" width="12.33203125" style="707" customWidth="1"/>
    <col min="9738" max="9738" width="11" style="707" customWidth="1"/>
    <col min="9739" max="9739" width="8.83203125" style="707" customWidth="1"/>
    <col min="9740" max="9740" width="0" style="707" hidden="1" customWidth="1"/>
    <col min="9741" max="9747" width="11.33203125" style="707" customWidth="1"/>
    <col min="9748" max="9984" width="11.33203125" style="707"/>
    <col min="9985" max="9985" width="8.1640625" style="707" customWidth="1"/>
    <col min="9986" max="9986" width="56.83203125" style="707" customWidth="1"/>
    <col min="9987" max="9987" width="10.5" style="707" customWidth="1"/>
    <col min="9988" max="9988" width="12.6640625" style="707" customWidth="1"/>
    <col min="9989" max="9989" width="10" style="707" customWidth="1"/>
    <col min="9990" max="9990" width="8.6640625" style="707" bestFit="1" customWidth="1"/>
    <col min="9991" max="9991" width="7" style="707" bestFit="1" customWidth="1"/>
    <col min="9992" max="9992" width="7.6640625" style="707" bestFit="1" customWidth="1"/>
    <col min="9993" max="9993" width="12.33203125" style="707" customWidth="1"/>
    <col min="9994" max="9994" width="11" style="707" customWidth="1"/>
    <col min="9995" max="9995" width="8.83203125" style="707" customWidth="1"/>
    <col min="9996" max="9996" width="0" style="707" hidden="1" customWidth="1"/>
    <col min="9997" max="10003" width="11.33203125" style="707" customWidth="1"/>
    <col min="10004" max="10240" width="11.33203125" style="707"/>
    <col min="10241" max="10241" width="8.1640625" style="707" customWidth="1"/>
    <col min="10242" max="10242" width="56.83203125" style="707" customWidth="1"/>
    <col min="10243" max="10243" width="10.5" style="707" customWidth="1"/>
    <col min="10244" max="10244" width="12.6640625" style="707" customWidth="1"/>
    <col min="10245" max="10245" width="10" style="707" customWidth="1"/>
    <col min="10246" max="10246" width="8.6640625" style="707" bestFit="1" customWidth="1"/>
    <col min="10247" max="10247" width="7" style="707" bestFit="1" customWidth="1"/>
    <col min="10248" max="10248" width="7.6640625" style="707" bestFit="1" customWidth="1"/>
    <col min="10249" max="10249" width="12.33203125" style="707" customWidth="1"/>
    <col min="10250" max="10250" width="11" style="707" customWidth="1"/>
    <col min="10251" max="10251" width="8.83203125" style="707" customWidth="1"/>
    <col min="10252" max="10252" width="0" style="707" hidden="1" customWidth="1"/>
    <col min="10253" max="10259" width="11.33203125" style="707" customWidth="1"/>
    <col min="10260" max="10496" width="11.33203125" style="707"/>
    <col min="10497" max="10497" width="8.1640625" style="707" customWidth="1"/>
    <col min="10498" max="10498" width="56.83203125" style="707" customWidth="1"/>
    <col min="10499" max="10499" width="10.5" style="707" customWidth="1"/>
    <col min="10500" max="10500" width="12.6640625" style="707" customWidth="1"/>
    <col min="10501" max="10501" width="10" style="707" customWidth="1"/>
    <col min="10502" max="10502" width="8.6640625" style="707" bestFit="1" customWidth="1"/>
    <col min="10503" max="10503" width="7" style="707" bestFit="1" customWidth="1"/>
    <col min="10504" max="10504" width="7.6640625" style="707" bestFit="1" customWidth="1"/>
    <col min="10505" max="10505" width="12.33203125" style="707" customWidth="1"/>
    <col min="10506" max="10506" width="11" style="707" customWidth="1"/>
    <col min="10507" max="10507" width="8.83203125" style="707" customWidth="1"/>
    <col min="10508" max="10508" width="0" style="707" hidden="1" customWidth="1"/>
    <col min="10509" max="10515" width="11.33203125" style="707" customWidth="1"/>
    <col min="10516" max="10752" width="11.33203125" style="707"/>
    <col min="10753" max="10753" width="8.1640625" style="707" customWidth="1"/>
    <col min="10754" max="10754" width="56.83203125" style="707" customWidth="1"/>
    <col min="10755" max="10755" width="10.5" style="707" customWidth="1"/>
    <col min="10756" max="10756" width="12.6640625" style="707" customWidth="1"/>
    <col min="10757" max="10757" width="10" style="707" customWidth="1"/>
    <col min="10758" max="10758" width="8.6640625" style="707" bestFit="1" customWidth="1"/>
    <col min="10759" max="10759" width="7" style="707" bestFit="1" customWidth="1"/>
    <col min="10760" max="10760" width="7.6640625" style="707" bestFit="1" customWidth="1"/>
    <col min="10761" max="10761" width="12.33203125" style="707" customWidth="1"/>
    <col min="10762" max="10762" width="11" style="707" customWidth="1"/>
    <col min="10763" max="10763" width="8.83203125" style="707" customWidth="1"/>
    <col min="10764" max="10764" width="0" style="707" hidden="1" customWidth="1"/>
    <col min="10765" max="10771" width="11.33203125" style="707" customWidth="1"/>
    <col min="10772" max="11008" width="11.33203125" style="707"/>
    <col min="11009" max="11009" width="8.1640625" style="707" customWidth="1"/>
    <col min="11010" max="11010" width="56.83203125" style="707" customWidth="1"/>
    <col min="11011" max="11011" width="10.5" style="707" customWidth="1"/>
    <col min="11012" max="11012" width="12.6640625" style="707" customWidth="1"/>
    <col min="11013" max="11013" width="10" style="707" customWidth="1"/>
    <col min="11014" max="11014" width="8.6640625" style="707" bestFit="1" customWidth="1"/>
    <col min="11015" max="11015" width="7" style="707" bestFit="1" customWidth="1"/>
    <col min="11016" max="11016" width="7.6640625" style="707" bestFit="1" customWidth="1"/>
    <col min="11017" max="11017" width="12.33203125" style="707" customWidth="1"/>
    <col min="11018" max="11018" width="11" style="707" customWidth="1"/>
    <col min="11019" max="11019" width="8.83203125" style="707" customWidth="1"/>
    <col min="11020" max="11020" width="0" style="707" hidden="1" customWidth="1"/>
    <col min="11021" max="11027" width="11.33203125" style="707" customWidth="1"/>
    <col min="11028" max="11264" width="11.33203125" style="707"/>
    <col min="11265" max="11265" width="8.1640625" style="707" customWidth="1"/>
    <col min="11266" max="11266" width="56.83203125" style="707" customWidth="1"/>
    <col min="11267" max="11267" width="10.5" style="707" customWidth="1"/>
    <col min="11268" max="11268" width="12.6640625" style="707" customWidth="1"/>
    <col min="11269" max="11269" width="10" style="707" customWidth="1"/>
    <col min="11270" max="11270" width="8.6640625" style="707" bestFit="1" customWidth="1"/>
    <col min="11271" max="11271" width="7" style="707" bestFit="1" customWidth="1"/>
    <col min="11272" max="11272" width="7.6640625" style="707" bestFit="1" customWidth="1"/>
    <col min="11273" max="11273" width="12.33203125" style="707" customWidth="1"/>
    <col min="11274" max="11274" width="11" style="707" customWidth="1"/>
    <col min="11275" max="11275" width="8.83203125" style="707" customWidth="1"/>
    <col min="11276" max="11276" width="0" style="707" hidden="1" customWidth="1"/>
    <col min="11277" max="11283" width="11.33203125" style="707" customWidth="1"/>
    <col min="11284" max="11520" width="11.33203125" style="707"/>
    <col min="11521" max="11521" width="8.1640625" style="707" customWidth="1"/>
    <col min="11522" max="11522" width="56.83203125" style="707" customWidth="1"/>
    <col min="11523" max="11523" width="10.5" style="707" customWidth="1"/>
    <col min="11524" max="11524" width="12.6640625" style="707" customWidth="1"/>
    <col min="11525" max="11525" width="10" style="707" customWidth="1"/>
    <col min="11526" max="11526" width="8.6640625" style="707" bestFit="1" customWidth="1"/>
    <col min="11527" max="11527" width="7" style="707" bestFit="1" customWidth="1"/>
    <col min="11528" max="11528" width="7.6640625" style="707" bestFit="1" customWidth="1"/>
    <col min="11529" max="11529" width="12.33203125" style="707" customWidth="1"/>
    <col min="11530" max="11530" width="11" style="707" customWidth="1"/>
    <col min="11531" max="11531" width="8.83203125" style="707" customWidth="1"/>
    <col min="11532" max="11532" width="0" style="707" hidden="1" customWidth="1"/>
    <col min="11533" max="11539" width="11.33203125" style="707" customWidth="1"/>
    <col min="11540" max="11776" width="11.33203125" style="707"/>
    <col min="11777" max="11777" width="8.1640625" style="707" customWidth="1"/>
    <col min="11778" max="11778" width="56.83203125" style="707" customWidth="1"/>
    <col min="11779" max="11779" width="10.5" style="707" customWidth="1"/>
    <col min="11780" max="11780" width="12.6640625" style="707" customWidth="1"/>
    <col min="11781" max="11781" width="10" style="707" customWidth="1"/>
    <col min="11782" max="11782" width="8.6640625" style="707" bestFit="1" customWidth="1"/>
    <col min="11783" max="11783" width="7" style="707" bestFit="1" customWidth="1"/>
    <col min="11784" max="11784" width="7.6640625" style="707" bestFit="1" customWidth="1"/>
    <col min="11785" max="11785" width="12.33203125" style="707" customWidth="1"/>
    <col min="11786" max="11786" width="11" style="707" customWidth="1"/>
    <col min="11787" max="11787" width="8.83203125" style="707" customWidth="1"/>
    <col min="11788" max="11788" width="0" style="707" hidden="1" customWidth="1"/>
    <col min="11789" max="11795" width="11.33203125" style="707" customWidth="1"/>
    <col min="11796" max="12032" width="11.33203125" style="707"/>
    <col min="12033" max="12033" width="8.1640625" style="707" customWidth="1"/>
    <col min="12034" max="12034" width="56.83203125" style="707" customWidth="1"/>
    <col min="12035" max="12035" width="10.5" style="707" customWidth="1"/>
    <col min="12036" max="12036" width="12.6640625" style="707" customWidth="1"/>
    <col min="12037" max="12037" width="10" style="707" customWidth="1"/>
    <col min="12038" max="12038" width="8.6640625" style="707" bestFit="1" customWidth="1"/>
    <col min="12039" max="12039" width="7" style="707" bestFit="1" customWidth="1"/>
    <col min="12040" max="12040" width="7.6640625" style="707" bestFit="1" customWidth="1"/>
    <col min="12041" max="12041" width="12.33203125" style="707" customWidth="1"/>
    <col min="12042" max="12042" width="11" style="707" customWidth="1"/>
    <col min="12043" max="12043" width="8.83203125" style="707" customWidth="1"/>
    <col min="12044" max="12044" width="0" style="707" hidden="1" customWidth="1"/>
    <col min="12045" max="12051" width="11.33203125" style="707" customWidth="1"/>
    <col min="12052" max="12288" width="11.33203125" style="707"/>
    <col min="12289" max="12289" width="8.1640625" style="707" customWidth="1"/>
    <col min="12290" max="12290" width="56.83203125" style="707" customWidth="1"/>
    <col min="12291" max="12291" width="10.5" style="707" customWidth="1"/>
    <col min="12292" max="12292" width="12.6640625" style="707" customWidth="1"/>
    <col min="12293" max="12293" width="10" style="707" customWidth="1"/>
    <col min="12294" max="12294" width="8.6640625" style="707" bestFit="1" customWidth="1"/>
    <col min="12295" max="12295" width="7" style="707" bestFit="1" customWidth="1"/>
    <col min="12296" max="12296" width="7.6640625" style="707" bestFit="1" customWidth="1"/>
    <col min="12297" max="12297" width="12.33203125" style="707" customWidth="1"/>
    <col min="12298" max="12298" width="11" style="707" customWidth="1"/>
    <col min="12299" max="12299" width="8.83203125" style="707" customWidth="1"/>
    <col min="12300" max="12300" width="0" style="707" hidden="1" customWidth="1"/>
    <col min="12301" max="12307" width="11.33203125" style="707" customWidth="1"/>
    <col min="12308" max="12544" width="11.33203125" style="707"/>
    <col min="12545" max="12545" width="8.1640625" style="707" customWidth="1"/>
    <col min="12546" max="12546" width="56.83203125" style="707" customWidth="1"/>
    <col min="12547" max="12547" width="10.5" style="707" customWidth="1"/>
    <col min="12548" max="12548" width="12.6640625" style="707" customWidth="1"/>
    <col min="12549" max="12549" width="10" style="707" customWidth="1"/>
    <col min="12550" max="12550" width="8.6640625" style="707" bestFit="1" customWidth="1"/>
    <col min="12551" max="12551" width="7" style="707" bestFit="1" customWidth="1"/>
    <col min="12552" max="12552" width="7.6640625" style="707" bestFit="1" customWidth="1"/>
    <col min="12553" max="12553" width="12.33203125" style="707" customWidth="1"/>
    <col min="12554" max="12554" width="11" style="707" customWidth="1"/>
    <col min="12555" max="12555" width="8.83203125" style="707" customWidth="1"/>
    <col min="12556" max="12556" width="0" style="707" hidden="1" customWidth="1"/>
    <col min="12557" max="12563" width="11.33203125" style="707" customWidth="1"/>
    <col min="12564" max="12800" width="11.33203125" style="707"/>
    <col min="12801" max="12801" width="8.1640625" style="707" customWidth="1"/>
    <col min="12802" max="12802" width="56.83203125" style="707" customWidth="1"/>
    <col min="12803" max="12803" width="10.5" style="707" customWidth="1"/>
    <col min="12804" max="12804" width="12.6640625" style="707" customWidth="1"/>
    <col min="12805" max="12805" width="10" style="707" customWidth="1"/>
    <col min="12806" max="12806" width="8.6640625" style="707" bestFit="1" customWidth="1"/>
    <col min="12807" max="12807" width="7" style="707" bestFit="1" customWidth="1"/>
    <col min="12808" max="12808" width="7.6640625" style="707" bestFit="1" customWidth="1"/>
    <col min="12809" max="12809" width="12.33203125" style="707" customWidth="1"/>
    <col min="12810" max="12810" width="11" style="707" customWidth="1"/>
    <col min="12811" max="12811" width="8.83203125" style="707" customWidth="1"/>
    <col min="12812" max="12812" width="0" style="707" hidden="1" customWidth="1"/>
    <col min="12813" max="12819" width="11.33203125" style="707" customWidth="1"/>
    <col min="12820" max="13056" width="11.33203125" style="707"/>
    <col min="13057" max="13057" width="8.1640625" style="707" customWidth="1"/>
    <col min="13058" max="13058" width="56.83203125" style="707" customWidth="1"/>
    <col min="13059" max="13059" width="10.5" style="707" customWidth="1"/>
    <col min="13060" max="13060" width="12.6640625" style="707" customWidth="1"/>
    <col min="13061" max="13061" width="10" style="707" customWidth="1"/>
    <col min="13062" max="13062" width="8.6640625" style="707" bestFit="1" customWidth="1"/>
    <col min="13063" max="13063" width="7" style="707" bestFit="1" customWidth="1"/>
    <col min="13064" max="13064" width="7.6640625" style="707" bestFit="1" customWidth="1"/>
    <col min="13065" max="13065" width="12.33203125" style="707" customWidth="1"/>
    <col min="13066" max="13066" width="11" style="707" customWidth="1"/>
    <col min="13067" max="13067" width="8.83203125" style="707" customWidth="1"/>
    <col min="13068" max="13068" width="0" style="707" hidden="1" customWidth="1"/>
    <col min="13069" max="13075" width="11.33203125" style="707" customWidth="1"/>
    <col min="13076" max="13312" width="11.33203125" style="707"/>
    <col min="13313" max="13313" width="8.1640625" style="707" customWidth="1"/>
    <col min="13314" max="13314" width="56.83203125" style="707" customWidth="1"/>
    <col min="13315" max="13315" width="10.5" style="707" customWidth="1"/>
    <col min="13316" max="13316" width="12.6640625" style="707" customWidth="1"/>
    <col min="13317" max="13317" width="10" style="707" customWidth="1"/>
    <col min="13318" max="13318" width="8.6640625" style="707" bestFit="1" customWidth="1"/>
    <col min="13319" max="13319" width="7" style="707" bestFit="1" customWidth="1"/>
    <col min="13320" max="13320" width="7.6640625" style="707" bestFit="1" customWidth="1"/>
    <col min="13321" max="13321" width="12.33203125" style="707" customWidth="1"/>
    <col min="13322" max="13322" width="11" style="707" customWidth="1"/>
    <col min="13323" max="13323" width="8.83203125" style="707" customWidth="1"/>
    <col min="13324" max="13324" width="0" style="707" hidden="1" customWidth="1"/>
    <col min="13325" max="13331" width="11.33203125" style="707" customWidth="1"/>
    <col min="13332" max="13568" width="11.33203125" style="707"/>
    <col min="13569" max="13569" width="8.1640625" style="707" customWidth="1"/>
    <col min="13570" max="13570" width="56.83203125" style="707" customWidth="1"/>
    <col min="13571" max="13571" width="10.5" style="707" customWidth="1"/>
    <col min="13572" max="13572" width="12.6640625" style="707" customWidth="1"/>
    <col min="13573" max="13573" width="10" style="707" customWidth="1"/>
    <col min="13574" max="13574" width="8.6640625" style="707" bestFit="1" customWidth="1"/>
    <col min="13575" max="13575" width="7" style="707" bestFit="1" customWidth="1"/>
    <col min="13576" max="13576" width="7.6640625" style="707" bestFit="1" customWidth="1"/>
    <col min="13577" max="13577" width="12.33203125" style="707" customWidth="1"/>
    <col min="13578" max="13578" width="11" style="707" customWidth="1"/>
    <col min="13579" max="13579" width="8.83203125" style="707" customWidth="1"/>
    <col min="13580" max="13580" width="0" style="707" hidden="1" customWidth="1"/>
    <col min="13581" max="13587" width="11.33203125" style="707" customWidth="1"/>
    <col min="13588" max="13824" width="11.33203125" style="707"/>
    <col min="13825" max="13825" width="8.1640625" style="707" customWidth="1"/>
    <col min="13826" max="13826" width="56.83203125" style="707" customWidth="1"/>
    <col min="13827" max="13827" width="10.5" style="707" customWidth="1"/>
    <col min="13828" max="13828" width="12.6640625" style="707" customWidth="1"/>
    <col min="13829" max="13829" width="10" style="707" customWidth="1"/>
    <col min="13830" max="13830" width="8.6640625" style="707" bestFit="1" customWidth="1"/>
    <col min="13831" max="13831" width="7" style="707" bestFit="1" customWidth="1"/>
    <col min="13832" max="13832" width="7.6640625" style="707" bestFit="1" customWidth="1"/>
    <col min="13833" max="13833" width="12.33203125" style="707" customWidth="1"/>
    <col min="13834" max="13834" width="11" style="707" customWidth="1"/>
    <col min="13835" max="13835" width="8.83203125" style="707" customWidth="1"/>
    <col min="13836" max="13836" width="0" style="707" hidden="1" customWidth="1"/>
    <col min="13837" max="13843" width="11.33203125" style="707" customWidth="1"/>
    <col min="13844" max="14080" width="11.33203125" style="707"/>
    <col min="14081" max="14081" width="8.1640625" style="707" customWidth="1"/>
    <col min="14082" max="14082" width="56.83203125" style="707" customWidth="1"/>
    <col min="14083" max="14083" width="10.5" style="707" customWidth="1"/>
    <col min="14084" max="14084" width="12.6640625" style="707" customWidth="1"/>
    <col min="14085" max="14085" width="10" style="707" customWidth="1"/>
    <col min="14086" max="14086" width="8.6640625" style="707" bestFit="1" customWidth="1"/>
    <col min="14087" max="14087" width="7" style="707" bestFit="1" customWidth="1"/>
    <col min="14088" max="14088" width="7.6640625" style="707" bestFit="1" customWidth="1"/>
    <col min="14089" max="14089" width="12.33203125" style="707" customWidth="1"/>
    <col min="14090" max="14090" width="11" style="707" customWidth="1"/>
    <col min="14091" max="14091" width="8.83203125" style="707" customWidth="1"/>
    <col min="14092" max="14092" width="0" style="707" hidden="1" customWidth="1"/>
    <col min="14093" max="14099" width="11.33203125" style="707" customWidth="1"/>
    <col min="14100" max="14336" width="11.33203125" style="707"/>
    <col min="14337" max="14337" width="8.1640625" style="707" customWidth="1"/>
    <col min="14338" max="14338" width="56.83203125" style="707" customWidth="1"/>
    <col min="14339" max="14339" width="10.5" style="707" customWidth="1"/>
    <col min="14340" max="14340" width="12.6640625" style="707" customWidth="1"/>
    <col min="14341" max="14341" width="10" style="707" customWidth="1"/>
    <col min="14342" max="14342" width="8.6640625" style="707" bestFit="1" customWidth="1"/>
    <col min="14343" max="14343" width="7" style="707" bestFit="1" customWidth="1"/>
    <col min="14344" max="14344" width="7.6640625" style="707" bestFit="1" customWidth="1"/>
    <col min="14345" max="14345" width="12.33203125" style="707" customWidth="1"/>
    <col min="14346" max="14346" width="11" style="707" customWidth="1"/>
    <col min="14347" max="14347" width="8.83203125" style="707" customWidth="1"/>
    <col min="14348" max="14348" width="0" style="707" hidden="1" customWidth="1"/>
    <col min="14349" max="14355" width="11.33203125" style="707" customWidth="1"/>
    <col min="14356" max="14592" width="11.33203125" style="707"/>
    <col min="14593" max="14593" width="8.1640625" style="707" customWidth="1"/>
    <col min="14594" max="14594" width="56.83203125" style="707" customWidth="1"/>
    <col min="14595" max="14595" width="10.5" style="707" customWidth="1"/>
    <col min="14596" max="14596" width="12.6640625" style="707" customWidth="1"/>
    <col min="14597" max="14597" width="10" style="707" customWidth="1"/>
    <col min="14598" max="14598" width="8.6640625" style="707" bestFit="1" customWidth="1"/>
    <col min="14599" max="14599" width="7" style="707" bestFit="1" customWidth="1"/>
    <col min="14600" max="14600" width="7.6640625" style="707" bestFit="1" customWidth="1"/>
    <col min="14601" max="14601" width="12.33203125" style="707" customWidth="1"/>
    <col min="14602" max="14602" width="11" style="707" customWidth="1"/>
    <col min="14603" max="14603" width="8.83203125" style="707" customWidth="1"/>
    <col min="14604" max="14604" width="0" style="707" hidden="1" customWidth="1"/>
    <col min="14605" max="14611" width="11.33203125" style="707" customWidth="1"/>
    <col min="14612" max="14848" width="11.33203125" style="707"/>
    <col min="14849" max="14849" width="8.1640625" style="707" customWidth="1"/>
    <col min="14850" max="14850" width="56.83203125" style="707" customWidth="1"/>
    <col min="14851" max="14851" width="10.5" style="707" customWidth="1"/>
    <col min="14852" max="14852" width="12.6640625" style="707" customWidth="1"/>
    <col min="14853" max="14853" width="10" style="707" customWidth="1"/>
    <col min="14854" max="14854" width="8.6640625" style="707" bestFit="1" customWidth="1"/>
    <col min="14855" max="14855" width="7" style="707" bestFit="1" customWidth="1"/>
    <col min="14856" max="14856" width="7.6640625" style="707" bestFit="1" customWidth="1"/>
    <col min="14857" max="14857" width="12.33203125" style="707" customWidth="1"/>
    <col min="14858" max="14858" width="11" style="707" customWidth="1"/>
    <col min="14859" max="14859" width="8.83203125" style="707" customWidth="1"/>
    <col min="14860" max="14860" width="0" style="707" hidden="1" customWidth="1"/>
    <col min="14861" max="14867" width="11.33203125" style="707" customWidth="1"/>
    <col min="14868" max="15104" width="11.33203125" style="707"/>
    <col min="15105" max="15105" width="8.1640625" style="707" customWidth="1"/>
    <col min="15106" max="15106" width="56.83203125" style="707" customWidth="1"/>
    <col min="15107" max="15107" width="10.5" style="707" customWidth="1"/>
    <col min="15108" max="15108" width="12.6640625" style="707" customWidth="1"/>
    <col min="15109" max="15109" width="10" style="707" customWidth="1"/>
    <col min="15110" max="15110" width="8.6640625" style="707" bestFit="1" customWidth="1"/>
    <col min="15111" max="15111" width="7" style="707" bestFit="1" customWidth="1"/>
    <col min="15112" max="15112" width="7.6640625" style="707" bestFit="1" customWidth="1"/>
    <col min="15113" max="15113" width="12.33203125" style="707" customWidth="1"/>
    <col min="15114" max="15114" width="11" style="707" customWidth="1"/>
    <col min="15115" max="15115" width="8.83203125" style="707" customWidth="1"/>
    <col min="15116" max="15116" width="0" style="707" hidden="1" customWidth="1"/>
    <col min="15117" max="15123" width="11.33203125" style="707" customWidth="1"/>
    <col min="15124" max="15360" width="11.33203125" style="707"/>
    <col min="15361" max="15361" width="8.1640625" style="707" customWidth="1"/>
    <col min="15362" max="15362" width="56.83203125" style="707" customWidth="1"/>
    <col min="15363" max="15363" width="10.5" style="707" customWidth="1"/>
    <col min="15364" max="15364" width="12.6640625" style="707" customWidth="1"/>
    <col min="15365" max="15365" width="10" style="707" customWidth="1"/>
    <col min="15366" max="15366" width="8.6640625" style="707" bestFit="1" customWidth="1"/>
    <col min="15367" max="15367" width="7" style="707" bestFit="1" customWidth="1"/>
    <col min="15368" max="15368" width="7.6640625" style="707" bestFit="1" customWidth="1"/>
    <col min="15369" max="15369" width="12.33203125" style="707" customWidth="1"/>
    <col min="15370" max="15370" width="11" style="707" customWidth="1"/>
    <col min="15371" max="15371" width="8.83203125" style="707" customWidth="1"/>
    <col min="15372" max="15372" width="0" style="707" hidden="1" customWidth="1"/>
    <col min="15373" max="15379" width="11.33203125" style="707" customWidth="1"/>
    <col min="15380" max="15616" width="11.33203125" style="707"/>
    <col min="15617" max="15617" width="8.1640625" style="707" customWidth="1"/>
    <col min="15618" max="15618" width="56.83203125" style="707" customWidth="1"/>
    <col min="15619" max="15619" width="10.5" style="707" customWidth="1"/>
    <col min="15620" max="15620" width="12.6640625" style="707" customWidth="1"/>
    <col min="15621" max="15621" width="10" style="707" customWidth="1"/>
    <col min="15622" max="15622" width="8.6640625" style="707" bestFit="1" customWidth="1"/>
    <col min="15623" max="15623" width="7" style="707" bestFit="1" customWidth="1"/>
    <col min="15624" max="15624" width="7.6640625" style="707" bestFit="1" customWidth="1"/>
    <col min="15625" max="15625" width="12.33203125" style="707" customWidth="1"/>
    <col min="15626" max="15626" width="11" style="707" customWidth="1"/>
    <col min="15627" max="15627" width="8.83203125" style="707" customWidth="1"/>
    <col min="15628" max="15628" width="0" style="707" hidden="1" customWidth="1"/>
    <col min="15629" max="15635" width="11.33203125" style="707" customWidth="1"/>
    <col min="15636" max="15872" width="11.33203125" style="707"/>
    <col min="15873" max="15873" width="8.1640625" style="707" customWidth="1"/>
    <col min="15874" max="15874" width="56.83203125" style="707" customWidth="1"/>
    <col min="15875" max="15875" width="10.5" style="707" customWidth="1"/>
    <col min="15876" max="15876" width="12.6640625" style="707" customWidth="1"/>
    <col min="15877" max="15877" width="10" style="707" customWidth="1"/>
    <col min="15878" max="15878" width="8.6640625" style="707" bestFit="1" customWidth="1"/>
    <col min="15879" max="15879" width="7" style="707" bestFit="1" customWidth="1"/>
    <col min="15880" max="15880" width="7.6640625" style="707" bestFit="1" customWidth="1"/>
    <col min="15881" max="15881" width="12.33203125" style="707" customWidth="1"/>
    <col min="15882" max="15882" width="11" style="707" customWidth="1"/>
    <col min="15883" max="15883" width="8.83203125" style="707" customWidth="1"/>
    <col min="15884" max="15884" width="0" style="707" hidden="1" customWidth="1"/>
    <col min="15885" max="15891" width="11.33203125" style="707" customWidth="1"/>
    <col min="15892" max="16128" width="11.33203125" style="707"/>
    <col min="16129" max="16129" width="8.1640625" style="707" customWidth="1"/>
    <col min="16130" max="16130" width="56.83203125" style="707" customWidth="1"/>
    <col min="16131" max="16131" width="10.5" style="707" customWidth="1"/>
    <col min="16132" max="16132" width="12.6640625" style="707" customWidth="1"/>
    <col min="16133" max="16133" width="10" style="707" customWidth="1"/>
    <col min="16134" max="16134" width="8.6640625" style="707" bestFit="1" customWidth="1"/>
    <col min="16135" max="16135" width="7" style="707" bestFit="1" customWidth="1"/>
    <col min="16136" max="16136" width="7.6640625" style="707" bestFit="1" customWidth="1"/>
    <col min="16137" max="16137" width="12.33203125" style="707" customWidth="1"/>
    <col min="16138" max="16138" width="11" style="707" customWidth="1"/>
    <col min="16139" max="16139" width="8.83203125" style="707" customWidth="1"/>
    <col min="16140" max="16140" width="0" style="707" hidden="1" customWidth="1"/>
    <col min="16141" max="16147" width="11.33203125" style="707" customWidth="1"/>
    <col min="16148" max="16384" width="11.33203125" style="707"/>
  </cols>
  <sheetData>
    <row r="1" spans="1:12">
      <c r="A1" s="941" t="s">
        <v>1379</v>
      </c>
      <c r="B1" s="941"/>
      <c r="C1" s="941"/>
      <c r="D1" s="941"/>
      <c r="E1" s="941"/>
      <c r="F1" s="941"/>
      <c r="G1" s="941"/>
      <c r="H1" s="941"/>
      <c r="I1" s="941"/>
      <c r="J1" s="941"/>
      <c r="K1" s="941"/>
    </row>
    <row r="2" spans="1:12">
      <c r="A2" s="942" t="s">
        <v>1745</v>
      </c>
      <c r="B2" s="942"/>
      <c r="C2" s="942"/>
      <c r="D2" s="942"/>
      <c r="E2" s="942"/>
      <c r="F2" s="942"/>
      <c r="G2" s="942"/>
      <c r="H2" s="942"/>
      <c r="I2" s="942"/>
      <c r="J2" s="942"/>
      <c r="K2" s="942"/>
    </row>
    <row r="3" spans="1:12">
      <c r="A3" s="943" t="s">
        <v>1791</v>
      </c>
      <c r="B3" s="943"/>
      <c r="C3" s="943"/>
      <c r="D3" s="943"/>
      <c r="E3" s="943"/>
      <c r="F3" s="943"/>
      <c r="G3" s="943"/>
      <c r="H3" s="943"/>
      <c r="I3" s="943"/>
      <c r="J3" s="943"/>
      <c r="K3" s="943"/>
    </row>
    <row r="4" spans="1:12" ht="24" customHeight="1">
      <c r="A4" s="944" t="s">
        <v>4</v>
      </c>
      <c r="B4" s="946" t="s">
        <v>1369</v>
      </c>
      <c r="C4" s="938" t="s">
        <v>1370</v>
      </c>
      <c r="D4" s="938" t="s">
        <v>1777</v>
      </c>
      <c r="E4" s="948" t="s">
        <v>1778</v>
      </c>
      <c r="F4" s="948"/>
      <c r="G4" s="948"/>
      <c r="H4" s="948"/>
      <c r="I4" s="938" t="s">
        <v>17</v>
      </c>
      <c r="J4" s="938" t="s">
        <v>1779</v>
      </c>
      <c r="K4" s="938" t="s">
        <v>1148</v>
      </c>
    </row>
    <row r="5" spans="1:12" ht="33.75" customHeight="1">
      <c r="A5" s="945"/>
      <c r="B5" s="947"/>
      <c r="C5" s="939"/>
      <c r="D5" s="939"/>
      <c r="E5" s="708" t="s">
        <v>24</v>
      </c>
      <c r="F5" s="708" t="s">
        <v>25</v>
      </c>
      <c r="G5" s="708" t="s">
        <v>26</v>
      </c>
      <c r="H5" s="708" t="s">
        <v>360</v>
      </c>
      <c r="I5" s="939"/>
      <c r="J5" s="939"/>
      <c r="K5" s="939"/>
    </row>
    <row r="6" spans="1:12" ht="15.75">
      <c r="A6" s="709"/>
      <c r="B6" s="655" t="s">
        <v>1748</v>
      </c>
      <c r="C6" s="711"/>
      <c r="D6" s="712"/>
      <c r="E6" s="713"/>
      <c r="F6" s="713"/>
      <c r="G6" s="713"/>
      <c r="H6" s="713"/>
      <c r="I6" s="713"/>
      <c r="J6" s="713"/>
      <c r="K6" s="714"/>
    </row>
    <row r="7" spans="1:12" ht="31.5">
      <c r="A7" s="712">
        <v>1</v>
      </c>
      <c r="B7" s="656" t="s">
        <v>1749</v>
      </c>
      <c r="C7" s="646" t="s">
        <v>52</v>
      </c>
      <c r="D7" s="712"/>
      <c r="E7" s="713"/>
      <c r="F7" s="713"/>
      <c r="G7" s="713"/>
      <c r="H7" s="713"/>
      <c r="I7" s="713"/>
      <c r="J7" s="713"/>
      <c r="K7" s="714"/>
    </row>
    <row r="8" spans="1:12">
      <c r="A8" s="715"/>
      <c r="B8" s="716"/>
      <c r="C8" s="711"/>
      <c r="D8" s="712"/>
      <c r="E8" s="713"/>
      <c r="F8" s="713"/>
      <c r="G8" s="713"/>
      <c r="H8" s="713"/>
      <c r="I8" s="713"/>
      <c r="J8" s="713"/>
      <c r="K8" s="714"/>
    </row>
    <row r="9" spans="1:12">
      <c r="A9" s="712"/>
      <c r="B9" s="717"/>
      <c r="C9" s="712"/>
      <c r="D9" s="713"/>
      <c r="E9" s="713"/>
      <c r="F9" s="713"/>
      <c r="G9" s="713"/>
      <c r="H9" s="713"/>
      <c r="I9" s="713"/>
      <c r="J9" s="713"/>
      <c r="K9" s="714"/>
      <c r="L9" s="718">
        <v>41.16</v>
      </c>
    </row>
    <row r="10" spans="1:12">
      <c r="A10" s="712"/>
      <c r="B10" s="719"/>
      <c r="C10" s="712"/>
      <c r="D10" s="713"/>
      <c r="E10" s="713"/>
      <c r="F10" s="713"/>
      <c r="G10" s="713"/>
      <c r="H10" s="713"/>
      <c r="I10" s="713"/>
      <c r="J10" s="713"/>
      <c r="K10" s="714"/>
      <c r="L10" s="718"/>
    </row>
    <row r="11" spans="1:12">
      <c r="A11" s="712"/>
      <c r="B11" s="719"/>
      <c r="C11" s="712"/>
      <c r="D11" s="713"/>
      <c r="E11" s="713"/>
      <c r="F11" s="713"/>
      <c r="G11" s="713"/>
      <c r="H11" s="713"/>
      <c r="I11" s="713"/>
      <c r="J11" s="713"/>
      <c r="K11" s="714"/>
      <c r="L11" s="718"/>
    </row>
    <row r="12" spans="1:12">
      <c r="A12" s="712"/>
      <c r="B12" s="719"/>
      <c r="C12" s="712"/>
      <c r="D12" s="713"/>
      <c r="E12" s="713"/>
      <c r="F12" s="713"/>
      <c r="G12" s="713"/>
      <c r="H12" s="713"/>
      <c r="I12" s="713"/>
      <c r="J12" s="713"/>
      <c r="K12" s="714"/>
      <c r="L12" s="718"/>
    </row>
    <row r="13" spans="1:12">
      <c r="A13" s="712"/>
      <c r="B13" s="717"/>
      <c r="C13" s="712"/>
      <c r="D13" s="713"/>
      <c r="E13" s="713"/>
      <c r="F13" s="713"/>
      <c r="G13" s="713"/>
      <c r="H13" s="713"/>
      <c r="I13" s="713"/>
      <c r="J13" s="713"/>
      <c r="K13" s="714"/>
      <c r="L13" s="718">
        <v>284.32799999999997</v>
      </c>
    </row>
    <row r="14" spans="1:12">
      <c r="A14" s="712"/>
      <c r="B14" s="717"/>
      <c r="C14" s="712"/>
      <c r="D14" s="713"/>
      <c r="E14" s="713"/>
      <c r="F14" s="713"/>
      <c r="G14" s="713"/>
      <c r="H14" s="713"/>
      <c r="I14" s="713"/>
      <c r="J14" s="720"/>
      <c r="K14" s="714"/>
      <c r="L14" s="718">
        <v>1.623</v>
      </c>
    </row>
    <row r="15" spans="1:12">
      <c r="A15" s="712"/>
      <c r="B15" s="717"/>
      <c r="C15" s="712"/>
      <c r="D15" s="713"/>
      <c r="E15" s="713"/>
      <c r="F15" s="713"/>
      <c r="G15" s="713"/>
      <c r="H15" s="713"/>
      <c r="I15" s="713"/>
      <c r="J15" s="720"/>
      <c r="K15" s="714"/>
      <c r="L15" s="718">
        <v>96.897999999999996</v>
      </c>
    </row>
    <row r="16" spans="1:12">
      <c r="A16" s="712"/>
      <c r="B16" s="719"/>
      <c r="C16" s="712"/>
      <c r="D16" s="713"/>
      <c r="E16" s="713"/>
      <c r="F16" s="713"/>
      <c r="G16" s="713"/>
      <c r="H16" s="713"/>
      <c r="I16" s="720"/>
      <c r="J16" s="713"/>
      <c r="K16" s="714"/>
      <c r="L16" s="718"/>
    </row>
    <row r="17" spans="1:12">
      <c r="A17" s="712"/>
      <c r="B17" s="719"/>
      <c r="C17" s="712"/>
      <c r="D17" s="713"/>
      <c r="E17" s="713"/>
      <c r="F17" s="713"/>
      <c r="G17" s="713"/>
      <c r="H17" s="713"/>
      <c r="I17" s="720"/>
      <c r="J17" s="713"/>
      <c r="K17" s="714"/>
      <c r="L17" s="718"/>
    </row>
    <row r="18" spans="1:12">
      <c r="A18" s="712"/>
      <c r="B18" s="719"/>
      <c r="C18" s="712"/>
      <c r="D18" s="713"/>
      <c r="E18" s="713"/>
      <c r="F18" s="713"/>
      <c r="G18" s="713"/>
      <c r="H18" s="713"/>
      <c r="I18" s="720"/>
      <c r="J18" s="713"/>
      <c r="K18" s="714"/>
      <c r="L18" s="718"/>
    </row>
    <row r="19" spans="1:12" ht="31.5">
      <c r="A19" s="646">
        <v>2</v>
      </c>
      <c r="B19" s="656" t="s">
        <v>1750</v>
      </c>
      <c r="C19" s="646" t="s">
        <v>43</v>
      </c>
      <c r="D19" s="713"/>
      <c r="E19" s="713"/>
      <c r="F19" s="713"/>
      <c r="G19" s="713"/>
      <c r="H19" s="713"/>
      <c r="I19" s="720"/>
      <c r="J19" s="713"/>
      <c r="K19" s="714"/>
      <c r="L19" s="718"/>
    </row>
    <row r="20" spans="1:12">
      <c r="A20" s="712"/>
      <c r="B20" s="719"/>
      <c r="C20" s="712"/>
      <c r="D20" s="713"/>
      <c r="E20" s="713"/>
      <c r="F20" s="713"/>
      <c r="G20" s="713"/>
      <c r="H20" s="713"/>
      <c r="I20" s="720"/>
      <c r="J20" s="713"/>
      <c r="K20" s="714"/>
      <c r="L20" s="718"/>
    </row>
    <row r="21" spans="1:12">
      <c r="A21" s="712"/>
      <c r="B21" s="719"/>
      <c r="C21" s="712"/>
      <c r="D21" s="713"/>
      <c r="E21" s="713"/>
      <c r="F21" s="713"/>
      <c r="G21" s="713"/>
      <c r="H21" s="713"/>
      <c r="I21" s="720"/>
      <c r="J21" s="713"/>
      <c r="K21" s="714"/>
      <c r="L21" s="718"/>
    </row>
    <row r="22" spans="1:12">
      <c r="A22" s="712"/>
      <c r="B22" s="719"/>
      <c r="C22" s="712"/>
      <c r="D22" s="713"/>
      <c r="E22" s="713"/>
      <c r="F22" s="713"/>
      <c r="G22" s="713"/>
      <c r="H22" s="713"/>
      <c r="I22" s="720"/>
      <c r="J22" s="713"/>
      <c r="K22" s="714"/>
      <c r="L22" s="718"/>
    </row>
    <row r="23" spans="1:12">
      <c r="A23" s="712"/>
      <c r="B23" s="719"/>
      <c r="C23" s="712"/>
      <c r="D23" s="713"/>
      <c r="E23" s="713"/>
      <c r="F23" s="713"/>
      <c r="G23" s="713"/>
      <c r="H23" s="713"/>
      <c r="I23" s="713"/>
      <c r="J23" s="713"/>
      <c r="K23" s="714"/>
      <c r="L23" s="718"/>
    </row>
    <row r="24" spans="1:12">
      <c r="A24" s="712"/>
      <c r="B24" s="717"/>
      <c r="C24" s="712"/>
      <c r="D24" s="713"/>
      <c r="E24" s="713"/>
      <c r="F24" s="713"/>
      <c r="G24" s="713"/>
      <c r="H24" s="713"/>
      <c r="I24" s="713"/>
      <c r="J24" s="720"/>
      <c r="K24" s="714"/>
      <c r="L24" s="718">
        <v>53.841999999999999</v>
      </c>
    </row>
    <row r="25" spans="1:12">
      <c r="A25" s="712"/>
      <c r="B25" s="719"/>
      <c r="C25" s="712"/>
      <c r="D25" s="713"/>
      <c r="E25" s="713"/>
      <c r="F25" s="713"/>
      <c r="G25" s="713"/>
      <c r="H25" s="713"/>
      <c r="I25" s="720"/>
      <c r="J25" s="713"/>
      <c r="K25" s="714"/>
      <c r="L25" s="718"/>
    </row>
    <row r="26" spans="1:12">
      <c r="A26" s="712"/>
      <c r="B26" s="719"/>
      <c r="C26" s="712"/>
      <c r="D26" s="713"/>
      <c r="E26" s="713"/>
      <c r="F26" s="713"/>
      <c r="G26" s="713"/>
      <c r="H26" s="713"/>
      <c r="I26" s="720"/>
      <c r="J26" s="713"/>
      <c r="K26" s="714"/>
      <c r="L26" s="718"/>
    </row>
    <row r="27" spans="1:12">
      <c r="A27" s="712"/>
      <c r="B27" s="719"/>
      <c r="C27" s="712"/>
      <c r="D27" s="713"/>
      <c r="E27" s="713"/>
      <c r="F27" s="713"/>
      <c r="G27" s="713"/>
      <c r="H27" s="713"/>
      <c r="I27" s="713"/>
      <c r="J27" s="713"/>
      <c r="K27" s="714"/>
      <c r="L27" s="718"/>
    </row>
    <row r="28" spans="1:12" ht="31.5">
      <c r="A28" s="646">
        <v>3</v>
      </c>
      <c r="B28" s="656" t="s">
        <v>1751</v>
      </c>
      <c r="C28" s="646" t="s">
        <v>52</v>
      </c>
      <c r="D28" s="713"/>
      <c r="E28" s="713"/>
      <c r="F28" s="713"/>
      <c r="G28" s="713"/>
      <c r="H28" s="713"/>
      <c r="I28" s="713"/>
      <c r="J28" s="713"/>
      <c r="K28" s="714"/>
      <c r="L28" s="718"/>
    </row>
    <row r="29" spans="1:12">
      <c r="A29" s="712"/>
      <c r="B29" s="719"/>
      <c r="C29" s="712"/>
      <c r="D29" s="713"/>
      <c r="E29" s="713"/>
      <c r="F29" s="713"/>
      <c r="G29" s="713"/>
      <c r="H29" s="713"/>
      <c r="I29" s="713"/>
      <c r="J29" s="713"/>
      <c r="K29" s="714"/>
      <c r="L29" s="718"/>
    </row>
    <row r="30" spans="1:12">
      <c r="A30" s="712"/>
      <c r="B30" s="719"/>
      <c r="C30" s="712"/>
      <c r="D30" s="713"/>
      <c r="E30" s="713"/>
      <c r="F30" s="713"/>
      <c r="G30" s="713"/>
      <c r="H30" s="713"/>
      <c r="I30" s="721"/>
      <c r="J30" s="713"/>
      <c r="K30" s="714"/>
      <c r="L30" s="718"/>
    </row>
    <row r="31" spans="1:12">
      <c r="A31" s="712"/>
      <c r="B31" s="719"/>
      <c r="C31" s="712"/>
      <c r="D31" s="713"/>
      <c r="E31" s="713"/>
      <c r="F31" s="713"/>
      <c r="G31" s="713"/>
      <c r="H31" s="713"/>
      <c r="I31" s="720"/>
      <c r="J31" s="713"/>
      <c r="K31" s="714"/>
      <c r="L31" s="718"/>
    </row>
    <row r="32" spans="1:12">
      <c r="A32" s="712"/>
      <c r="B32" s="719"/>
      <c r="C32" s="712"/>
      <c r="D32" s="713"/>
      <c r="E32" s="713"/>
      <c r="F32" s="713"/>
      <c r="G32" s="713"/>
      <c r="H32" s="713"/>
      <c r="I32" s="713"/>
      <c r="J32" s="713"/>
      <c r="K32" s="714"/>
      <c r="L32" s="718"/>
    </row>
    <row r="33" spans="1:12">
      <c r="A33" s="712"/>
      <c r="B33" s="719"/>
      <c r="C33" s="712"/>
      <c r="D33" s="713"/>
      <c r="E33" s="713"/>
      <c r="F33" s="713"/>
      <c r="G33" s="713"/>
      <c r="H33" s="713"/>
      <c r="I33" s="713"/>
      <c r="J33" s="713"/>
      <c r="K33" s="714"/>
      <c r="L33" s="718"/>
    </row>
    <row r="34" spans="1:12">
      <c r="A34" s="712"/>
      <c r="B34" s="719"/>
      <c r="C34" s="712"/>
      <c r="D34" s="713"/>
      <c r="E34" s="713"/>
      <c r="F34" s="713"/>
      <c r="G34" s="713"/>
      <c r="H34" s="713"/>
      <c r="I34" s="713"/>
      <c r="J34" s="713"/>
      <c r="K34" s="714"/>
      <c r="L34" s="718"/>
    </row>
    <row r="35" spans="1:12">
      <c r="A35" s="712"/>
      <c r="B35" s="717"/>
      <c r="C35" s="712"/>
      <c r="D35" s="713"/>
      <c r="E35" s="713"/>
      <c r="F35" s="713"/>
      <c r="G35" s="713"/>
      <c r="H35" s="713"/>
      <c r="I35" s="713"/>
      <c r="J35" s="713"/>
      <c r="K35" s="714"/>
      <c r="L35" s="718">
        <v>234.23400000000001</v>
      </c>
    </row>
    <row r="36" spans="1:12" ht="31.5">
      <c r="A36" s="646">
        <v>4</v>
      </c>
      <c r="B36" s="656" t="s">
        <v>1752</v>
      </c>
      <c r="C36" s="646" t="s">
        <v>52</v>
      </c>
      <c r="D36" s="713"/>
      <c r="E36" s="713"/>
      <c r="F36" s="713"/>
      <c r="G36" s="713"/>
      <c r="H36" s="713"/>
      <c r="I36" s="713"/>
      <c r="J36" s="713"/>
      <c r="K36" s="714"/>
      <c r="L36" s="718"/>
    </row>
    <row r="37" spans="1:12">
      <c r="A37" s="712"/>
      <c r="B37" s="719"/>
      <c r="C37" s="712"/>
      <c r="D37" s="713"/>
      <c r="E37" s="713"/>
      <c r="F37" s="713"/>
      <c r="G37" s="713"/>
      <c r="H37" s="713"/>
      <c r="I37" s="713"/>
      <c r="J37" s="713"/>
      <c r="K37" s="714"/>
      <c r="L37" s="718"/>
    </row>
    <row r="38" spans="1:12">
      <c r="A38" s="712"/>
      <c r="B38" s="717"/>
      <c r="C38" s="712"/>
      <c r="D38" s="713"/>
      <c r="E38" s="713"/>
      <c r="F38" s="713"/>
      <c r="G38" s="713"/>
      <c r="H38" s="713"/>
      <c r="I38" s="713"/>
      <c r="J38" s="720"/>
      <c r="K38" s="714"/>
      <c r="L38" s="718">
        <v>178.345</v>
      </c>
    </row>
    <row r="39" spans="1:12">
      <c r="A39" s="712"/>
      <c r="B39" s="719"/>
      <c r="C39" s="712"/>
      <c r="D39" s="713"/>
      <c r="E39" s="713"/>
      <c r="F39" s="713"/>
      <c r="G39" s="713"/>
      <c r="H39" s="713"/>
      <c r="I39" s="713"/>
      <c r="J39" s="713"/>
      <c r="K39" s="714"/>
      <c r="L39" s="718"/>
    </row>
    <row r="40" spans="1:12">
      <c r="A40" s="712"/>
      <c r="B40" s="719"/>
      <c r="C40" s="712"/>
      <c r="D40" s="713"/>
      <c r="E40" s="713"/>
      <c r="F40" s="713"/>
      <c r="G40" s="713"/>
      <c r="H40" s="713"/>
      <c r="I40" s="713"/>
      <c r="J40" s="713"/>
      <c r="K40" s="714"/>
      <c r="L40" s="718"/>
    </row>
    <row r="41" spans="1:12">
      <c r="A41" s="712"/>
      <c r="B41" s="719"/>
      <c r="C41" s="712"/>
      <c r="D41" s="713"/>
      <c r="E41" s="713"/>
      <c r="F41" s="713"/>
      <c r="G41" s="713"/>
      <c r="H41" s="713"/>
      <c r="I41" s="713"/>
      <c r="J41" s="713"/>
      <c r="K41" s="714"/>
      <c r="L41" s="718"/>
    </row>
    <row r="42" spans="1:12">
      <c r="A42" s="712"/>
      <c r="B42" s="717"/>
      <c r="C42" s="712"/>
      <c r="D42" s="713"/>
      <c r="E42" s="713"/>
      <c r="F42" s="713"/>
      <c r="G42" s="713"/>
      <c r="H42" s="713"/>
      <c r="I42" s="713"/>
      <c r="J42" s="713"/>
      <c r="K42" s="714"/>
      <c r="L42" s="718">
        <v>427.81099999999998</v>
      </c>
    </row>
    <row r="43" spans="1:12">
      <c r="A43" s="712"/>
      <c r="B43" s="717"/>
      <c r="C43" s="712"/>
      <c r="D43" s="713"/>
      <c r="E43" s="713"/>
      <c r="F43" s="713"/>
      <c r="G43" s="713"/>
      <c r="H43" s="713"/>
      <c r="I43" s="713"/>
      <c r="J43" s="713"/>
      <c r="K43" s="714"/>
      <c r="L43" s="718">
        <v>427.81099999999998</v>
      </c>
    </row>
    <row r="44" spans="1:12" ht="47.25">
      <c r="A44" s="646">
        <v>5</v>
      </c>
      <c r="B44" s="656" t="s">
        <v>1753</v>
      </c>
      <c r="C44" s="646" t="s">
        <v>52</v>
      </c>
      <c r="D44" s="713"/>
      <c r="E44" s="713"/>
      <c r="F44" s="713"/>
      <c r="G44" s="713"/>
      <c r="H44" s="713"/>
      <c r="I44" s="713"/>
      <c r="J44" s="713"/>
      <c r="K44" s="714"/>
      <c r="L44" s="718"/>
    </row>
    <row r="45" spans="1:12">
      <c r="A45" s="712"/>
      <c r="B45" s="717"/>
      <c r="C45" s="712"/>
      <c r="D45" s="713"/>
      <c r="E45" s="713"/>
      <c r="F45" s="713"/>
      <c r="G45" s="713"/>
      <c r="H45" s="713"/>
      <c r="I45" s="713"/>
      <c r="J45" s="720"/>
      <c r="K45" s="714"/>
      <c r="L45" s="718">
        <v>54.732999999999997</v>
      </c>
    </row>
    <row r="46" spans="1:12">
      <c r="A46" s="712"/>
      <c r="B46" s="722"/>
      <c r="C46" s="712"/>
      <c r="D46" s="713"/>
      <c r="E46" s="713"/>
      <c r="F46" s="713"/>
      <c r="G46" s="713"/>
      <c r="H46" s="713"/>
      <c r="I46" s="713"/>
      <c r="J46" s="713"/>
      <c r="K46" s="714"/>
      <c r="L46" s="718"/>
    </row>
    <row r="47" spans="1:12">
      <c r="A47" s="712"/>
      <c r="B47" s="722"/>
      <c r="C47" s="712"/>
      <c r="D47" s="713"/>
      <c r="E47" s="713"/>
      <c r="F47" s="713"/>
      <c r="G47" s="713"/>
      <c r="H47" s="713"/>
      <c r="I47" s="713"/>
      <c r="J47" s="713"/>
      <c r="K47" s="714"/>
      <c r="L47" s="718"/>
    </row>
    <row r="48" spans="1:12">
      <c r="A48" s="712"/>
      <c r="B48" s="722"/>
      <c r="C48" s="712"/>
      <c r="D48" s="713"/>
      <c r="E48" s="713"/>
      <c r="F48" s="713"/>
      <c r="G48" s="713"/>
      <c r="H48" s="713"/>
      <c r="I48" s="713"/>
      <c r="J48" s="713"/>
      <c r="K48" s="714"/>
      <c r="L48" s="718"/>
    </row>
    <row r="49" spans="1:12">
      <c r="A49" s="712"/>
      <c r="B49" s="722"/>
      <c r="C49" s="712"/>
      <c r="D49" s="713"/>
      <c r="E49" s="713"/>
      <c r="F49" s="713"/>
      <c r="G49" s="713"/>
      <c r="H49" s="713"/>
      <c r="I49" s="713"/>
      <c r="J49" s="713"/>
      <c r="K49" s="714"/>
      <c r="L49" s="718"/>
    </row>
    <row r="50" spans="1:12">
      <c r="A50" s="712"/>
      <c r="B50" s="722"/>
      <c r="C50" s="712"/>
      <c r="D50" s="713"/>
      <c r="E50" s="713"/>
      <c r="F50" s="713"/>
      <c r="G50" s="713"/>
      <c r="H50" s="713"/>
      <c r="I50" s="713"/>
      <c r="J50" s="713"/>
      <c r="K50" s="714"/>
      <c r="L50" s="718"/>
    </row>
    <row r="51" spans="1:12" ht="15.75">
      <c r="A51" s="646">
        <v>6</v>
      </c>
      <c r="B51" s="656" t="s">
        <v>1754</v>
      </c>
      <c r="C51" s="646" t="s">
        <v>43</v>
      </c>
      <c r="D51" s="713"/>
      <c r="E51" s="713"/>
      <c r="F51" s="713"/>
      <c r="G51" s="713"/>
      <c r="H51" s="713"/>
      <c r="I51" s="713"/>
      <c r="J51" s="713"/>
      <c r="K51" s="714"/>
      <c r="L51" s="718"/>
    </row>
    <row r="52" spans="1:12">
      <c r="A52" s="712"/>
      <c r="B52" s="722"/>
      <c r="C52" s="712"/>
      <c r="D52" s="713"/>
      <c r="E52" s="713"/>
      <c r="F52" s="713"/>
      <c r="G52" s="713"/>
      <c r="H52" s="713"/>
      <c r="I52" s="713"/>
      <c r="J52" s="713"/>
      <c r="K52" s="714"/>
      <c r="L52" s="718"/>
    </row>
    <row r="53" spans="1:12">
      <c r="A53" s="712"/>
      <c r="B53" s="722"/>
      <c r="C53" s="712"/>
      <c r="D53" s="713"/>
      <c r="E53" s="713"/>
      <c r="F53" s="713"/>
      <c r="G53" s="713"/>
      <c r="H53" s="713"/>
      <c r="I53" s="713"/>
      <c r="J53" s="713"/>
      <c r="K53" s="714"/>
      <c r="L53" s="718"/>
    </row>
    <row r="54" spans="1:12">
      <c r="A54" s="712"/>
      <c r="B54" s="722"/>
      <c r="C54" s="712"/>
      <c r="D54" s="713"/>
      <c r="E54" s="713"/>
      <c r="F54" s="713"/>
      <c r="G54" s="713"/>
      <c r="H54" s="713"/>
      <c r="I54" s="713"/>
      <c r="J54" s="713"/>
      <c r="K54" s="714"/>
      <c r="L54" s="718"/>
    </row>
    <row r="55" spans="1:12">
      <c r="A55" s="712"/>
      <c r="B55" s="722"/>
      <c r="C55" s="712"/>
      <c r="D55" s="713"/>
      <c r="E55" s="713"/>
      <c r="F55" s="713"/>
      <c r="G55" s="713"/>
      <c r="H55" s="713"/>
      <c r="I55" s="713"/>
      <c r="J55" s="713"/>
      <c r="K55" s="714"/>
      <c r="L55" s="718"/>
    </row>
    <row r="56" spans="1:12">
      <c r="A56" s="712"/>
      <c r="B56" s="717"/>
      <c r="C56" s="712"/>
      <c r="D56" s="713"/>
      <c r="E56" s="713"/>
      <c r="F56" s="713"/>
      <c r="G56" s="713"/>
      <c r="H56" s="713"/>
      <c r="I56" s="713"/>
      <c r="J56" s="720"/>
      <c r="K56" s="714"/>
      <c r="L56" s="718">
        <v>148.62799999999999</v>
      </c>
    </row>
    <row r="57" spans="1:12">
      <c r="A57" s="712"/>
      <c r="B57" s="722"/>
      <c r="C57" s="712"/>
      <c r="D57" s="713"/>
      <c r="E57" s="713"/>
      <c r="F57" s="713"/>
      <c r="G57" s="713"/>
      <c r="H57" s="713"/>
      <c r="I57" s="713"/>
      <c r="J57" s="713"/>
      <c r="K57" s="714"/>
      <c r="L57" s="718"/>
    </row>
    <row r="58" spans="1:12" ht="31.5">
      <c r="A58" s="646">
        <v>7</v>
      </c>
      <c r="B58" s="656" t="s">
        <v>1755</v>
      </c>
      <c r="C58" s="646" t="s">
        <v>52</v>
      </c>
      <c r="D58" s="713"/>
      <c r="E58" s="713"/>
      <c r="F58" s="713"/>
      <c r="G58" s="713"/>
      <c r="H58" s="713"/>
      <c r="I58" s="720"/>
      <c r="J58" s="713"/>
      <c r="K58" s="714"/>
      <c r="L58" s="718"/>
    </row>
    <row r="59" spans="1:12">
      <c r="A59" s="712"/>
      <c r="B59" s="717"/>
      <c r="C59" s="712"/>
      <c r="D59" s="713"/>
      <c r="E59" s="713"/>
      <c r="F59" s="713"/>
      <c r="G59" s="713"/>
      <c r="H59" s="713"/>
      <c r="I59" s="713"/>
      <c r="J59" s="720"/>
      <c r="K59" s="714"/>
      <c r="L59" s="718">
        <v>0.751</v>
      </c>
    </row>
    <row r="60" spans="1:12">
      <c r="A60" s="712"/>
      <c r="B60" s="722"/>
      <c r="C60" s="712"/>
      <c r="D60" s="713"/>
      <c r="E60" s="713"/>
      <c r="F60" s="713"/>
      <c r="G60" s="713"/>
      <c r="H60" s="713"/>
      <c r="I60" s="720"/>
      <c r="J60" s="713"/>
      <c r="K60" s="714"/>
      <c r="L60" s="718"/>
    </row>
    <row r="61" spans="1:12">
      <c r="A61" s="712"/>
      <c r="B61" s="722"/>
      <c r="C61" s="712"/>
      <c r="D61" s="713"/>
      <c r="E61" s="713"/>
      <c r="F61" s="713"/>
      <c r="G61" s="713"/>
      <c r="H61" s="713"/>
      <c r="I61" s="720"/>
      <c r="J61" s="713"/>
      <c r="K61" s="714"/>
      <c r="L61" s="718"/>
    </row>
    <row r="62" spans="1:12">
      <c r="A62" s="712"/>
      <c r="B62" s="717"/>
      <c r="C62" s="712"/>
      <c r="D62" s="713"/>
      <c r="E62" s="713"/>
      <c r="F62" s="713"/>
      <c r="G62" s="713"/>
      <c r="H62" s="713"/>
      <c r="I62" s="713"/>
      <c r="J62" s="720"/>
      <c r="K62" s="714"/>
      <c r="L62" s="718">
        <v>70.543999999999997</v>
      </c>
    </row>
    <row r="63" spans="1:12">
      <c r="A63" s="712"/>
      <c r="B63" s="722"/>
      <c r="C63" s="712"/>
      <c r="D63" s="713"/>
      <c r="E63" s="713"/>
      <c r="F63" s="713"/>
      <c r="G63" s="713"/>
      <c r="H63" s="713"/>
      <c r="I63" s="720"/>
      <c r="J63" s="713"/>
      <c r="K63" s="714"/>
      <c r="L63" s="718"/>
    </row>
    <row r="64" spans="1:12">
      <c r="A64" s="712"/>
      <c r="B64" s="722"/>
      <c r="C64" s="712"/>
      <c r="D64" s="713"/>
      <c r="E64" s="713"/>
      <c r="F64" s="713"/>
      <c r="G64" s="713"/>
      <c r="H64" s="713"/>
      <c r="I64" s="720"/>
      <c r="J64" s="713"/>
      <c r="K64" s="714"/>
      <c r="L64" s="718"/>
    </row>
    <row r="65" spans="1:12">
      <c r="A65" s="712"/>
      <c r="B65" s="722"/>
      <c r="C65" s="712"/>
      <c r="D65" s="713"/>
      <c r="E65" s="713"/>
      <c r="F65" s="713"/>
      <c r="G65" s="713"/>
      <c r="H65" s="713"/>
      <c r="I65" s="720"/>
      <c r="J65" s="713"/>
      <c r="K65" s="714"/>
      <c r="L65" s="718"/>
    </row>
    <row r="66" spans="1:12">
      <c r="A66" s="712"/>
      <c r="B66" s="722"/>
      <c r="C66" s="712"/>
      <c r="D66" s="713"/>
      <c r="E66" s="713"/>
      <c r="F66" s="713"/>
      <c r="G66" s="713"/>
      <c r="H66" s="713"/>
      <c r="I66" s="720"/>
      <c r="J66" s="713"/>
      <c r="K66" s="714"/>
      <c r="L66" s="718"/>
    </row>
    <row r="67" spans="1:12" ht="31.5">
      <c r="A67" s="646">
        <v>8</v>
      </c>
      <c r="B67" s="656" t="s">
        <v>1756</v>
      </c>
      <c r="C67" s="646" t="s">
        <v>52</v>
      </c>
      <c r="D67" s="713"/>
      <c r="E67" s="713"/>
      <c r="F67" s="713"/>
      <c r="G67" s="713"/>
      <c r="H67" s="713"/>
      <c r="I67" s="720"/>
      <c r="J67" s="713"/>
      <c r="K67" s="714"/>
      <c r="L67" s="718"/>
    </row>
    <row r="68" spans="1:12">
      <c r="A68" s="712"/>
      <c r="B68" s="722"/>
      <c r="C68" s="712"/>
      <c r="D68" s="713"/>
      <c r="E68" s="713"/>
      <c r="F68" s="713"/>
      <c r="G68" s="713"/>
      <c r="H68" s="713"/>
      <c r="I68" s="720"/>
      <c r="J68" s="713"/>
      <c r="K68" s="714"/>
      <c r="L68" s="718"/>
    </row>
    <row r="69" spans="1:12">
      <c r="A69" s="712"/>
      <c r="B69" s="722"/>
      <c r="C69" s="712"/>
      <c r="D69" s="713"/>
      <c r="E69" s="713"/>
      <c r="F69" s="713"/>
      <c r="G69" s="713"/>
      <c r="H69" s="713"/>
      <c r="I69" s="720"/>
      <c r="J69" s="713"/>
      <c r="K69" s="714"/>
      <c r="L69" s="718"/>
    </row>
    <row r="70" spans="1:12">
      <c r="A70" s="712"/>
      <c r="B70" s="722"/>
      <c r="C70" s="712"/>
      <c r="D70" s="713"/>
      <c r="E70" s="713"/>
      <c r="F70" s="713"/>
      <c r="G70" s="713"/>
      <c r="H70" s="713"/>
      <c r="I70" s="720"/>
      <c r="J70" s="713"/>
      <c r="K70" s="714"/>
      <c r="L70" s="718"/>
    </row>
    <row r="71" spans="1:12">
      <c r="A71" s="712"/>
      <c r="B71" s="722"/>
      <c r="C71" s="712"/>
      <c r="D71" s="713"/>
      <c r="E71" s="713"/>
      <c r="F71" s="713"/>
      <c r="G71" s="713"/>
      <c r="H71" s="713"/>
      <c r="I71" s="720"/>
      <c r="J71" s="713"/>
      <c r="K71" s="714"/>
      <c r="L71" s="718"/>
    </row>
    <row r="72" spans="1:12">
      <c r="A72" s="712"/>
      <c r="B72" s="722"/>
      <c r="C72" s="712"/>
      <c r="D72" s="713"/>
      <c r="E72" s="713"/>
      <c r="F72" s="713"/>
      <c r="G72" s="713"/>
      <c r="H72" s="713"/>
      <c r="I72" s="720"/>
      <c r="J72" s="713"/>
      <c r="K72" s="714"/>
      <c r="L72" s="718"/>
    </row>
    <row r="73" spans="1:12">
      <c r="A73" s="712"/>
      <c r="B73" s="722"/>
      <c r="C73" s="712"/>
      <c r="D73" s="713"/>
      <c r="E73" s="713"/>
      <c r="F73" s="713"/>
      <c r="G73" s="713"/>
      <c r="H73" s="713"/>
      <c r="I73" s="720"/>
      <c r="J73" s="713"/>
      <c r="K73" s="714"/>
      <c r="L73" s="718"/>
    </row>
    <row r="74" spans="1:12">
      <c r="A74" s="712"/>
      <c r="B74" s="722"/>
      <c r="C74" s="712"/>
      <c r="D74" s="713"/>
      <c r="E74" s="713"/>
      <c r="F74" s="713"/>
      <c r="G74" s="713"/>
      <c r="H74" s="713"/>
      <c r="I74" s="720"/>
      <c r="J74" s="713"/>
      <c r="K74" s="714"/>
      <c r="L74" s="718"/>
    </row>
    <row r="75" spans="1:12">
      <c r="A75" s="712"/>
      <c r="B75" s="722"/>
      <c r="C75" s="712"/>
      <c r="D75" s="713"/>
      <c r="E75" s="713"/>
      <c r="F75" s="713"/>
      <c r="G75" s="713"/>
      <c r="H75" s="713"/>
      <c r="I75" s="720"/>
      <c r="J75" s="713"/>
      <c r="K75" s="714"/>
      <c r="L75" s="718"/>
    </row>
    <row r="76" spans="1:12">
      <c r="A76" s="712"/>
      <c r="B76" s="722"/>
      <c r="C76" s="712"/>
      <c r="D76" s="713"/>
      <c r="E76" s="713"/>
      <c r="F76" s="713"/>
      <c r="G76" s="713"/>
      <c r="H76" s="713"/>
      <c r="I76" s="720"/>
      <c r="J76" s="713"/>
      <c r="K76" s="714"/>
      <c r="L76" s="718"/>
    </row>
    <row r="77" spans="1:12" ht="47.25">
      <c r="A77" s="646">
        <v>9</v>
      </c>
      <c r="B77" s="656" t="s">
        <v>1757</v>
      </c>
      <c r="C77" s="646" t="s">
        <v>43</v>
      </c>
      <c r="D77" s="713"/>
      <c r="E77" s="713"/>
      <c r="F77" s="713"/>
      <c r="G77" s="713"/>
      <c r="H77" s="713"/>
      <c r="I77" s="720"/>
      <c r="J77" s="713"/>
      <c r="K77" s="714"/>
      <c r="L77" s="718"/>
    </row>
    <row r="78" spans="1:12">
      <c r="A78" s="712"/>
      <c r="B78" s="722"/>
      <c r="C78" s="712"/>
      <c r="D78" s="713"/>
      <c r="E78" s="713"/>
      <c r="F78" s="713"/>
      <c r="G78" s="713"/>
      <c r="H78" s="713"/>
      <c r="I78" s="720"/>
      <c r="J78" s="713"/>
      <c r="K78" s="714"/>
      <c r="L78" s="718"/>
    </row>
    <row r="79" spans="1:12">
      <c r="A79" s="712"/>
      <c r="B79" s="722"/>
      <c r="C79" s="712"/>
      <c r="D79" s="713"/>
      <c r="E79" s="713"/>
      <c r="F79" s="713"/>
      <c r="G79" s="713"/>
      <c r="H79" s="713"/>
      <c r="I79" s="720"/>
      <c r="J79" s="713"/>
      <c r="K79" s="714"/>
      <c r="L79" s="718"/>
    </row>
    <row r="80" spans="1:12">
      <c r="A80" s="712"/>
      <c r="B80" s="722"/>
      <c r="C80" s="712"/>
      <c r="D80" s="713"/>
      <c r="E80" s="713"/>
      <c r="F80" s="713"/>
      <c r="G80" s="713"/>
      <c r="H80" s="713"/>
      <c r="I80" s="720"/>
      <c r="J80" s="713"/>
      <c r="K80" s="714"/>
      <c r="L80" s="718"/>
    </row>
    <row r="81" spans="1:12">
      <c r="A81" s="712"/>
      <c r="B81" s="717"/>
      <c r="C81" s="712"/>
      <c r="D81" s="713"/>
      <c r="E81" s="713"/>
      <c r="F81" s="713"/>
      <c r="G81" s="713"/>
      <c r="H81" s="713"/>
      <c r="I81" s="713"/>
      <c r="J81" s="720"/>
      <c r="K81" s="714"/>
      <c r="L81" s="718">
        <v>34.850999999999999</v>
      </c>
    </row>
    <row r="82" spans="1:12">
      <c r="A82" s="712"/>
      <c r="B82" s="722"/>
      <c r="C82" s="712"/>
      <c r="D82" s="713"/>
      <c r="E82" s="713"/>
      <c r="F82" s="713"/>
      <c r="G82" s="713"/>
      <c r="H82" s="713"/>
      <c r="I82" s="720"/>
      <c r="J82" s="713"/>
      <c r="K82" s="714"/>
      <c r="L82" s="718"/>
    </row>
    <row r="83" spans="1:12">
      <c r="A83" s="712"/>
      <c r="B83" s="722"/>
      <c r="C83" s="712"/>
      <c r="D83" s="713"/>
      <c r="E83" s="713"/>
      <c r="F83" s="713"/>
      <c r="G83" s="713"/>
      <c r="H83" s="713"/>
      <c r="I83" s="720"/>
      <c r="J83" s="713"/>
      <c r="K83" s="714"/>
      <c r="L83" s="718"/>
    </row>
    <row r="84" spans="1:12">
      <c r="A84" s="712"/>
      <c r="B84" s="722"/>
      <c r="C84" s="712"/>
      <c r="D84" s="713"/>
      <c r="E84" s="713"/>
      <c r="F84" s="713"/>
      <c r="G84" s="713"/>
      <c r="H84" s="713"/>
      <c r="I84" s="720"/>
      <c r="J84" s="713"/>
      <c r="K84" s="714"/>
      <c r="L84" s="718"/>
    </row>
    <row r="85" spans="1:12" ht="31.5">
      <c r="A85" s="646">
        <v>10</v>
      </c>
      <c r="B85" s="656" t="s">
        <v>1758</v>
      </c>
      <c r="C85" s="646" t="s">
        <v>43</v>
      </c>
      <c r="D85" s="713"/>
      <c r="E85" s="713"/>
      <c r="F85" s="713"/>
      <c r="G85" s="713"/>
      <c r="H85" s="713"/>
      <c r="I85" s="720"/>
      <c r="J85" s="713"/>
      <c r="K85" s="714"/>
      <c r="L85" s="718"/>
    </row>
    <row r="86" spans="1:12">
      <c r="A86" s="712"/>
      <c r="B86" s="722"/>
      <c r="C86" s="712"/>
      <c r="D86" s="713"/>
      <c r="E86" s="713"/>
      <c r="F86" s="713"/>
      <c r="G86" s="713"/>
      <c r="H86" s="713"/>
      <c r="I86" s="720"/>
      <c r="J86" s="713"/>
      <c r="K86" s="714"/>
      <c r="L86" s="718"/>
    </row>
    <row r="87" spans="1:12">
      <c r="A87" s="712"/>
      <c r="B87" s="722"/>
      <c r="C87" s="712"/>
      <c r="D87" s="713"/>
      <c r="E87" s="713"/>
      <c r="F87" s="713"/>
      <c r="G87" s="713"/>
      <c r="H87" s="713"/>
      <c r="I87" s="720"/>
      <c r="J87" s="713"/>
      <c r="K87" s="714"/>
      <c r="L87" s="718"/>
    </row>
    <row r="88" spans="1:12">
      <c r="A88" s="712"/>
      <c r="B88" s="722"/>
      <c r="C88" s="712"/>
      <c r="D88" s="713"/>
      <c r="E88" s="713"/>
      <c r="F88" s="713"/>
      <c r="G88" s="713"/>
      <c r="H88" s="713"/>
      <c r="I88" s="720"/>
      <c r="J88" s="713"/>
      <c r="K88" s="714"/>
      <c r="L88" s="718"/>
    </row>
    <row r="89" spans="1:12">
      <c r="A89" s="712"/>
      <c r="B89" s="722"/>
      <c r="C89" s="712"/>
      <c r="D89" s="713"/>
      <c r="E89" s="713"/>
      <c r="F89" s="713"/>
      <c r="G89" s="713"/>
      <c r="H89" s="713"/>
      <c r="I89" s="720"/>
      <c r="J89" s="713"/>
      <c r="K89" s="714"/>
      <c r="L89" s="718"/>
    </row>
    <row r="90" spans="1:12">
      <c r="A90" s="712"/>
      <c r="B90" s="722"/>
      <c r="C90" s="712"/>
      <c r="D90" s="713"/>
      <c r="E90" s="713"/>
      <c r="F90" s="713"/>
      <c r="G90" s="713"/>
      <c r="H90" s="713"/>
      <c r="I90" s="720"/>
      <c r="J90" s="713"/>
      <c r="K90" s="714"/>
      <c r="L90" s="718"/>
    </row>
    <row r="91" spans="1:12">
      <c r="A91" s="712"/>
      <c r="B91" s="722"/>
      <c r="C91" s="712"/>
      <c r="D91" s="713"/>
      <c r="E91" s="713"/>
      <c r="F91" s="713"/>
      <c r="G91" s="713"/>
      <c r="H91" s="713"/>
      <c r="I91" s="720"/>
      <c r="J91" s="713"/>
      <c r="K91" s="714"/>
      <c r="L91" s="718"/>
    </row>
    <row r="92" spans="1:12">
      <c r="A92" s="712"/>
      <c r="B92" s="722"/>
      <c r="C92" s="712"/>
      <c r="D92" s="713"/>
      <c r="E92" s="713"/>
      <c r="F92" s="713"/>
      <c r="G92" s="713"/>
      <c r="H92" s="713"/>
      <c r="I92" s="720"/>
      <c r="J92" s="713"/>
      <c r="K92" s="714"/>
      <c r="L92" s="718"/>
    </row>
    <row r="93" spans="1:12" ht="31.5">
      <c r="A93" s="646">
        <v>11</v>
      </c>
      <c r="B93" s="656" t="s">
        <v>1759</v>
      </c>
      <c r="C93" s="646" t="s">
        <v>86</v>
      </c>
      <c r="D93" s="713"/>
      <c r="E93" s="713"/>
      <c r="F93" s="713"/>
      <c r="G93" s="713"/>
      <c r="H93" s="713"/>
      <c r="I93" s="720"/>
      <c r="J93" s="713"/>
      <c r="K93" s="714"/>
      <c r="L93" s="718"/>
    </row>
    <row r="94" spans="1:12">
      <c r="A94" s="712"/>
      <c r="B94" s="717"/>
      <c r="C94" s="712"/>
      <c r="D94" s="713"/>
      <c r="E94" s="713"/>
      <c r="F94" s="713"/>
      <c r="G94" s="713"/>
      <c r="H94" s="713"/>
      <c r="I94" s="713"/>
      <c r="J94" s="723"/>
      <c r="K94" s="714"/>
      <c r="L94" s="718">
        <v>113.07</v>
      </c>
    </row>
    <row r="95" spans="1:12">
      <c r="A95" s="712"/>
      <c r="B95" s="722"/>
      <c r="C95" s="712"/>
      <c r="D95" s="713"/>
      <c r="E95" s="713"/>
      <c r="F95" s="713"/>
      <c r="G95" s="713"/>
      <c r="H95" s="713"/>
      <c r="I95" s="720"/>
      <c r="J95" s="713"/>
      <c r="K95" s="714"/>
      <c r="L95" s="718"/>
    </row>
    <row r="96" spans="1:12">
      <c r="A96" s="712"/>
      <c r="B96" s="722"/>
      <c r="C96" s="712"/>
      <c r="D96" s="713"/>
      <c r="E96" s="713"/>
      <c r="F96" s="713"/>
      <c r="G96" s="713"/>
      <c r="H96" s="713"/>
      <c r="I96" s="720"/>
      <c r="J96" s="713"/>
      <c r="K96" s="714"/>
      <c r="L96" s="718"/>
    </row>
    <row r="97" spans="1:12">
      <c r="A97" s="712"/>
      <c r="B97" s="717"/>
      <c r="C97" s="712"/>
      <c r="D97" s="713"/>
      <c r="E97" s="713"/>
      <c r="F97" s="713"/>
      <c r="G97" s="713"/>
      <c r="H97" s="713"/>
      <c r="I97" s="713"/>
      <c r="J97" s="720"/>
      <c r="K97" s="714"/>
      <c r="L97" s="718">
        <v>84.224999999999994</v>
      </c>
    </row>
    <row r="98" spans="1:12">
      <c r="A98" s="712"/>
      <c r="B98" s="722"/>
      <c r="C98" s="712"/>
      <c r="D98" s="713"/>
      <c r="E98" s="713"/>
      <c r="F98" s="713"/>
      <c r="G98" s="713"/>
      <c r="H98" s="713"/>
      <c r="I98" s="720"/>
      <c r="J98" s="713"/>
      <c r="K98" s="714"/>
      <c r="L98" s="718"/>
    </row>
    <row r="99" spans="1:12" ht="31.5">
      <c r="A99" s="646">
        <v>12</v>
      </c>
      <c r="B99" s="656" t="s">
        <v>1760</v>
      </c>
      <c r="C99" s="646" t="s">
        <v>43</v>
      </c>
      <c r="D99" s="713"/>
      <c r="E99" s="713"/>
      <c r="F99" s="713"/>
      <c r="G99" s="713"/>
      <c r="H99" s="713"/>
      <c r="I99" s="720"/>
      <c r="J99" s="713"/>
      <c r="K99" s="714"/>
      <c r="L99" s="718"/>
    </row>
    <row r="100" spans="1:12">
      <c r="A100" s="712"/>
      <c r="B100" s="722"/>
      <c r="C100" s="712"/>
      <c r="D100" s="713"/>
      <c r="E100" s="713"/>
      <c r="F100" s="713"/>
      <c r="G100" s="713"/>
      <c r="H100" s="713"/>
      <c r="I100" s="720"/>
      <c r="J100" s="713"/>
      <c r="K100" s="714"/>
      <c r="L100" s="718"/>
    </row>
    <row r="101" spans="1:12">
      <c r="A101" s="712"/>
      <c r="B101" s="717"/>
      <c r="C101" s="712"/>
      <c r="D101" s="713"/>
      <c r="E101" s="713"/>
      <c r="F101" s="713"/>
      <c r="G101" s="713"/>
      <c r="H101" s="713"/>
      <c r="I101" s="713"/>
      <c r="J101" s="713"/>
      <c r="K101" s="714"/>
      <c r="L101" s="718">
        <v>246.506</v>
      </c>
    </row>
    <row r="102" spans="1:12">
      <c r="A102" s="712"/>
      <c r="B102" s="717"/>
      <c r="C102" s="712"/>
      <c r="D102" s="713"/>
      <c r="E102" s="713"/>
      <c r="F102" s="713"/>
      <c r="G102" s="713"/>
      <c r="H102" s="713"/>
      <c r="I102" s="713"/>
      <c r="J102" s="713"/>
      <c r="K102" s="714"/>
      <c r="L102" s="718">
        <v>246.506</v>
      </c>
    </row>
    <row r="103" spans="1:12">
      <c r="A103" s="715"/>
      <c r="B103" s="716"/>
      <c r="C103" s="712"/>
      <c r="D103" s="713"/>
      <c r="E103" s="713"/>
      <c r="F103" s="713"/>
      <c r="G103" s="713"/>
      <c r="H103" s="713"/>
      <c r="I103" s="713"/>
      <c r="J103" s="713"/>
      <c r="K103" s="714"/>
      <c r="L103" s="718"/>
    </row>
    <row r="104" spans="1:12">
      <c r="A104" s="712"/>
      <c r="B104" s="717"/>
      <c r="C104" s="712"/>
      <c r="D104" s="713"/>
      <c r="E104" s="713"/>
      <c r="F104" s="713"/>
      <c r="G104" s="713"/>
      <c r="H104" s="713"/>
      <c r="I104" s="713"/>
      <c r="J104" s="720"/>
      <c r="K104" s="714"/>
      <c r="L104" s="718">
        <v>64.125</v>
      </c>
    </row>
    <row r="105" spans="1:12">
      <c r="A105" s="712"/>
      <c r="B105" s="722"/>
      <c r="C105" s="712"/>
      <c r="D105" s="713"/>
      <c r="E105" s="713"/>
      <c r="F105" s="713"/>
      <c r="G105" s="713"/>
      <c r="H105" s="713"/>
      <c r="I105" s="720"/>
      <c r="J105" s="713"/>
      <c r="K105" s="714"/>
      <c r="L105" s="718"/>
    </row>
    <row r="106" spans="1:12">
      <c r="A106" s="712"/>
      <c r="B106" s="722"/>
      <c r="C106" s="712"/>
      <c r="D106" s="713"/>
      <c r="E106" s="713"/>
      <c r="F106" s="713"/>
      <c r="G106" s="713"/>
      <c r="H106" s="713"/>
      <c r="I106" s="720"/>
      <c r="J106" s="713"/>
      <c r="K106" s="714"/>
      <c r="L106" s="718"/>
    </row>
    <row r="107" spans="1:12">
      <c r="A107" s="712"/>
      <c r="B107" s="722"/>
      <c r="C107" s="712"/>
      <c r="D107" s="713"/>
      <c r="E107" s="713"/>
      <c r="F107" s="713"/>
      <c r="G107" s="713"/>
      <c r="H107" s="713"/>
      <c r="I107" s="720"/>
      <c r="J107" s="713"/>
      <c r="K107" s="714"/>
      <c r="L107" s="718"/>
    </row>
    <row r="108" spans="1:12" ht="47.25">
      <c r="A108" s="646">
        <v>13</v>
      </c>
      <c r="B108" s="656" t="s">
        <v>1761</v>
      </c>
      <c r="C108" s="646" t="s">
        <v>109</v>
      </c>
      <c r="D108" s="713"/>
      <c r="E108" s="713"/>
      <c r="F108" s="713"/>
      <c r="G108" s="713"/>
      <c r="H108" s="713"/>
      <c r="I108" s="720"/>
      <c r="J108" s="713"/>
      <c r="K108" s="714"/>
      <c r="L108" s="718"/>
    </row>
    <row r="109" spans="1:12">
      <c r="A109" s="712"/>
      <c r="B109" s="722"/>
      <c r="C109" s="712"/>
      <c r="D109" s="713"/>
      <c r="E109" s="713"/>
      <c r="F109" s="713"/>
      <c r="G109" s="713"/>
      <c r="H109" s="713"/>
      <c r="I109" s="720"/>
      <c r="J109" s="713"/>
      <c r="K109" s="714"/>
      <c r="L109" s="718"/>
    </row>
    <row r="110" spans="1:12">
      <c r="A110" s="712"/>
      <c r="B110" s="722"/>
      <c r="C110" s="712"/>
      <c r="D110" s="713"/>
      <c r="E110" s="713"/>
      <c r="F110" s="713"/>
      <c r="G110" s="713"/>
      <c r="H110" s="713"/>
      <c r="I110" s="720"/>
      <c r="J110" s="713"/>
      <c r="K110" s="714"/>
      <c r="L110" s="718"/>
    </row>
    <row r="111" spans="1:12">
      <c r="A111" s="712"/>
      <c r="B111" s="717"/>
      <c r="C111" s="712"/>
      <c r="D111" s="713"/>
      <c r="E111" s="713"/>
      <c r="F111" s="713"/>
      <c r="G111" s="713"/>
      <c r="H111" s="713"/>
      <c r="I111" s="713"/>
      <c r="J111" s="712"/>
      <c r="K111" s="714"/>
      <c r="L111" s="718">
        <v>242.88</v>
      </c>
    </row>
    <row r="112" spans="1:12">
      <c r="A112" s="712"/>
      <c r="B112" s="717"/>
      <c r="C112" s="712"/>
      <c r="D112" s="713"/>
      <c r="E112" s="713"/>
      <c r="F112" s="713"/>
      <c r="G112" s="713"/>
      <c r="H112" s="713"/>
      <c r="I112" s="713"/>
      <c r="J112" s="712"/>
      <c r="K112" s="714"/>
      <c r="L112" s="718">
        <v>1.1439999999999999</v>
      </c>
    </row>
    <row r="113" spans="1:12">
      <c r="A113" s="712"/>
      <c r="B113" s="717"/>
      <c r="C113" s="712"/>
      <c r="D113" s="713"/>
      <c r="E113" s="713"/>
      <c r="F113" s="713"/>
      <c r="G113" s="713"/>
      <c r="H113" s="713"/>
      <c r="I113" s="713"/>
      <c r="J113" s="712"/>
      <c r="K113" s="714"/>
      <c r="L113" s="718">
        <v>0.86499999999999999</v>
      </c>
    </row>
    <row r="114" spans="1:12">
      <c r="A114" s="712"/>
      <c r="B114" s="717"/>
      <c r="C114" s="712"/>
      <c r="D114" s="713"/>
      <c r="E114" s="713"/>
      <c r="F114" s="713"/>
      <c r="G114" s="713"/>
      <c r="H114" s="713"/>
      <c r="I114" s="713"/>
      <c r="J114" s="712"/>
      <c r="K114" s="714"/>
      <c r="L114" s="718">
        <v>55.98</v>
      </c>
    </row>
    <row r="115" spans="1:12" ht="31.5">
      <c r="A115" s="646">
        <v>14</v>
      </c>
      <c r="B115" s="656" t="s">
        <v>1762</v>
      </c>
      <c r="C115" s="646" t="s">
        <v>43</v>
      </c>
      <c r="D115" s="713"/>
      <c r="E115" s="713"/>
      <c r="F115" s="713"/>
      <c r="G115" s="713"/>
      <c r="H115" s="713"/>
      <c r="I115" s="720"/>
      <c r="J115" s="713"/>
      <c r="K115" s="714"/>
      <c r="L115" s="718"/>
    </row>
    <row r="116" spans="1:12">
      <c r="A116" s="712"/>
      <c r="B116" s="722"/>
      <c r="C116" s="712"/>
      <c r="D116" s="713"/>
      <c r="E116" s="713"/>
      <c r="F116" s="713"/>
      <c r="G116" s="713"/>
      <c r="H116" s="713"/>
      <c r="I116" s="720"/>
      <c r="J116" s="713"/>
      <c r="K116" s="714"/>
      <c r="L116" s="718"/>
    </row>
    <row r="117" spans="1:12">
      <c r="A117" s="712"/>
      <c r="B117" s="722"/>
      <c r="C117" s="712"/>
      <c r="D117" s="713"/>
      <c r="E117" s="713"/>
      <c r="F117" s="713"/>
      <c r="G117" s="713"/>
      <c r="H117" s="713"/>
      <c r="I117" s="720"/>
      <c r="J117" s="713"/>
      <c r="K117" s="714"/>
      <c r="L117" s="718"/>
    </row>
    <row r="118" spans="1:12">
      <c r="A118" s="712"/>
      <c r="B118" s="722"/>
      <c r="C118" s="712"/>
      <c r="D118" s="713"/>
      <c r="E118" s="713"/>
      <c r="F118" s="713"/>
      <c r="G118" s="713"/>
      <c r="H118" s="713"/>
      <c r="I118" s="720"/>
      <c r="J118" s="713"/>
      <c r="K118" s="714"/>
      <c r="L118" s="718"/>
    </row>
    <row r="119" spans="1:12">
      <c r="A119" s="712"/>
      <c r="B119" s="722"/>
      <c r="C119" s="712"/>
      <c r="D119" s="713"/>
      <c r="E119" s="713"/>
      <c r="F119" s="713"/>
      <c r="G119" s="713"/>
      <c r="H119" s="713"/>
      <c r="I119" s="720"/>
      <c r="J119" s="713"/>
      <c r="K119" s="714"/>
      <c r="L119" s="718"/>
    </row>
    <row r="120" spans="1:12">
      <c r="A120" s="712"/>
      <c r="B120" s="722"/>
      <c r="C120" s="712"/>
      <c r="D120" s="713"/>
      <c r="E120" s="713"/>
      <c r="F120" s="713"/>
      <c r="G120" s="713"/>
      <c r="H120" s="713"/>
      <c r="I120" s="720"/>
      <c r="J120" s="713"/>
      <c r="K120" s="714"/>
      <c r="L120" s="718"/>
    </row>
    <row r="121" spans="1:12">
      <c r="A121" s="712"/>
      <c r="B121" s="722"/>
      <c r="C121" s="712"/>
      <c r="D121" s="713"/>
      <c r="E121" s="713"/>
      <c r="F121" s="713"/>
      <c r="G121" s="713"/>
      <c r="H121" s="713"/>
      <c r="I121" s="720"/>
      <c r="J121" s="713"/>
      <c r="K121" s="714"/>
      <c r="L121" s="718"/>
    </row>
    <row r="122" spans="1:12">
      <c r="A122" s="712"/>
      <c r="B122" s="717"/>
      <c r="C122" s="712"/>
      <c r="D122" s="713"/>
      <c r="E122" s="713"/>
      <c r="F122" s="713"/>
      <c r="G122" s="713"/>
      <c r="H122" s="713"/>
      <c r="I122" s="713"/>
      <c r="J122" s="712"/>
      <c r="K122" s="714"/>
      <c r="L122" s="718">
        <v>29.713000000000001</v>
      </c>
    </row>
    <row r="123" spans="1:12" ht="31.5">
      <c r="A123" s="646">
        <v>15</v>
      </c>
      <c r="B123" s="656" t="s">
        <v>1763</v>
      </c>
      <c r="C123" s="646" t="s">
        <v>192</v>
      </c>
      <c r="D123" s="713"/>
      <c r="E123" s="713"/>
      <c r="F123" s="713"/>
      <c r="G123" s="713"/>
      <c r="H123" s="713"/>
      <c r="I123" s="720"/>
      <c r="J123" s="713"/>
      <c r="K123" s="714"/>
      <c r="L123" s="718"/>
    </row>
    <row r="124" spans="1:12">
      <c r="A124" s="712"/>
      <c r="B124" s="722"/>
      <c r="C124" s="712"/>
      <c r="D124" s="713"/>
      <c r="E124" s="713"/>
      <c r="F124" s="713"/>
      <c r="G124" s="713"/>
      <c r="H124" s="713"/>
      <c r="I124" s="720"/>
      <c r="J124" s="713"/>
      <c r="K124" s="714"/>
      <c r="L124" s="718"/>
    </row>
    <row r="125" spans="1:12">
      <c r="A125" s="712"/>
      <c r="B125" s="722"/>
      <c r="C125" s="712"/>
      <c r="D125" s="713"/>
      <c r="E125" s="713"/>
      <c r="F125" s="713"/>
      <c r="G125" s="713"/>
      <c r="H125" s="713"/>
      <c r="I125" s="720"/>
      <c r="J125" s="713"/>
      <c r="K125" s="714"/>
      <c r="L125" s="718"/>
    </row>
    <row r="126" spans="1:12">
      <c r="A126" s="712"/>
      <c r="B126" s="722"/>
      <c r="C126" s="712"/>
      <c r="D126" s="713"/>
      <c r="E126" s="713"/>
      <c r="F126" s="713"/>
      <c r="G126" s="713"/>
      <c r="H126" s="713"/>
      <c r="I126" s="720"/>
      <c r="J126" s="713"/>
      <c r="K126" s="714"/>
      <c r="L126" s="718"/>
    </row>
    <row r="127" spans="1:12">
      <c r="A127" s="712"/>
      <c r="B127" s="722"/>
      <c r="C127" s="712"/>
      <c r="D127" s="713"/>
      <c r="E127" s="713"/>
      <c r="F127" s="713"/>
      <c r="G127" s="713"/>
      <c r="H127" s="713"/>
      <c r="I127" s="720"/>
      <c r="J127" s="713"/>
      <c r="K127" s="714"/>
      <c r="L127" s="718"/>
    </row>
    <row r="128" spans="1:12">
      <c r="A128" s="712"/>
      <c r="B128" s="722"/>
      <c r="C128" s="712"/>
      <c r="D128" s="713"/>
      <c r="E128" s="713"/>
      <c r="F128" s="713"/>
      <c r="G128" s="713"/>
      <c r="H128" s="713"/>
      <c r="I128" s="720"/>
      <c r="J128" s="713"/>
      <c r="K128" s="714"/>
      <c r="L128" s="718"/>
    </row>
    <row r="129" spans="1:12">
      <c r="A129" s="712"/>
      <c r="B129" s="717"/>
      <c r="C129" s="712"/>
      <c r="D129" s="713"/>
      <c r="E129" s="713"/>
      <c r="F129" s="713"/>
      <c r="G129" s="713"/>
      <c r="H129" s="713"/>
      <c r="I129" s="713"/>
      <c r="J129" s="712"/>
      <c r="K129" s="714"/>
      <c r="L129" s="718">
        <v>190.839</v>
      </c>
    </row>
    <row r="130" spans="1:12" ht="15.75">
      <c r="A130" s="646">
        <v>16</v>
      </c>
      <c r="B130" s="656" t="s">
        <v>1764</v>
      </c>
      <c r="C130" s="646" t="s">
        <v>86</v>
      </c>
      <c r="D130" s="713"/>
      <c r="E130" s="713"/>
      <c r="F130" s="713"/>
      <c r="G130" s="713"/>
      <c r="H130" s="713"/>
      <c r="I130" s="720"/>
      <c r="J130" s="713"/>
      <c r="K130" s="714"/>
      <c r="L130" s="718"/>
    </row>
    <row r="131" spans="1:12">
      <c r="A131" s="712"/>
      <c r="B131" s="722"/>
      <c r="C131" s="712"/>
      <c r="D131" s="713"/>
      <c r="E131" s="713"/>
      <c r="F131" s="713"/>
      <c r="G131" s="713"/>
      <c r="H131" s="713"/>
      <c r="I131" s="720"/>
      <c r="J131" s="713"/>
      <c r="K131" s="714"/>
      <c r="L131" s="718"/>
    </row>
    <row r="132" spans="1:12">
      <c r="A132" s="712"/>
      <c r="B132" s="717"/>
      <c r="C132" s="712"/>
      <c r="D132" s="713"/>
      <c r="E132" s="713"/>
      <c r="F132" s="713"/>
      <c r="G132" s="713"/>
      <c r="H132" s="713"/>
      <c r="I132" s="713"/>
      <c r="J132" s="712"/>
      <c r="K132" s="714"/>
      <c r="L132" s="718">
        <v>20.721</v>
      </c>
    </row>
    <row r="133" spans="1:12">
      <c r="A133" s="712"/>
      <c r="B133" s="722"/>
      <c r="C133" s="712"/>
      <c r="D133" s="713"/>
      <c r="E133" s="713"/>
      <c r="F133" s="713"/>
      <c r="G133" s="713"/>
      <c r="H133" s="713"/>
      <c r="I133" s="720"/>
      <c r="J133" s="720"/>
      <c r="K133" s="714"/>
      <c r="L133" s="718"/>
    </row>
    <row r="134" spans="1:12">
      <c r="A134" s="712"/>
      <c r="B134" s="717"/>
      <c r="C134" s="712"/>
      <c r="D134" s="713"/>
      <c r="E134" s="713"/>
      <c r="F134" s="713"/>
      <c r="G134" s="713"/>
      <c r="H134" s="713"/>
      <c r="I134" s="713"/>
      <c r="J134" s="713"/>
      <c r="K134" s="714"/>
      <c r="L134" s="718">
        <v>138.33799999999999</v>
      </c>
    </row>
    <row r="135" spans="1:12">
      <c r="A135" s="712"/>
      <c r="B135" s="717"/>
      <c r="C135" s="712"/>
      <c r="D135" s="713"/>
      <c r="E135" s="713"/>
      <c r="F135" s="713"/>
      <c r="G135" s="713"/>
      <c r="H135" s="713"/>
      <c r="I135" s="713"/>
      <c r="J135" s="713"/>
      <c r="K135" s="714"/>
      <c r="L135" s="718">
        <v>138.33799999999999</v>
      </c>
    </row>
    <row r="136" spans="1:12">
      <c r="A136" s="709"/>
      <c r="B136" s="716"/>
      <c r="C136" s="712"/>
      <c r="D136" s="713"/>
      <c r="E136" s="713"/>
      <c r="F136" s="713"/>
      <c r="G136" s="713"/>
      <c r="H136" s="713"/>
      <c r="I136" s="713"/>
      <c r="J136" s="713"/>
      <c r="K136" s="714"/>
      <c r="L136" s="718"/>
    </row>
    <row r="137" spans="1:12">
      <c r="A137" s="712"/>
      <c r="B137" s="717"/>
      <c r="C137" s="712"/>
      <c r="D137" s="713"/>
      <c r="E137" s="713"/>
      <c r="F137" s="713"/>
      <c r="G137" s="713"/>
      <c r="H137" s="713"/>
      <c r="I137" s="713"/>
      <c r="J137" s="712"/>
      <c r="K137" s="714"/>
      <c r="L137" s="718">
        <v>11.4</v>
      </c>
    </row>
    <row r="138" spans="1:12">
      <c r="A138" s="712"/>
      <c r="B138" s="722"/>
      <c r="C138" s="712"/>
      <c r="D138" s="713"/>
      <c r="E138" s="713"/>
      <c r="F138" s="713"/>
      <c r="G138" s="713"/>
      <c r="H138" s="713"/>
      <c r="I138" s="724"/>
      <c r="J138" s="713"/>
      <c r="K138" s="714"/>
      <c r="L138" s="718"/>
    </row>
    <row r="139" spans="1:12" ht="15.75">
      <c r="A139" s="646"/>
      <c r="B139" s="656" t="s">
        <v>1765</v>
      </c>
      <c r="C139" s="646"/>
      <c r="D139" s="713"/>
      <c r="E139" s="713"/>
      <c r="F139" s="713"/>
      <c r="G139" s="713"/>
      <c r="H139" s="713"/>
      <c r="I139" s="724"/>
      <c r="J139" s="713"/>
      <c r="K139" s="714"/>
      <c r="L139" s="718"/>
    </row>
    <row r="140" spans="1:12" ht="31.5">
      <c r="A140" s="646">
        <v>17</v>
      </c>
      <c r="B140" s="656" t="s">
        <v>1766</v>
      </c>
      <c r="C140" s="646" t="s">
        <v>43</v>
      </c>
      <c r="D140" s="713"/>
      <c r="E140" s="713"/>
      <c r="F140" s="713"/>
      <c r="G140" s="713"/>
      <c r="H140" s="713"/>
      <c r="I140" s="724"/>
      <c r="J140" s="713"/>
      <c r="K140" s="714"/>
      <c r="L140" s="718"/>
    </row>
    <row r="141" spans="1:12">
      <c r="A141" s="712"/>
      <c r="B141" s="717"/>
      <c r="C141" s="712"/>
      <c r="D141" s="713"/>
      <c r="E141" s="713"/>
      <c r="F141" s="713"/>
      <c r="G141" s="713"/>
      <c r="H141" s="713"/>
      <c r="I141" s="713"/>
      <c r="J141" s="712"/>
      <c r="K141" s="714"/>
      <c r="L141" s="718">
        <v>57.375</v>
      </c>
    </row>
    <row r="142" spans="1:12">
      <c r="A142" s="712"/>
      <c r="B142" s="717"/>
      <c r="C142" s="712"/>
      <c r="D142" s="713"/>
      <c r="E142" s="713"/>
      <c r="F142" s="713"/>
      <c r="G142" s="713"/>
      <c r="H142" s="713"/>
      <c r="I142" s="713"/>
      <c r="J142" s="712"/>
      <c r="K142" s="714"/>
      <c r="L142" s="718">
        <v>0.27700000000000002</v>
      </c>
    </row>
    <row r="143" spans="1:12">
      <c r="A143" s="712"/>
      <c r="B143" s="717"/>
      <c r="C143" s="712"/>
      <c r="D143" s="713"/>
      <c r="E143" s="713"/>
      <c r="F143" s="713"/>
      <c r="G143" s="713"/>
      <c r="H143" s="713"/>
      <c r="I143" s="713"/>
      <c r="J143" s="712"/>
      <c r="K143" s="714"/>
      <c r="L143" s="718">
        <v>19.995000000000001</v>
      </c>
    </row>
    <row r="144" spans="1:12">
      <c r="A144" s="712"/>
      <c r="B144" s="722"/>
      <c r="C144" s="712"/>
      <c r="D144" s="713"/>
      <c r="E144" s="713"/>
      <c r="F144" s="713"/>
      <c r="G144" s="713"/>
      <c r="H144" s="713"/>
      <c r="I144" s="720"/>
      <c r="J144" s="713"/>
      <c r="K144" s="714"/>
      <c r="L144" s="718"/>
    </row>
    <row r="145" spans="1:12">
      <c r="A145" s="712"/>
      <c r="B145" s="722"/>
      <c r="C145" s="712"/>
      <c r="D145" s="713"/>
      <c r="E145" s="713"/>
      <c r="F145" s="713"/>
      <c r="G145" s="713"/>
      <c r="H145" s="713"/>
      <c r="I145" s="720"/>
      <c r="J145" s="713"/>
      <c r="K145" s="714"/>
      <c r="L145" s="718"/>
    </row>
    <row r="146" spans="1:12">
      <c r="A146" s="712"/>
      <c r="B146" s="722"/>
      <c r="C146" s="712"/>
      <c r="D146" s="713"/>
      <c r="E146" s="713"/>
      <c r="F146" s="713"/>
      <c r="G146" s="713"/>
      <c r="H146" s="713"/>
      <c r="I146" s="720"/>
      <c r="J146" s="713"/>
      <c r="K146" s="714"/>
      <c r="L146" s="718"/>
    </row>
    <row r="147" spans="1:12">
      <c r="A147" s="712"/>
      <c r="B147" s="722"/>
      <c r="C147" s="712"/>
      <c r="D147" s="713"/>
      <c r="E147" s="713"/>
      <c r="F147" s="713"/>
      <c r="G147" s="713"/>
      <c r="H147" s="713"/>
      <c r="I147" s="720"/>
      <c r="J147" s="713"/>
      <c r="K147" s="714"/>
      <c r="L147" s="718"/>
    </row>
    <row r="148" spans="1:12">
      <c r="A148" s="712"/>
      <c r="B148" s="722"/>
      <c r="C148" s="712"/>
      <c r="D148" s="713"/>
      <c r="E148" s="713"/>
      <c r="F148" s="713"/>
      <c r="G148" s="713"/>
      <c r="H148" s="713"/>
      <c r="I148" s="720"/>
      <c r="J148" s="713"/>
      <c r="K148" s="714"/>
      <c r="L148" s="718"/>
    </row>
    <row r="149" spans="1:12" ht="15.75">
      <c r="A149" s="646">
        <v>18</v>
      </c>
      <c r="B149" s="656" t="s">
        <v>1767</v>
      </c>
      <c r="C149" s="646" t="s">
        <v>86</v>
      </c>
      <c r="D149" s="713"/>
      <c r="E149" s="713"/>
      <c r="F149" s="713"/>
      <c r="G149" s="713"/>
      <c r="H149" s="713"/>
      <c r="I149" s="720"/>
      <c r="J149" s="713"/>
      <c r="K149" s="714"/>
      <c r="L149" s="718"/>
    </row>
    <row r="150" spans="1:12">
      <c r="A150" s="712"/>
      <c r="B150" s="722"/>
      <c r="C150" s="712"/>
      <c r="D150" s="713"/>
      <c r="E150" s="713"/>
      <c r="F150" s="713"/>
      <c r="G150" s="713"/>
      <c r="H150" s="713"/>
      <c r="I150" s="720"/>
      <c r="J150" s="713"/>
      <c r="K150" s="714"/>
      <c r="L150" s="718"/>
    </row>
    <row r="151" spans="1:12">
      <c r="A151" s="712"/>
      <c r="B151" s="722"/>
      <c r="C151" s="712"/>
      <c r="D151" s="713"/>
      <c r="E151" s="713"/>
      <c r="F151" s="713"/>
      <c r="G151" s="713"/>
      <c r="H151" s="713"/>
      <c r="I151" s="720"/>
      <c r="J151" s="713"/>
      <c r="K151" s="714"/>
      <c r="L151" s="718"/>
    </row>
    <row r="152" spans="1:12">
      <c r="A152" s="712"/>
      <c r="B152" s="722"/>
      <c r="C152" s="712"/>
      <c r="D152" s="713"/>
      <c r="E152" s="713"/>
      <c r="F152" s="713"/>
      <c r="G152" s="713"/>
      <c r="H152" s="713"/>
      <c r="I152" s="720"/>
      <c r="J152" s="713"/>
      <c r="K152" s="714"/>
      <c r="L152" s="718"/>
    </row>
    <row r="153" spans="1:12">
      <c r="A153" s="712"/>
      <c r="B153" s="722"/>
      <c r="C153" s="712"/>
      <c r="D153" s="713"/>
      <c r="E153" s="713"/>
      <c r="F153" s="713"/>
      <c r="G153" s="713"/>
      <c r="H153" s="713"/>
      <c r="I153" s="720"/>
      <c r="J153" s="713"/>
      <c r="K153" s="714"/>
      <c r="L153" s="718"/>
    </row>
    <row r="154" spans="1:12">
      <c r="A154" s="712"/>
      <c r="B154" s="722"/>
      <c r="C154" s="712"/>
      <c r="D154" s="713"/>
      <c r="E154" s="713"/>
      <c r="F154" s="713"/>
      <c r="G154" s="713"/>
      <c r="H154" s="713"/>
      <c r="I154" s="720"/>
      <c r="J154" s="713"/>
      <c r="K154" s="714"/>
      <c r="L154" s="718"/>
    </row>
    <row r="155" spans="1:12">
      <c r="A155" s="712"/>
      <c r="B155" s="717"/>
      <c r="C155" s="712"/>
      <c r="D155" s="713"/>
      <c r="E155" s="713"/>
      <c r="F155" s="713"/>
      <c r="G155" s="713"/>
      <c r="H155" s="713"/>
      <c r="I155" s="713"/>
      <c r="J155" s="720"/>
      <c r="K155" s="714"/>
      <c r="L155" s="718">
        <v>8.9209999999999994</v>
      </c>
    </row>
    <row r="156" spans="1:12" ht="31.5">
      <c r="A156" s="646">
        <v>19</v>
      </c>
      <c r="B156" s="656" t="s">
        <v>205</v>
      </c>
      <c r="C156" s="646" t="s">
        <v>192</v>
      </c>
      <c r="D156" s="713"/>
      <c r="E156" s="713"/>
      <c r="F156" s="713"/>
      <c r="G156" s="713"/>
      <c r="H156" s="713"/>
      <c r="I156" s="720"/>
      <c r="J156" s="713"/>
      <c r="K156" s="714"/>
      <c r="L156" s="718"/>
    </row>
    <row r="157" spans="1:12">
      <c r="A157" s="712"/>
      <c r="B157" s="722"/>
      <c r="C157" s="712"/>
      <c r="D157" s="713"/>
      <c r="E157" s="713"/>
      <c r="F157" s="713"/>
      <c r="G157" s="713"/>
      <c r="H157" s="713"/>
      <c r="I157" s="720"/>
      <c r="J157" s="713"/>
      <c r="K157" s="714"/>
      <c r="L157" s="718"/>
    </row>
    <row r="158" spans="1:12">
      <c r="A158" s="712"/>
      <c r="B158" s="722"/>
      <c r="C158" s="712"/>
      <c r="D158" s="713"/>
      <c r="E158" s="713"/>
      <c r="F158" s="713"/>
      <c r="G158" s="713"/>
      <c r="H158" s="713"/>
      <c r="I158" s="720"/>
      <c r="J158" s="713"/>
      <c r="K158" s="714"/>
      <c r="L158" s="718"/>
    </row>
    <row r="159" spans="1:12">
      <c r="A159" s="712"/>
      <c r="B159" s="722"/>
      <c r="C159" s="712"/>
      <c r="D159" s="713"/>
      <c r="E159" s="713"/>
      <c r="F159" s="713"/>
      <c r="G159" s="713"/>
      <c r="H159" s="713"/>
      <c r="I159" s="720"/>
      <c r="J159" s="713"/>
      <c r="K159" s="714"/>
      <c r="L159" s="718"/>
    </row>
    <row r="160" spans="1:12">
      <c r="A160" s="712"/>
      <c r="B160" s="722"/>
      <c r="C160" s="712"/>
      <c r="D160" s="713"/>
      <c r="E160" s="713"/>
      <c r="F160" s="713"/>
      <c r="G160" s="713"/>
      <c r="H160" s="713"/>
      <c r="I160" s="720"/>
      <c r="J160" s="713"/>
      <c r="K160" s="714"/>
      <c r="L160" s="718"/>
    </row>
    <row r="161" spans="1:12">
      <c r="A161" s="712"/>
      <c r="B161" s="722"/>
      <c r="C161" s="712"/>
      <c r="D161" s="713"/>
      <c r="E161" s="713"/>
      <c r="F161" s="713"/>
      <c r="G161" s="713"/>
      <c r="H161" s="713"/>
      <c r="I161" s="720"/>
      <c r="J161" s="713"/>
      <c r="K161" s="714"/>
      <c r="L161" s="718"/>
    </row>
    <row r="162" spans="1:12">
      <c r="A162" s="712"/>
      <c r="B162" s="717"/>
      <c r="C162" s="712"/>
      <c r="D162" s="713"/>
      <c r="E162" s="713"/>
      <c r="F162" s="713"/>
      <c r="G162" s="713"/>
      <c r="H162" s="713"/>
      <c r="I162" s="713"/>
      <c r="J162" s="712"/>
      <c r="K162" s="714"/>
      <c r="L162" s="718">
        <v>43.146000000000001</v>
      </c>
    </row>
    <row r="163" spans="1:12" ht="31.5">
      <c r="A163" s="646">
        <v>20</v>
      </c>
      <c r="B163" s="656" t="s">
        <v>1768</v>
      </c>
      <c r="C163" s="646" t="s">
        <v>221</v>
      </c>
      <c r="D163" s="713"/>
      <c r="E163" s="713"/>
      <c r="F163" s="713"/>
      <c r="G163" s="713"/>
      <c r="H163" s="713"/>
      <c r="I163" s="720"/>
      <c r="J163" s="713"/>
      <c r="K163" s="714"/>
      <c r="L163" s="718"/>
    </row>
    <row r="164" spans="1:12">
      <c r="A164" s="712"/>
      <c r="B164" s="717"/>
      <c r="C164" s="712"/>
      <c r="D164" s="713"/>
      <c r="E164" s="713"/>
      <c r="F164" s="713"/>
      <c r="G164" s="713"/>
      <c r="H164" s="713"/>
      <c r="I164" s="723"/>
      <c r="J164" s="712"/>
      <c r="K164" s="714"/>
      <c r="L164" s="718">
        <v>5.96</v>
      </c>
    </row>
    <row r="165" spans="1:12">
      <c r="A165" s="712"/>
      <c r="B165" s="722"/>
      <c r="C165" s="712"/>
      <c r="D165" s="713"/>
      <c r="E165" s="713"/>
      <c r="F165" s="713"/>
      <c r="G165" s="713"/>
      <c r="H165" s="713"/>
      <c r="I165" s="723"/>
      <c r="J165" s="723"/>
      <c r="K165" s="714"/>
      <c r="L165" s="718"/>
    </row>
    <row r="166" spans="1:12">
      <c r="A166" s="712"/>
      <c r="B166" s="717"/>
      <c r="C166" s="712"/>
      <c r="D166" s="713"/>
      <c r="E166" s="713"/>
      <c r="F166" s="713"/>
      <c r="G166" s="713"/>
      <c r="H166" s="713"/>
      <c r="I166" s="713"/>
      <c r="J166" s="713"/>
      <c r="K166" s="714"/>
      <c r="L166" s="718">
        <v>45.338999999999999</v>
      </c>
    </row>
    <row r="167" spans="1:12">
      <c r="A167" s="712"/>
      <c r="B167" s="717"/>
      <c r="C167" s="712"/>
      <c r="D167" s="713"/>
      <c r="E167" s="713"/>
      <c r="F167" s="713"/>
      <c r="G167" s="713"/>
      <c r="H167" s="713"/>
      <c r="I167" s="713"/>
      <c r="J167" s="713"/>
      <c r="K167" s="714"/>
      <c r="L167" s="718">
        <v>45.338999999999999</v>
      </c>
    </row>
    <row r="168" spans="1:12">
      <c r="A168" s="709"/>
      <c r="B168" s="716"/>
      <c r="C168" s="712"/>
      <c r="D168" s="713"/>
      <c r="E168" s="713"/>
      <c r="F168" s="713"/>
      <c r="G168" s="713"/>
      <c r="H168" s="713"/>
      <c r="I168" s="713"/>
      <c r="J168" s="713"/>
      <c r="K168" s="714"/>
      <c r="L168" s="718"/>
    </row>
    <row r="169" spans="1:12">
      <c r="A169" s="712"/>
      <c r="B169" s="717"/>
      <c r="C169" s="712"/>
      <c r="D169" s="713"/>
      <c r="E169" s="713"/>
      <c r="F169" s="713"/>
      <c r="G169" s="713"/>
      <c r="H169" s="713"/>
      <c r="I169" s="720"/>
      <c r="J169" s="712"/>
      <c r="K169" s="714"/>
      <c r="L169" s="718">
        <v>3.9060000000000001</v>
      </c>
    </row>
    <row r="170" spans="1:12" ht="15.75">
      <c r="A170" s="646"/>
      <c r="B170" s="655" t="s">
        <v>1769</v>
      </c>
      <c r="C170" s="646"/>
      <c r="D170" s="713"/>
      <c r="E170" s="713"/>
      <c r="F170" s="713"/>
      <c r="G170" s="713"/>
      <c r="H170" s="713"/>
      <c r="I170" s="720"/>
      <c r="J170" s="712"/>
      <c r="K170" s="714"/>
      <c r="L170" s="718"/>
    </row>
    <row r="171" spans="1:12" ht="47.25">
      <c r="A171" s="646">
        <v>21</v>
      </c>
      <c r="B171" s="656" t="s">
        <v>1770</v>
      </c>
      <c r="C171" s="646" t="s">
        <v>43</v>
      </c>
      <c r="D171" s="713"/>
      <c r="E171" s="713"/>
      <c r="F171" s="713"/>
      <c r="G171" s="713"/>
      <c r="H171" s="713"/>
      <c r="I171" s="713"/>
      <c r="J171" s="712"/>
      <c r="K171" s="714"/>
      <c r="L171" s="718">
        <v>8.3030000000000008</v>
      </c>
    </row>
    <row r="172" spans="1:12">
      <c r="A172" s="712"/>
      <c r="B172" s="722"/>
      <c r="C172" s="712"/>
      <c r="D172" s="713"/>
      <c r="E172" s="713"/>
      <c r="F172" s="713"/>
      <c r="G172" s="713"/>
      <c r="H172" s="713"/>
      <c r="I172" s="720"/>
      <c r="J172" s="713"/>
      <c r="K172" s="714"/>
      <c r="L172" s="718"/>
    </row>
    <row r="173" spans="1:12">
      <c r="A173" s="712"/>
      <c r="B173" s="722"/>
      <c r="C173" s="712"/>
      <c r="D173" s="713"/>
      <c r="E173" s="713"/>
      <c r="F173" s="713"/>
      <c r="G173" s="713"/>
      <c r="H173" s="713"/>
      <c r="I173" s="720"/>
      <c r="J173" s="713"/>
      <c r="K173" s="714"/>
      <c r="L173" s="718"/>
    </row>
    <row r="174" spans="1:12">
      <c r="A174" s="712"/>
      <c r="B174" s="722"/>
      <c r="C174" s="712"/>
      <c r="D174" s="713"/>
      <c r="E174" s="713"/>
      <c r="F174" s="713"/>
      <c r="G174" s="713"/>
      <c r="H174" s="713"/>
      <c r="I174" s="720"/>
      <c r="J174" s="713"/>
      <c r="K174" s="714"/>
      <c r="L174" s="718"/>
    </row>
    <row r="175" spans="1:12">
      <c r="A175" s="712"/>
      <c r="B175" s="722"/>
      <c r="C175" s="712"/>
      <c r="D175" s="713"/>
      <c r="E175" s="713"/>
      <c r="F175" s="713"/>
      <c r="G175" s="713"/>
      <c r="H175" s="713"/>
      <c r="I175" s="720"/>
      <c r="J175" s="713"/>
      <c r="K175" s="714"/>
      <c r="L175" s="718"/>
    </row>
    <row r="176" spans="1:12">
      <c r="A176" s="712"/>
      <c r="B176" s="722"/>
      <c r="C176" s="712"/>
      <c r="D176" s="713"/>
      <c r="E176" s="713"/>
      <c r="F176" s="713"/>
      <c r="G176" s="713"/>
      <c r="H176" s="713"/>
      <c r="I176" s="720"/>
      <c r="J176" s="713"/>
      <c r="K176" s="714"/>
      <c r="L176" s="718"/>
    </row>
    <row r="177" spans="1:12">
      <c r="A177" s="712"/>
      <c r="B177" s="722"/>
      <c r="C177" s="712"/>
      <c r="D177" s="713"/>
      <c r="E177" s="713"/>
      <c r="F177" s="713"/>
      <c r="G177" s="713"/>
      <c r="H177" s="713"/>
      <c r="I177" s="720"/>
      <c r="J177" s="713"/>
      <c r="K177" s="714"/>
      <c r="L177" s="718"/>
    </row>
    <row r="178" spans="1:12">
      <c r="A178" s="712"/>
      <c r="B178" s="717"/>
      <c r="C178" s="712"/>
      <c r="D178" s="713"/>
      <c r="E178" s="713"/>
      <c r="F178" s="713"/>
      <c r="G178" s="713"/>
      <c r="H178" s="713"/>
      <c r="I178" s="713"/>
      <c r="J178" s="712"/>
      <c r="K178" s="714"/>
      <c r="L178" s="718">
        <v>2.3370000000000002</v>
      </c>
    </row>
    <row r="179" spans="1:12">
      <c r="A179" s="712"/>
      <c r="B179" s="722"/>
      <c r="C179" s="712"/>
      <c r="D179" s="713"/>
      <c r="E179" s="713"/>
      <c r="F179" s="713"/>
      <c r="G179" s="713"/>
      <c r="H179" s="713"/>
      <c r="I179" s="720"/>
      <c r="J179" s="713"/>
      <c r="K179" s="714"/>
      <c r="L179" s="718"/>
    </row>
    <row r="180" spans="1:12" ht="31.5">
      <c r="A180" s="646">
        <v>22</v>
      </c>
      <c r="B180" s="656" t="s">
        <v>1771</v>
      </c>
      <c r="C180" s="646" t="s">
        <v>86</v>
      </c>
      <c r="D180" s="713"/>
      <c r="E180" s="713"/>
      <c r="F180" s="713"/>
      <c r="G180" s="713"/>
      <c r="H180" s="713"/>
      <c r="I180" s="720"/>
      <c r="J180" s="713"/>
      <c r="K180" s="714"/>
      <c r="L180" s="718"/>
    </row>
    <row r="181" spans="1:12">
      <c r="A181" s="712"/>
      <c r="B181" s="722"/>
      <c r="C181" s="712"/>
      <c r="D181" s="713"/>
      <c r="E181" s="713"/>
      <c r="F181" s="713"/>
      <c r="G181" s="713"/>
      <c r="H181" s="713"/>
      <c r="I181" s="720"/>
      <c r="J181" s="713"/>
      <c r="K181" s="714"/>
      <c r="L181" s="718"/>
    </row>
    <row r="182" spans="1:12">
      <c r="A182" s="712"/>
      <c r="B182" s="717"/>
      <c r="C182" s="712"/>
      <c r="D182" s="713"/>
      <c r="E182" s="713"/>
      <c r="F182" s="713"/>
      <c r="G182" s="713"/>
      <c r="H182" s="713"/>
      <c r="I182" s="713"/>
      <c r="J182" s="712"/>
      <c r="K182" s="714"/>
      <c r="L182" s="718">
        <v>2.5190000000000001</v>
      </c>
    </row>
    <row r="183" spans="1:12">
      <c r="A183" s="712"/>
      <c r="B183" s="722"/>
      <c r="C183" s="712"/>
      <c r="D183" s="713"/>
      <c r="E183" s="713"/>
      <c r="F183" s="713"/>
      <c r="G183" s="713"/>
      <c r="H183" s="713"/>
      <c r="I183" s="720"/>
      <c r="J183" s="713"/>
      <c r="K183" s="714"/>
      <c r="L183" s="718"/>
    </row>
    <row r="184" spans="1:12">
      <c r="A184" s="712"/>
      <c r="B184" s="717"/>
      <c r="C184" s="712"/>
      <c r="D184" s="713"/>
      <c r="E184" s="713"/>
      <c r="F184" s="713"/>
      <c r="G184" s="713"/>
      <c r="H184" s="713"/>
      <c r="I184" s="713"/>
      <c r="J184" s="713"/>
      <c r="K184" s="714"/>
      <c r="L184" s="718">
        <v>17.106999999999999</v>
      </c>
    </row>
    <row r="185" spans="1:12">
      <c r="A185" s="712"/>
      <c r="B185" s="717"/>
      <c r="C185" s="712"/>
      <c r="D185" s="713"/>
      <c r="E185" s="713"/>
      <c r="F185" s="713"/>
      <c r="G185" s="713"/>
      <c r="H185" s="713"/>
      <c r="I185" s="713"/>
      <c r="J185" s="713"/>
      <c r="K185" s="714"/>
      <c r="L185" s="718">
        <v>17.106999999999999</v>
      </c>
    </row>
    <row r="186" spans="1:12" ht="31.5">
      <c r="A186" s="646">
        <v>23</v>
      </c>
      <c r="B186" s="656" t="s">
        <v>1772</v>
      </c>
      <c r="C186" s="646" t="s">
        <v>192</v>
      </c>
      <c r="D186" s="713"/>
      <c r="E186" s="713"/>
      <c r="F186" s="713"/>
      <c r="G186" s="713"/>
      <c r="H186" s="713"/>
      <c r="I186" s="713"/>
      <c r="J186" s="713"/>
      <c r="K186" s="714"/>
      <c r="L186" s="718"/>
    </row>
    <row r="187" spans="1:12">
      <c r="A187" s="712"/>
      <c r="B187" s="717"/>
      <c r="C187" s="712"/>
      <c r="D187" s="713"/>
      <c r="E187" s="713"/>
      <c r="F187" s="713"/>
      <c r="G187" s="713"/>
      <c r="H187" s="713"/>
      <c r="I187" s="713"/>
      <c r="J187" s="712"/>
      <c r="K187" s="714"/>
      <c r="L187" s="718">
        <v>5.4</v>
      </c>
    </row>
    <row r="188" spans="1:12">
      <c r="A188" s="712"/>
      <c r="B188" s="722"/>
      <c r="C188" s="712"/>
      <c r="D188" s="713"/>
      <c r="E188" s="713"/>
      <c r="F188" s="713"/>
      <c r="G188" s="713"/>
      <c r="H188" s="713"/>
      <c r="I188" s="724"/>
      <c r="J188" s="713"/>
      <c r="K188" s="714"/>
      <c r="L188" s="718"/>
    </row>
    <row r="189" spans="1:12">
      <c r="A189" s="712"/>
      <c r="B189" s="717"/>
      <c r="C189" s="712"/>
      <c r="D189" s="713"/>
      <c r="E189" s="713"/>
      <c r="F189" s="713"/>
      <c r="G189" s="713"/>
      <c r="H189" s="713"/>
      <c r="I189" s="713"/>
      <c r="J189" s="712"/>
      <c r="K189" s="714"/>
      <c r="L189" s="718">
        <v>10.063000000000001</v>
      </c>
    </row>
    <row r="190" spans="1:12">
      <c r="A190" s="712"/>
      <c r="B190" s="722"/>
      <c r="C190" s="712"/>
      <c r="D190" s="713"/>
      <c r="E190" s="713"/>
      <c r="F190" s="713"/>
      <c r="G190" s="713"/>
      <c r="H190" s="713"/>
      <c r="I190" s="720"/>
      <c r="J190" s="713"/>
      <c r="K190" s="714"/>
      <c r="L190" s="718"/>
    </row>
    <row r="191" spans="1:12">
      <c r="A191" s="712"/>
      <c r="B191" s="722"/>
      <c r="C191" s="712"/>
      <c r="D191" s="713"/>
      <c r="E191" s="713"/>
      <c r="F191" s="713"/>
      <c r="G191" s="713"/>
      <c r="H191" s="713"/>
      <c r="I191" s="720"/>
      <c r="J191" s="713"/>
      <c r="K191" s="714"/>
      <c r="L191" s="718"/>
    </row>
    <row r="192" spans="1:12">
      <c r="A192" s="712"/>
      <c r="B192" s="722"/>
      <c r="C192" s="712"/>
      <c r="D192" s="713"/>
      <c r="E192" s="713"/>
      <c r="F192" s="713"/>
      <c r="G192" s="713"/>
      <c r="H192" s="713"/>
      <c r="I192" s="720"/>
      <c r="J192" s="713"/>
      <c r="K192" s="714"/>
      <c r="L192" s="718"/>
    </row>
    <row r="193" spans="1:12">
      <c r="A193" s="712"/>
      <c r="B193" s="722"/>
      <c r="C193" s="712"/>
      <c r="D193" s="713"/>
      <c r="E193" s="713"/>
      <c r="F193" s="713"/>
      <c r="G193" s="713"/>
      <c r="H193" s="713"/>
      <c r="I193" s="720"/>
      <c r="J193" s="713"/>
      <c r="K193" s="714"/>
      <c r="L193" s="718"/>
    </row>
    <row r="194" spans="1:12" ht="31.5">
      <c r="A194" s="646">
        <v>24</v>
      </c>
      <c r="B194" s="656" t="s">
        <v>1773</v>
      </c>
      <c r="C194" s="646" t="s">
        <v>221</v>
      </c>
      <c r="D194" s="713"/>
      <c r="E194" s="713"/>
      <c r="F194" s="713"/>
      <c r="G194" s="713"/>
      <c r="H194" s="713"/>
      <c r="I194" s="720"/>
      <c r="J194" s="713"/>
      <c r="K194" s="714"/>
      <c r="L194" s="718"/>
    </row>
    <row r="195" spans="1:12">
      <c r="A195" s="712"/>
      <c r="B195" s="722"/>
      <c r="C195" s="712"/>
      <c r="D195" s="713"/>
      <c r="E195" s="713"/>
      <c r="F195" s="713"/>
      <c r="G195" s="713"/>
      <c r="H195" s="713"/>
      <c r="I195" s="720"/>
      <c r="J195" s="713"/>
      <c r="K195" s="714"/>
      <c r="L195" s="718"/>
    </row>
    <row r="196" spans="1:12">
      <c r="A196" s="712"/>
      <c r="B196" s="722"/>
      <c r="C196" s="712"/>
      <c r="D196" s="713"/>
      <c r="E196" s="713"/>
      <c r="F196" s="713"/>
      <c r="G196" s="713"/>
      <c r="H196" s="713"/>
      <c r="I196" s="720"/>
      <c r="J196" s="713"/>
      <c r="K196" s="714"/>
      <c r="L196" s="718"/>
    </row>
    <row r="197" spans="1:12">
      <c r="A197" s="712"/>
      <c r="B197" s="722"/>
      <c r="C197" s="712"/>
      <c r="D197" s="713"/>
      <c r="E197" s="713"/>
      <c r="F197" s="713"/>
      <c r="G197" s="713"/>
      <c r="H197" s="713"/>
      <c r="I197" s="720"/>
      <c r="J197" s="713"/>
      <c r="K197" s="714"/>
      <c r="L197" s="718"/>
    </row>
    <row r="198" spans="1:12">
      <c r="A198" s="712"/>
      <c r="B198" s="722"/>
      <c r="C198" s="712"/>
      <c r="D198" s="713"/>
      <c r="E198" s="713"/>
      <c r="F198" s="713"/>
      <c r="G198" s="713"/>
      <c r="H198" s="713"/>
      <c r="I198" s="720"/>
      <c r="J198" s="713"/>
      <c r="K198" s="714"/>
      <c r="L198" s="718"/>
    </row>
    <row r="199" spans="1:12">
      <c r="A199" s="712"/>
      <c r="B199" s="722"/>
      <c r="C199" s="712"/>
      <c r="D199" s="713"/>
      <c r="E199" s="713"/>
      <c r="F199" s="713"/>
      <c r="G199" s="713"/>
      <c r="H199" s="713"/>
      <c r="I199" s="720"/>
      <c r="J199" s="713"/>
      <c r="K199" s="714"/>
      <c r="L199" s="718"/>
    </row>
    <row r="200" spans="1:12">
      <c r="A200" s="712"/>
      <c r="B200" s="722"/>
      <c r="C200" s="712"/>
      <c r="D200" s="713"/>
      <c r="E200" s="713"/>
      <c r="F200" s="713"/>
      <c r="G200" s="713"/>
      <c r="H200" s="713"/>
      <c r="I200" s="720"/>
      <c r="J200" s="713"/>
      <c r="K200" s="714"/>
      <c r="L200" s="718"/>
    </row>
    <row r="201" spans="1:12" ht="31.5">
      <c r="A201" s="646">
        <v>25</v>
      </c>
      <c r="B201" s="656" t="s">
        <v>1774</v>
      </c>
      <c r="C201" s="646" t="s">
        <v>52</v>
      </c>
      <c r="D201" s="713"/>
      <c r="E201" s="713"/>
      <c r="F201" s="713"/>
      <c r="G201" s="713"/>
      <c r="H201" s="713"/>
      <c r="I201" s="713"/>
      <c r="J201" s="712"/>
      <c r="K201" s="714"/>
      <c r="L201" s="718">
        <v>1.9390000000000001</v>
      </c>
    </row>
    <row r="202" spans="1:12">
      <c r="A202" s="712"/>
      <c r="B202" s="722"/>
      <c r="C202" s="712"/>
      <c r="D202" s="713"/>
      <c r="E202" s="713"/>
      <c r="F202" s="713"/>
      <c r="G202" s="713"/>
      <c r="H202" s="713"/>
      <c r="I202" s="720"/>
      <c r="J202" s="713"/>
      <c r="K202" s="714"/>
      <c r="L202" s="718"/>
    </row>
    <row r="203" spans="1:12">
      <c r="A203" s="712"/>
      <c r="B203" s="722"/>
      <c r="C203" s="712"/>
      <c r="D203" s="713"/>
      <c r="E203" s="713"/>
      <c r="F203" s="713"/>
      <c r="G203" s="713"/>
      <c r="H203" s="713"/>
      <c r="I203" s="720"/>
      <c r="J203" s="713"/>
      <c r="K203" s="714"/>
      <c r="L203" s="718"/>
    </row>
    <row r="204" spans="1:12">
      <c r="A204" s="712"/>
      <c r="B204" s="722"/>
      <c r="C204" s="712"/>
      <c r="D204" s="713"/>
      <c r="E204" s="713"/>
      <c r="F204" s="713"/>
      <c r="G204" s="713"/>
      <c r="H204" s="713"/>
      <c r="I204" s="720"/>
      <c r="J204" s="713"/>
      <c r="K204" s="714"/>
      <c r="L204" s="718"/>
    </row>
    <row r="205" spans="1:12">
      <c r="A205" s="712"/>
      <c r="B205" s="717"/>
      <c r="C205" s="712"/>
      <c r="D205" s="713"/>
      <c r="E205" s="713"/>
      <c r="F205" s="713"/>
      <c r="G205" s="713"/>
      <c r="H205" s="713"/>
      <c r="I205" s="713"/>
      <c r="J205" s="712"/>
      <c r="K205" s="714"/>
      <c r="L205" s="718">
        <v>3.1779999999999999</v>
      </c>
    </row>
    <row r="206" spans="1:12">
      <c r="A206" s="712"/>
      <c r="B206" s="722"/>
      <c r="C206" s="712"/>
      <c r="D206" s="713"/>
      <c r="E206" s="713"/>
      <c r="F206" s="713"/>
      <c r="G206" s="713"/>
      <c r="H206" s="713"/>
      <c r="I206" s="720"/>
      <c r="J206" s="713"/>
      <c r="K206" s="714"/>
      <c r="L206" s="718"/>
    </row>
    <row r="207" spans="1:12">
      <c r="A207" s="712"/>
      <c r="B207" s="717"/>
      <c r="C207" s="712"/>
      <c r="D207" s="713"/>
      <c r="E207" s="713"/>
      <c r="F207" s="713"/>
      <c r="G207" s="713"/>
      <c r="H207" s="713"/>
      <c r="I207" s="713"/>
      <c r="J207" s="713"/>
      <c r="K207" s="714"/>
      <c r="L207" s="718">
        <v>19.734000000000002</v>
      </c>
    </row>
    <row r="208" spans="1:12">
      <c r="A208" s="709"/>
      <c r="B208" s="725"/>
      <c r="C208" s="712"/>
      <c r="D208" s="713"/>
      <c r="E208" s="713"/>
      <c r="F208" s="713"/>
      <c r="G208" s="713"/>
      <c r="H208" s="713"/>
      <c r="I208" s="713"/>
      <c r="J208" s="713"/>
      <c r="K208" s="714"/>
      <c r="L208" s="718"/>
    </row>
    <row r="209" spans="1:24">
      <c r="A209" s="715"/>
      <c r="B209" s="716"/>
      <c r="C209" s="712"/>
      <c r="D209" s="713"/>
      <c r="E209" s="713"/>
      <c r="F209" s="713"/>
      <c r="G209" s="713"/>
      <c r="H209" s="713"/>
      <c r="I209" s="713"/>
      <c r="J209" s="713"/>
      <c r="K209" s="714"/>
      <c r="L209" s="718"/>
    </row>
    <row r="210" spans="1:24" ht="15.75">
      <c r="A210" s="646">
        <v>26</v>
      </c>
      <c r="B210" s="656" t="s">
        <v>1775</v>
      </c>
      <c r="C210" s="646" t="s">
        <v>43</v>
      </c>
      <c r="D210" s="713"/>
      <c r="E210" s="713"/>
      <c r="F210" s="713"/>
      <c r="G210" s="713"/>
      <c r="H210" s="713"/>
      <c r="I210" s="713"/>
      <c r="J210" s="713"/>
      <c r="K210" s="714"/>
      <c r="L210" s="718">
        <v>19.559999999999999</v>
      </c>
      <c r="T210" s="707" t="s">
        <v>1780</v>
      </c>
      <c r="U210" s="707" t="s">
        <v>1781</v>
      </c>
      <c r="V210" s="707" t="s">
        <v>1782</v>
      </c>
    </row>
    <row r="211" spans="1:24">
      <c r="A211" s="712"/>
      <c r="B211" s="719"/>
      <c r="C211" s="712"/>
      <c r="D211" s="713"/>
      <c r="E211" s="713"/>
      <c r="F211" s="713"/>
      <c r="G211" s="713"/>
      <c r="H211" s="713"/>
      <c r="I211" s="713"/>
      <c r="J211" s="713"/>
      <c r="K211" s="714"/>
      <c r="L211" s="718"/>
      <c r="T211" s="707">
        <f>12.8*48.7</f>
        <v>623.36000000000013</v>
      </c>
      <c r="V211" s="707">
        <f>12.75*36.7</f>
        <v>467.92500000000001</v>
      </c>
      <c r="X211" s="707">
        <v>19.559999999999999</v>
      </c>
    </row>
    <row r="212" spans="1:24">
      <c r="A212" s="712"/>
      <c r="B212" s="719"/>
      <c r="C212" s="712"/>
      <c r="D212" s="713"/>
      <c r="E212" s="713"/>
      <c r="F212" s="713"/>
      <c r="G212" s="713"/>
      <c r="H212" s="713"/>
      <c r="I212" s="713"/>
      <c r="J212" s="713"/>
      <c r="K212" s="714"/>
      <c r="L212" s="718"/>
      <c r="T212" s="707">
        <f>11.8*47.7</f>
        <v>562.86</v>
      </c>
      <c r="V212" s="707">
        <f>11.75*35.5</f>
        <v>417.125</v>
      </c>
      <c r="X212" s="707">
        <v>12.819000000000001</v>
      </c>
    </row>
    <row r="213" spans="1:24">
      <c r="A213" s="712"/>
      <c r="B213" s="719"/>
      <c r="C213" s="712"/>
      <c r="D213" s="713"/>
      <c r="E213" s="713"/>
      <c r="F213" s="713"/>
      <c r="G213" s="713"/>
      <c r="H213" s="713"/>
      <c r="I213" s="713"/>
      <c r="J213" s="713"/>
      <c r="K213" s="714"/>
      <c r="L213" s="718"/>
      <c r="T213" s="707">
        <f>T212+T211</f>
        <v>1186.2200000000003</v>
      </c>
      <c r="V213" s="707">
        <f>V212+V211</f>
        <v>885.05</v>
      </c>
      <c r="X213" s="707">
        <v>15.019</v>
      </c>
    </row>
    <row r="214" spans="1:24">
      <c r="A214" s="712"/>
      <c r="B214" s="717"/>
      <c r="C214" s="712"/>
      <c r="D214" s="713"/>
      <c r="E214" s="713"/>
      <c r="F214" s="713"/>
      <c r="G214" s="713"/>
      <c r="H214" s="713"/>
      <c r="I214" s="713"/>
      <c r="J214" s="720"/>
      <c r="K214" s="714"/>
      <c r="L214" s="718">
        <v>12.819000000000001</v>
      </c>
      <c r="T214" s="707">
        <f>T213/2</f>
        <v>593.11000000000013</v>
      </c>
      <c r="V214" s="707">
        <f>V213/2</f>
        <v>442.52499999999998</v>
      </c>
    </row>
    <row r="215" spans="1:24">
      <c r="A215" s="712"/>
      <c r="B215" s="726"/>
      <c r="C215" s="712"/>
      <c r="D215" s="713"/>
      <c r="E215" s="713"/>
      <c r="F215" s="713"/>
      <c r="G215" s="713"/>
      <c r="H215" s="713"/>
      <c r="I215" s="713"/>
      <c r="J215" s="713"/>
      <c r="K215" s="714"/>
      <c r="L215" s="718"/>
      <c r="T215" s="707">
        <f>T214*1.5</f>
        <v>889.66500000000019</v>
      </c>
      <c r="V215" s="707">
        <f>V214*1.5</f>
        <v>663.78749999999991</v>
      </c>
    </row>
    <row r="216" spans="1:24">
      <c r="A216" s="712"/>
      <c r="B216" s="722"/>
      <c r="C216" s="712"/>
      <c r="D216" s="713"/>
      <c r="E216" s="720"/>
      <c r="F216" s="713"/>
      <c r="G216" s="713"/>
      <c r="H216" s="713"/>
      <c r="I216" s="720"/>
      <c r="J216" s="713"/>
      <c r="K216" s="714"/>
      <c r="L216" s="718"/>
      <c r="T216" s="727">
        <f>T215/100</f>
        <v>8.8966500000000011</v>
      </c>
      <c r="V216" s="727">
        <f>V215/100</f>
        <v>6.6378749999999993</v>
      </c>
    </row>
    <row r="217" spans="1:24">
      <c r="A217" s="712"/>
      <c r="B217" s="722"/>
      <c r="C217" s="712"/>
      <c r="D217" s="713"/>
      <c r="E217" s="720"/>
      <c r="F217" s="713"/>
      <c r="G217" s="713"/>
      <c r="H217" s="713"/>
      <c r="I217" s="720"/>
      <c r="J217" s="713"/>
      <c r="K217" s="714"/>
      <c r="L217" s="718"/>
      <c r="U217" s="707">
        <f>T216+V216</f>
        <v>15.534525</v>
      </c>
      <c r="V217" s="707">
        <v>19.559999999999999</v>
      </c>
    </row>
    <row r="218" spans="1:24" ht="15.75">
      <c r="A218" s="646">
        <v>27</v>
      </c>
      <c r="B218" s="656" t="s">
        <v>1776</v>
      </c>
      <c r="C218" s="646" t="s">
        <v>1690</v>
      </c>
      <c r="D218" s="713"/>
      <c r="E218" s="720"/>
      <c r="F218" s="713"/>
      <c r="G218" s="713"/>
      <c r="H218" s="713"/>
      <c r="I218" s="720"/>
      <c r="J218" s="713"/>
      <c r="K218" s="714"/>
      <c r="L218" s="718"/>
      <c r="V218" s="707">
        <f>V217-I211-I213</f>
        <v>19.559999999999999</v>
      </c>
    </row>
    <row r="219" spans="1:24">
      <c r="A219" s="712"/>
      <c r="B219" s="722"/>
      <c r="C219" s="712"/>
      <c r="D219" s="713"/>
      <c r="E219" s="720"/>
      <c r="F219" s="713"/>
      <c r="G219" s="713"/>
      <c r="H219" s="713"/>
      <c r="I219" s="720"/>
      <c r="J219" s="713"/>
      <c r="K219" s="714"/>
      <c r="L219" s="718"/>
    </row>
    <row r="220" spans="1:24">
      <c r="A220" s="712"/>
      <c r="B220" s="717"/>
      <c r="C220" s="712"/>
      <c r="D220" s="713"/>
      <c r="E220" s="713"/>
      <c r="F220" s="713"/>
      <c r="G220" s="713"/>
      <c r="H220" s="713"/>
      <c r="I220" s="713"/>
      <c r="J220" s="713"/>
      <c r="K220" s="714"/>
      <c r="L220" s="718">
        <v>15.019</v>
      </c>
      <c r="V220" s="707">
        <f>X211-V216-T216</f>
        <v>4.0254749999999984</v>
      </c>
    </row>
    <row r="221" spans="1:24">
      <c r="A221" s="715"/>
      <c r="B221" s="716"/>
      <c r="C221" s="712"/>
      <c r="D221" s="713"/>
      <c r="E221" s="713"/>
      <c r="F221" s="713"/>
      <c r="G221" s="713"/>
      <c r="H221" s="713"/>
      <c r="I221" s="713"/>
      <c r="J221" s="713"/>
      <c r="K221" s="714"/>
      <c r="L221" s="718"/>
    </row>
    <row r="222" spans="1:24">
      <c r="A222" s="712"/>
      <c r="B222" s="717"/>
      <c r="C222" s="712"/>
      <c r="D222" s="713"/>
      <c r="E222" s="713"/>
      <c r="F222" s="713"/>
      <c r="G222" s="713"/>
      <c r="H222" s="713"/>
      <c r="I222" s="713"/>
      <c r="J222" s="713"/>
      <c r="K222" s="714"/>
      <c r="L222" s="718">
        <v>3234</v>
      </c>
    </row>
    <row r="223" spans="1:24">
      <c r="A223" s="712"/>
      <c r="B223" s="719"/>
      <c r="C223" s="712"/>
      <c r="D223" s="713"/>
      <c r="E223" s="713"/>
      <c r="F223" s="713"/>
      <c r="G223" s="713"/>
      <c r="H223" s="713"/>
      <c r="I223" s="713"/>
      <c r="J223" s="713"/>
      <c r="K223" s="714"/>
      <c r="L223" s="718"/>
    </row>
    <row r="224" spans="1:24">
      <c r="A224" s="712"/>
      <c r="B224" s="717"/>
      <c r="C224" s="712"/>
      <c r="D224" s="713"/>
      <c r="E224" s="713"/>
      <c r="F224" s="713"/>
      <c r="G224" s="713"/>
      <c r="H224" s="713"/>
      <c r="I224" s="713"/>
      <c r="J224" s="713"/>
      <c r="K224" s="714"/>
      <c r="L224" s="718">
        <v>294</v>
      </c>
    </row>
    <row r="225" spans="1:12">
      <c r="A225" s="712"/>
      <c r="B225" s="719"/>
      <c r="C225" s="712"/>
      <c r="D225" s="713"/>
      <c r="E225" s="713"/>
      <c r="F225" s="713"/>
      <c r="G225" s="713"/>
      <c r="H225" s="713"/>
      <c r="I225" s="713"/>
      <c r="J225" s="713"/>
      <c r="K225" s="714"/>
      <c r="L225" s="718"/>
    </row>
    <row r="226" spans="1:12">
      <c r="A226" s="712"/>
      <c r="B226" s="717"/>
      <c r="C226" s="712"/>
      <c r="D226" s="713"/>
      <c r="E226" s="713"/>
      <c r="F226" s="713"/>
      <c r="G226" s="713"/>
      <c r="H226" s="713"/>
      <c r="I226" s="713"/>
      <c r="J226" s="723"/>
      <c r="K226" s="714"/>
      <c r="L226" s="718">
        <v>692.37</v>
      </c>
    </row>
    <row r="227" spans="1:12">
      <c r="A227" s="712"/>
      <c r="B227" s="719"/>
      <c r="C227" s="712"/>
      <c r="D227" s="713"/>
      <c r="E227" s="713"/>
      <c r="F227" s="713"/>
      <c r="G227" s="713"/>
      <c r="H227" s="713"/>
      <c r="I227" s="723"/>
      <c r="J227" s="713"/>
      <c r="K227" s="714"/>
      <c r="L227" s="718"/>
    </row>
    <row r="228" spans="1:12">
      <c r="A228" s="712"/>
      <c r="B228" s="717"/>
      <c r="C228" s="712"/>
      <c r="D228" s="713"/>
      <c r="E228" s="713"/>
      <c r="F228" s="713"/>
      <c r="G228" s="713"/>
      <c r="H228" s="713"/>
      <c r="I228" s="713"/>
      <c r="J228" s="723"/>
      <c r="K228" s="714"/>
      <c r="L228" s="718">
        <v>8.3079999999999998</v>
      </c>
    </row>
    <row r="229" spans="1:12">
      <c r="A229" s="712"/>
      <c r="B229" s="717"/>
      <c r="C229" s="712"/>
      <c r="D229" s="713"/>
      <c r="E229" s="713"/>
      <c r="F229" s="713"/>
      <c r="G229" s="713"/>
      <c r="H229" s="713"/>
      <c r="I229" s="713"/>
      <c r="J229" s="723"/>
      <c r="K229" s="714"/>
      <c r="L229" s="718">
        <v>8.3079999999999998</v>
      </c>
    </row>
    <row r="230" spans="1:12">
      <c r="A230" s="712"/>
      <c r="B230" s="717"/>
      <c r="C230" s="712"/>
      <c r="D230" s="713"/>
      <c r="E230" s="713"/>
      <c r="F230" s="713"/>
      <c r="G230" s="713"/>
      <c r="H230" s="713"/>
      <c r="I230" s="713"/>
      <c r="J230" s="723"/>
      <c r="K230" s="714"/>
      <c r="L230" s="718">
        <v>2.3079999999999998</v>
      </c>
    </row>
    <row r="231" spans="1:12">
      <c r="A231" s="712"/>
      <c r="B231" s="717"/>
      <c r="C231" s="712"/>
      <c r="D231" s="713"/>
      <c r="E231" s="713"/>
      <c r="F231" s="713"/>
      <c r="G231" s="713"/>
      <c r="H231" s="713"/>
      <c r="I231" s="713"/>
      <c r="J231" s="723"/>
      <c r="K231" s="714"/>
      <c r="L231" s="718">
        <v>2.3079999999999998</v>
      </c>
    </row>
    <row r="232" spans="1:12">
      <c r="A232" s="712"/>
      <c r="B232" s="717"/>
      <c r="C232" s="712"/>
      <c r="D232" s="713"/>
      <c r="E232" s="713"/>
      <c r="F232" s="713"/>
      <c r="G232" s="713"/>
      <c r="H232" s="713"/>
      <c r="I232" s="713"/>
      <c r="J232" s="713"/>
      <c r="K232" s="714"/>
      <c r="L232" s="718">
        <v>6</v>
      </c>
    </row>
    <row r="233" spans="1:12">
      <c r="A233" s="712"/>
      <c r="B233" s="719"/>
      <c r="C233" s="712"/>
      <c r="D233" s="713"/>
      <c r="E233" s="713"/>
      <c r="F233" s="713"/>
      <c r="G233" s="713"/>
      <c r="H233" s="713"/>
      <c r="I233" s="713"/>
      <c r="J233" s="713"/>
      <c r="K233" s="714"/>
      <c r="L233" s="718"/>
    </row>
    <row r="234" spans="1:12">
      <c r="A234" s="712"/>
      <c r="B234" s="717"/>
      <c r="C234" s="712"/>
      <c r="D234" s="713"/>
      <c r="E234" s="713"/>
      <c r="F234" s="713"/>
      <c r="G234" s="713"/>
      <c r="H234" s="713"/>
      <c r="I234" s="713"/>
      <c r="J234" s="720"/>
      <c r="K234" s="714"/>
      <c r="L234" s="718">
        <v>0.88700000000000001</v>
      </c>
    </row>
    <row r="235" spans="1:12">
      <c r="A235" s="712"/>
      <c r="B235" s="719"/>
      <c r="C235" s="712"/>
      <c r="D235" s="713"/>
      <c r="E235" s="713"/>
      <c r="F235" s="713"/>
      <c r="G235" s="713"/>
      <c r="H235" s="713"/>
      <c r="I235" s="713"/>
      <c r="J235" s="713"/>
      <c r="K235" s="714"/>
      <c r="L235" s="718"/>
    </row>
    <row r="236" spans="1:12">
      <c r="A236" s="712"/>
      <c r="B236" s="717"/>
      <c r="C236" s="712"/>
      <c r="D236" s="713"/>
      <c r="E236" s="713"/>
      <c r="F236" s="713"/>
      <c r="G236" s="713"/>
      <c r="H236" s="713"/>
      <c r="I236" s="713"/>
      <c r="J236" s="720"/>
      <c r="K236" s="714"/>
      <c r="L236" s="718">
        <v>63.7</v>
      </c>
    </row>
    <row r="237" spans="1:12">
      <c r="A237" s="712"/>
      <c r="B237" s="719"/>
      <c r="C237" s="712"/>
      <c r="D237" s="713"/>
      <c r="E237" s="713"/>
      <c r="F237" s="713"/>
      <c r="G237" s="713"/>
      <c r="H237" s="713"/>
      <c r="I237" s="713"/>
      <c r="J237" s="713"/>
      <c r="K237" s="714"/>
      <c r="L237" s="718"/>
    </row>
    <row r="238" spans="1:12">
      <c r="A238" s="712"/>
      <c r="B238" s="717"/>
      <c r="C238" s="712"/>
      <c r="D238" s="713"/>
      <c r="E238" s="713"/>
      <c r="F238" s="713"/>
      <c r="G238" s="713"/>
      <c r="H238" s="713"/>
      <c r="I238" s="713"/>
      <c r="J238" s="720"/>
      <c r="K238" s="714"/>
      <c r="L238" s="718">
        <v>693.048</v>
      </c>
    </row>
    <row r="239" spans="1:12">
      <c r="A239" s="712"/>
      <c r="B239" s="719"/>
      <c r="C239" s="712"/>
      <c r="D239" s="713"/>
      <c r="E239" s="713"/>
      <c r="F239" s="713"/>
      <c r="G239" s="713"/>
      <c r="H239" s="713"/>
      <c r="I239" s="713"/>
      <c r="J239" s="713"/>
      <c r="K239" s="714"/>
      <c r="L239" s="718"/>
    </row>
    <row r="240" spans="1:12">
      <c r="A240" s="712"/>
      <c r="B240" s="717"/>
      <c r="C240" s="712"/>
      <c r="D240" s="713"/>
      <c r="E240" s="713"/>
      <c r="F240" s="713"/>
      <c r="G240" s="713"/>
      <c r="H240" s="713"/>
      <c r="I240" s="713"/>
      <c r="J240" s="720"/>
      <c r="K240" s="714"/>
      <c r="L240" s="718">
        <v>35.573999999999998</v>
      </c>
    </row>
    <row r="241" spans="1:18">
      <c r="A241" s="712"/>
      <c r="B241" s="719"/>
      <c r="C241" s="712"/>
      <c r="D241" s="713"/>
      <c r="E241" s="713"/>
      <c r="F241" s="713"/>
      <c r="G241" s="713"/>
      <c r="H241" s="713"/>
      <c r="I241" s="713"/>
      <c r="J241" s="713"/>
      <c r="K241" s="714"/>
      <c r="L241" s="718"/>
    </row>
    <row r="242" spans="1:18">
      <c r="A242" s="712"/>
      <c r="B242" s="717"/>
      <c r="C242" s="712"/>
      <c r="D242" s="713"/>
      <c r="E242" s="713"/>
      <c r="F242" s="713"/>
      <c r="G242" s="713"/>
      <c r="H242" s="713"/>
      <c r="I242" s="713"/>
      <c r="J242" s="720"/>
      <c r="K242" s="714"/>
      <c r="L242" s="718">
        <v>0.16200000000000001</v>
      </c>
    </row>
    <row r="243" spans="1:18">
      <c r="A243" s="712"/>
      <c r="B243" s="719"/>
      <c r="C243" s="712"/>
      <c r="D243" s="713"/>
      <c r="E243" s="713"/>
      <c r="F243" s="713"/>
      <c r="G243" s="713"/>
      <c r="H243" s="713"/>
      <c r="I243" s="713"/>
      <c r="J243" s="713"/>
      <c r="K243" s="714"/>
      <c r="L243" s="718"/>
    </row>
    <row r="244" spans="1:18">
      <c r="A244" s="712"/>
      <c r="B244" s="717"/>
      <c r="C244" s="712"/>
      <c r="D244" s="713"/>
      <c r="E244" s="713"/>
      <c r="F244" s="713"/>
      <c r="G244" s="713"/>
      <c r="H244" s="713"/>
      <c r="I244" s="713"/>
      <c r="J244" s="720"/>
      <c r="K244" s="714"/>
      <c r="L244" s="718">
        <v>0.16200000000000001</v>
      </c>
    </row>
    <row r="245" spans="1:18">
      <c r="A245" s="712"/>
      <c r="B245" s="719"/>
      <c r="C245" s="712"/>
      <c r="D245" s="713"/>
      <c r="E245" s="713"/>
      <c r="F245" s="713"/>
      <c r="G245" s="713"/>
      <c r="H245" s="713"/>
      <c r="I245" s="713"/>
      <c r="J245" s="713"/>
      <c r="K245" s="714"/>
      <c r="L245" s="718"/>
    </row>
    <row r="246" spans="1:18">
      <c r="A246" s="712"/>
      <c r="B246" s="717"/>
      <c r="C246" s="712"/>
      <c r="D246" s="713"/>
      <c r="E246" s="713"/>
      <c r="F246" s="713"/>
      <c r="G246" s="713"/>
      <c r="H246" s="713"/>
      <c r="I246" s="713"/>
      <c r="J246" s="720"/>
      <c r="K246" s="714"/>
      <c r="L246" s="718">
        <v>0.58699999999999997</v>
      </c>
    </row>
    <row r="247" spans="1:18">
      <c r="A247" s="712"/>
      <c r="B247" s="717"/>
      <c r="C247" s="712"/>
      <c r="D247" s="713"/>
      <c r="E247" s="713"/>
      <c r="F247" s="713"/>
      <c r="G247" s="713"/>
      <c r="H247" s="713"/>
      <c r="I247" s="713"/>
      <c r="J247" s="720"/>
      <c r="K247" s="714"/>
      <c r="L247" s="718">
        <v>33.372999999999998</v>
      </c>
    </row>
    <row r="248" spans="1:18">
      <c r="A248" s="712"/>
      <c r="B248" s="719"/>
      <c r="C248" s="712"/>
      <c r="D248" s="713"/>
      <c r="E248" s="713"/>
      <c r="F248" s="713"/>
      <c r="G248" s="713"/>
      <c r="H248" s="713"/>
      <c r="I248" s="720"/>
      <c r="J248" s="713"/>
      <c r="K248" s="714"/>
      <c r="L248" s="718"/>
    </row>
    <row r="249" spans="1:18">
      <c r="A249" s="712"/>
      <c r="B249" s="719"/>
      <c r="C249" s="712"/>
      <c r="D249" s="713"/>
      <c r="E249" s="713"/>
      <c r="F249" s="713"/>
      <c r="G249" s="713"/>
      <c r="H249" s="713"/>
      <c r="I249" s="720"/>
      <c r="J249" s="713"/>
      <c r="K249" s="714"/>
      <c r="L249" s="718"/>
    </row>
    <row r="250" spans="1:18">
      <c r="A250" s="712"/>
      <c r="B250" s="717"/>
      <c r="C250" s="712"/>
      <c r="D250" s="713"/>
      <c r="E250" s="713"/>
      <c r="F250" s="713"/>
      <c r="G250" s="713"/>
      <c r="H250" s="713"/>
      <c r="I250" s="713"/>
      <c r="J250" s="713"/>
      <c r="K250" s="714"/>
      <c r="L250" s="718">
        <v>33.372999999999998</v>
      </c>
      <c r="R250" s="728"/>
    </row>
    <row r="251" spans="1:18">
      <c r="A251" s="712"/>
      <c r="B251" s="717"/>
      <c r="C251" s="712"/>
      <c r="D251" s="713"/>
      <c r="E251" s="713"/>
      <c r="F251" s="713"/>
      <c r="G251" s="713"/>
      <c r="H251" s="713"/>
      <c r="I251" s="713"/>
      <c r="J251" s="713"/>
      <c r="K251" s="714"/>
      <c r="L251" s="718">
        <v>0.3337</v>
      </c>
    </row>
    <row r="252" spans="1:18">
      <c r="A252" s="715"/>
      <c r="B252" s="716"/>
      <c r="C252" s="712"/>
      <c r="D252" s="713"/>
      <c r="E252" s="713"/>
      <c r="F252" s="713"/>
      <c r="G252" s="713"/>
      <c r="H252" s="713"/>
      <c r="I252" s="713"/>
      <c r="J252" s="713"/>
      <c r="K252" s="714"/>
      <c r="L252" s="718"/>
    </row>
    <row r="253" spans="1:18">
      <c r="A253" s="712"/>
      <c r="B253" s="717"/>
      <c r="C253" s="712"/>
      <c r="D253" s="713"/>
      <c r="E253" s="713"/>
      <c r="F253" s="713"/>
      <c r="G253" s="713"/>
      <c r="H253" s="713"/>
      <c r="I253" s="713"/>
      <c r="J253" s="720"/>
      <c r="K253" s="714"/>
      <c r="L253" s="718">
        <v>5.6230000000000002</v>
      </c>
    </row>
    <row r="254" spans="1:18">
      <c r="A254" s="712"/>
      <c r="B254" s="716"/>
      <c r="C254" s="712"/>
      <c r="D254" s="713"/>
      <c r="E254" s="713"/>
      <c r="F254" s="713"/>
      <c r="G254" s="713"/>
      <c r="H254" s="713"/>
      <c r="I254" s="713"/>
      <c r="J254" s="713"/>
      <c r="K254" s="714"/>
      <c r="L254" s="718"/>
    </row>
    <row r="255" spans="1:18">
      <c r="A255" s="712"/>
      <c r="B255" s="722"/>
      <c r="C255" s="712"/>
      <c r="D255" s="713"/>
      <c r="E255" s="713"/>
      <c r="F255" s="713"/>
      <c r="G255" s="713"/>
      <c r="H255" s="713"/>
      <c r="I255" s="720"/>
      <c r="J255" s="713"/>
      <c r="K255" s="714"/>
      <c r="L255" s="718"/>
    </row>
    <row r="256" spans="1:18">
      <c r="A256" s="712"/>
      <c r="B256" s="722"/>
      <c r="C256" s="712"/>
      <c r="D256" s="713"/>
      <c r="E256" s="713"/>
      <c r="F256" s="713"/>
      <c r="G256" s="713"/>
      <c r="H256" s="713"/>
      <c r="I256" s="720"/>
      <c r="J256" s="713"/>
      <c r="K256" s="714"/>
      <c r="L256" s="718"/>
    </row>
    <row r="257" spans="1:12">
      <c r="A257" s="712"/>
      <c r="B257" s="722"/>
      <c r="C257" s="712"/>
      <c r="D257" s="713"/>
      <c r="E257" s="713"/>
      <c r="F257" s="713"/>
      <c r="G257" s="713"/>
      <c r="H257" s="713"/>
      <c r="I257" s="720"/>
      <c r="J257" s="713"/>
      <c r="K257" s="714"/>
      <c r="L257" s="718"/>
    </row>
    <row r="258" spans="1:12">
      <c r="A258" s="712"/>
      <c r="B258" s="722"/>
      <c r="C258" s="712"/>
      <c r="D258" s="713"/>
      <c r="E258" s="713"/>
      <c r="F258" s="713"/>
      <c r="G258" s="713"/>
      <c r="H258" s="713"/>
      <c r="I258" s="720"/>
      <c r="J258" s="713"/>
      <c r="K258" s="714"/>
      <c r="L258" s="718"/>
    </row>
    <row r="259" spans="1:12">
      <c r="A259" s="712"/>
      <c r="B259" s="722"/>
      <c r="C259" s="712"/>
      <c r="D259" s="713"/>
      <c r="E259" s="713"/>
      <c r="F259" s="713"/>
      <c r="G259" s="713"/>
      <c r="H259" s="713"/>
      <c r="I259" s="720"/>
      <c r="J259" s="713"/>
      <c r="K259" s="714"/>
      <c r="L259" s="718"/>
    </row>
    <row r="260" spans="1:12">
      <c r="A260" s="712"/>
      <c r="B260" s="722"/>
      <c r="C260" s="712"/>
      <c r="D260" s="713"/>
      <c r="E260" s="713"/>
      <c r="F260" s="713"/>
      <c r="G260" s="713"/>
      <c r="H260" s="713"/>
      <c r="I260" s="720"/>
      <c r="J260" s="713"/>
      <c r="K260" s="714"/>
      <c r="L260" s="718"/>
    </row>
    <row r="261" spans="1:12">
      <c r="A261" s="712"/>
      <c r="B261" s="722"/>
      <c r="C261" s="712"/>
      <c r="D261" s="713"/>
      <c r="E261" s="713"/>
      <c r="F261" s="713"/>
      <c r="G261" s="713"/>
      <c r="H261" s="713"/>
      <c r="I261" s="720"/>
      <c r="J261" s="713"/>
      <c r="K261" s="714"/>
      <c r="L261" s="718"/>
    </row>
    <row r="262" spans="1:12">
      <c r="A262" s="712"/>
      <c r="B262" s="722"/>
      <c r="C262" s="712"/>
      <c r="D262" s="713"/>
      <c r="E262" s="713"/>
      <c r="F262" s="713"/>
      <c r="G262" s="713"/>
      <c r="H262" s="713"/>
      <c r="I262" s="720"/>
      <c r="J262" s="713"/>
      <c r="K262" s="714"/>
      <c r="L262" s="718"/>
    </row>
    <row r="263" spans="1:12">
      <c r="A263" s="712"/>
      <c r="B263" s="722"/>
      <c r="C263" s="712"/>
      <c r="D263" s="713"/>
      <c r="E263" s="713"/>
      <c r="F263" s="713"/>
      <c r="G263" s="713"/>
      <c r="H263" s="713"/>
      <c r="I263" s="720"/>
      <c r="J263" s="713"/>
      <c r="K263" s="714"/>
      <c r="L263" s="718"/>
    </row>
    <row r="264" spans="1:12">
      <c r="A264" s="712"/>
      <c r="B264" s="722"/>
      <c r="C264" s="712"/>
      <c r="D264" s="713"/>
      <c r="E264" s="713"/>
      <c r="F264" s="713"/>
      <c r="G264" s="713"/>
      <c r="H264" s="713"/>
      <c r="I264" s="720"/>
      <c r="J264" s="713"/>
      <c r="K264" s="714"/>
      <c r="L264" s="718"/>
    </row>
    <row r="265" spans="1:12">
      <c r="A265" s="712"/>
      <c r="B265" s="722"/>
      <c r="C265" s="712"/>
      <c r="D265" s="713"/>
      <c r="E265" s="713"/>
      <c r="F265" s="713"/>
      <c r="G265" s="713"/>
      <c r="H265" s="713"/>
      <c r="I265" s="720"/>
      <c r="J265" s="713"/>
      <c r="K265" s="714"/>
      <c r="L265" s="718"/>
    </row>
    <row r="266" spans="1:12">
      <c r="A266" s="712"/>
      <c r="B266" s="722"/>
      <c r="C266" s="712"/>
      <c r="D266" s="713"/>
      <c r="E266" s="713"/>
      <c r="F266" s="713"/>
      <c r="G266" s="713"/>
      <c r="H266" s="713"/>
      <c r="I266" s="720"/>
      <c r="J266" s="713"/>
      <c r="K266" s="714"/>
      <c r="L266" s="718"/>
    </row>
    <row r="267" spans="1:12">
      <c r="A267" s="712"/>
      <c r="B267" s="722"/>
      <c r="C267" s="712"/>
      <c r="D267" s="713"/>
      <c r="E267" s="713"/>
      <c r="F267" s="713"/>
      <c r="G267" s="713"/>
      <c r="H267" s="713"/>
      <c r="I267" s="720"/>
      <c r="J267" s="713"/>
      <c r="K267" s="714"/>
      <c r="L267" s="718"/>
    </row>
    <row r="268" spans="1:12">
      <c r="A268" s="712"/>
      <c r="B268" s="717"/>
      <c r="C268" s="712"/>
      <c r="D268" s="713"/>
      <c r="E268" s="713"/>
      <c r="F268" s="713"/>
      <c r="G268" s="713"/>
      <c r="H268" s="713"/>
      <c r="I268" s="713"/>
      <c r="J268" s="720"/>
      <c r="K268" s="714"/>
      <c r="L268" s="718">
        <v>2.4729999999999999</v>
      </c>
    </row>
    <row r="269" spans="1:12">
      <c r="A269" s="712"/>
      <c r="B269" s="716"/>
      <c r="C269" s="712"/>
      <c r="D269" s="713"/>
      <c r="E269" s="713"/>
      <c r="F269" s="713"/>
      <c r="G269" s="713"/>
      <c r="H269" s="713"/>
      <c r="I269" s="713"/>
      <c r="J269" s="713"/>
      <c r="K269" s="714"/>
      <c r="L269" s="718"/>
    </row>
    <row r="270" spans="1:12">
      <c r="A270" s="712"/>
      <c r="B270" s="722"/>
      <c r="C270" s="712"/>
      <c r="D270" s="713"/>
      <c r="E270" s="713"/>
      <c r="F270" s="713"/>
      <c r="G270" s="713"/>
      <c r="H270" s="713"/>
      <c r="I270" s="720"/>
      <c r="J270" s="713"/>
      <c r="K270" s="714"/>
      <c r="L270" s="718"/>
    </row>
    <row r="271" spans="1:12">
      <c r="A271" s="712"/>
      <c r="B271" s="722"/>
      <c r="C271" s="712"/>
      <c r="D271" s="713"/>
      <c r="E271" s="713"/>
      <c r="F271" s="713"/>
      <c r="G271" s="713"/>
      <c r="H271" s="713"/>
      <c r="I271" s="720"/>
      <c r="J271" s="713"/>
      <c r="K271" s="714"/>
      <c r="L271" s="718"/>
    </row>
    <row r="272" spans="1:12">
      <c r="A272" s="712"/>
      <c r="B272" s="722"/>
      <c r="C272" s="712"/>
      <c r="D272" s="713"/>
      <c r="E272" s="713"/>
      <c r="F272" s="713"/>
      <c r="G272" s="713"/>
      <c r="H272" s="713"/>
      <c r="I272" s="720"/>
      <c r="J272" s="713"/>
      <c r="K272" s="714"/>
      <c r="L272" s="718"/>
    </row>
    <row r="273" spans="1:12">
      <c r="A273" s="712"/>
      <c r="B273" s="722"/>
      <c r="C273" s="712"/>
      <c r="D273" s="713"/>
      <c r="E273" s="713"/>
      <c r="F273" s="713"/>
      <c r="G273" s="713"/>
      <c r="H273" s="713"/>
      <c r="I273" s="720"/>
      <c r="J273" s="713"/>
      <c r="K273" s="714"/>
      <c r="L273" s="718"/>
    </row>
    <row r="274" spans="1:12">
      <c r="A274" s="712"/>
      <c r="B274" s="722"/>
      <c r="C274" s="712"/>
      <c r="D274" s="713"/>
      <c r="E274" s="713"/>
      <c r="F274" s="713"/>
      <c r="G274" s="713"/>
      <c r="H274" s="713"/>
      <c r="I274" s="720"/>
      <c r="J274" s="713"/>
      <c r="K274" s="714"/>
      <c r="L274" s="718"/>
    </row>
    <row r="275" spans="1:12">
      <c r="A275" s="712"/>
      <c r="B275" s="722"/>
      <c r="C275" s="712"/>
      <c r="D275" s="713"/>
      <c r="E275" s="713"/>
      <c r="F275" s="713"/>
      <c r="G275" s="713"/>
      <c r="H275" s="713"/>
      <c r="I275" s="720"/>
      <c r="J275" s="713"/>
      <c r="K275" s="714"/>
      <c r="L275" s="718"/>
    </row>
    <row r="276" spans="1:12">
      <c r="A276" s="712"/>
      <c r="B276" s="722"/>
      <c r="C276" s="712"/>
      <c r="D276" s="713"/>
      <c r="E276" s="713"/>
      <c r="F276" s="713"/>
      <c r="G276" s="713"/>
      <c r="H276" s="713"/>
      <c r="I276" s="720"/>
      <c r="J276" s="713"/>
      <c r="K276" s="714"/>
      <c r="L276" s="718"/>
    </row>
    <row r="277" spans="1:12">
      <c r="A277" s="712"/>
      <c r="B277" s="722"/>
      <c r="C277" s="712"/>
      <c r="D277" s="713"/>
      <c r="E277" s="713"/>
      <c r="F277" s="713"/>
      <c r="G277" s="713"/>
      <c r="H277" s="713"/>
      <c r="I277" s="720"/>
      <c r="J277" s="713"/>
      <c r="K277" s="714"/>
      <c r="L277" s="718"/>
    </row>
    <row r="278" spans="1:12">
      <c r="A278" s="712"/>
      <c r="B278" s="722"/>
      <c r="C278" s="712"/>
      <c r="D278" s="713"/>
      <c r="E278" s="713"/>
      <c r="F278" s="713"/>
      <c r="G278" s="713"/>
      <c r="H278" s="713"/>
      <c r="I278" s="720"/>
      <c r="J278" s="713"/>
      <c r="K278" s="714"/>
      <c r="L278" s="718"/>
    </row>
    <row r="279" spans="1:12">
      <c r="A279" s="712"/>
      <c r="B279" s="722"/>
      <c r="C279" s="712"/>
      <c r="D279" s="713"/>
      <c r="E279" s="713"/>
      <c r="F279" s="713"/>
      <c r="G279" s="713"/>
      <c r="H279" s="713"/>
      <c r="I279" s="720"/>
      <c r="J279" s="713"/>
      <c r="K279" s="714"/>
      <c r="L279" s="718"/>
    </row>
    <row r="280" spans="1:12">
      <c r="A280" s="712"/>
      <c r="B280" s="722"/>
      <c r="C280" s="712"/>
      <c r="D280" s="713"/>
      <c r="E280" s="713"/>
      <c r="F280" s="713"/>
      <c r="G280" s="713"/>
      <c r="H280" s="713"/>
      <c r="I280" s="720"/>
      <c r="J280" s="713"/>
      <c r="K280" s="714"/>
      <c r="L280" s="718"/>
    </row>
    <row r="281" spans="1:12">
      <c r="A281" s="712"/>
      <c r="B281" s="722"/>
      <c r="C281" s="712"/>
      <c r="D281" s="713"/>
      <c r="E281" s="713"/>
      <c r="F281" s="713"/>
      <c r="G281" s="713"/>
      <c r="H281" s="713"/>
      <c r="I281" s="720"/>
      <c r="J281" s="713"/>
      <c r="K281" s="714"/>
      <c r="L281" s="718"/>
    </row>
    <row r="282" spans="1:12">
      <c r="A282" s="712"/>
      <c r="B282" s="722"/>
      <c r="C282" s="712"/>
      <c r="D282" s="713"/>
      <c r="E282" s="713"/>
      <c r="F282" s="713"/>
      <c r="G282" s="713"/>
      <c r="H282" s="713"/>
      <c r="I282" s="720"/>
      <c r="J282" s="713"/>
      <c r="K282" s="714"/>
      <c r="L282" s="718"/>
    </row>
    <row r="283" spans="1:12" s="728" customFormat="1">
      <c r="A283" s="729"/>
      <c r="B283" s="730"/>
      <c r="C283" s="729"/>
      <c r="D283" s="729"/>
      <c r="E283" s="729"/>
      <c r="F283" s="729"/>
      <c r="G283" s="729"/>
      <c r="H283" s="729"/>
      <c r="I283" s="731"/>
      <c r="J283" s="729"/>
      <c r="K283" s="732"/>
      <c r="L283" s="733"/>
    </row>
    <row r="284" spans="1:12">
      <c r="A284" s="712"/>
      <c r="B284" s="722"/>
      <c r="C284" s="712"/>
      <c r="D284" s="713"/>
      <c r="E284" s="713"/>
      <c r="F284" s="713"/>
      <c r="G284" s="713"/>
      <c r="H284" s="713"/>
      <c r="I284" s="720"/>
      <c r="J284" s="713"/>
      <c r="K284" s="714"/>
      <c r="L284" s="718"/>
    </row>
    <row r="285" spans="1:12">
      <c r="A285" s="712"/>
      <c r="B285" s="722"/>
      <c r="C285" s="712"/>
      <c r="D285" s="713"/>
      <c r="E285" s="713"/>
      <c r="F285" s="713"/>
      <c r="G285" s="713"/>
      <c r="H285" s="713"/>
      <c r="I285" s="720"/>
      <c r="J285" s="713"/>
      <c r="K285" s="714"/>
      <c r="L285" s="718"/>
    </row>
    <row r="286" spans="1:12">
      <c r="A286" s="712"/>
      <c r="B286" s="722"/>
      <c r="C286" s="712"/>
      <c r="D286" s="713"/>
      <c r="E286" s="713"/>
      <c r="F286" s="713"/>
      <c r="G286" s="713"/>
      <c r="H286" s="713"/>
      <c r="I286" s="720"/>
      <c r="J286" s="713"/>
      <c r="K286" s="714"/>
      <c r="L286" s="718"/>
    </row>
    <row r="287" spans="1:12">
      <c r="A287" s="712"/>
      <c r="B287" s="722"/>
      <c r="C287" s="712"/>
      <c r="D287" s="713"/>
      <c r="E287" s="713"/>
      <c r="F287" s="713"/>
      <c r="G287" s="713"/>
      <c r="H287" s="713"/>
      <c r="I287" s="720"/>
      <c r="J287" s="713"/>
      <c r="K287" s="714"/>
      <c r="L287" s="718"/>
    </row>
    <row r="288" spans="1:12" s="728" customFormat="1">
      <c r="A288" s="729"/>
      <c r="B288" s="730"/>
      <c r="C288" s="729"/>
      <c r="D288" s="729"/>
      <c r="E288" s="729"/>
      <c r="F288" s="729"/>
      <c r="G288" s="729"/>
      <c r="H288" s="729"/>
      <c r="I288" s="731"/>
      <c r="J288" s="729"/>
      <c r="K288" s="732"/>
      <c r="L288" s="733"/>
    </row>
    <row r="289" spans="1:12">
      <c r="A289" s="712"/>
      <c r="B289" s="722"/>
      <c r="C289" s="712"/>
      <c r="D289" s="713"/>
      <c r="E289" s="713"/>
      <c r="F289" s="713"/>
      <c r="G289" s="713"/>
      <c r="H289" s="713"/>
      <c r="I289" s="720"/>
      <c r="J289" s="713"/>
      <c r="K289" s="714"/>
      <c r="L289" s="718"/>
    </row>
    <row r="290" spans="1:12">
      <c r="A290" s="712"/>
      <c r="B290" s="722"/>
      <c r="C290" s="712"/>
      <c r="D290" s="713"/>
      <c r="E290" s="713"/>
      <c r="F290" s="713"/>
      <c r="G290" s="713"/>
      <c r="H290" s="713"/>
      <c r="I290" s="720"/>
      <c r="J290" s="713"/>
      <c r="K290" s="714"/>
      <c r="L290" s="718"/>
    </row>
    <row r="291" spans="1:12">
      <c r="A291" s="712"/>
      <c r="B291" s="717"/>
      <c r="C291" s="712"/>
      <c r="D291" s="713"/>
      <c r="E291" s="713"/>
      <c r="F291" s="713"/>
      <c r="G291" s="713"/>
      <c r="H291" s="713"/>
      <c r="I291" s="713"/>
      <c r="J291" s="720"/>
      <c r="K291" s="714"/>
      <c r="L291" s="718"/>
    </row>
    <row r="292" spans="1:12">
      <c r="A292" s="712"/>
      <c r="B292" s="719"/>
      <c r="C292" s="712"/>
      <c r="D292" s="713"/>
      <c r="E292" s="713"/>
      <c r="F292" s="713"/>
      <c r="G292" s="713"/>
      <c r="H292" s="713"/>
      <c r="I292" s="720"/>
      <c r="J292" s="713"/>
      <c r="K292" s="714"/>
      <c r="L292" s="718"/>
    </row>
    <row r="293" spans="1:12">
      <c r="A293" s="712"/>
      <c r="B293" s="717"/>
      <c r="C293" s="712"/>
      <c r="D293" s="713"/>
      <c r="E293" s="713"/>
      <c r="F293" s="713"/>
      <c r="G293" s="713"/>
      <c r="H293" s="713"/>
      <c r="I293" s="720"/>
      <c r="J293" s="720"/>
      <c r="K293" s="714"/>
      <c r="L293" s="718">
        <v>4.9950000000000001</v>
      </c>
    </row>
    <row r="294" spans="1:12">
      <c r="A294" s="712"/>
      <c r="B294" s="717"/>
      <c r="C294" s="712"/>
      <c r="D294" s="713"/>
      <c r="E294" s="713"/>
      <c r="F294" s="713"/>
      <c r="G294" s="713"/>
      <c r="H294" s="713"/>
      <c r="I294" s="713"/>
      <c r="J294" s="720"/>
      <c r="K294" s="714"/>
      <c r="L294" s="718">
        <v>64.126000000000005</v>
      </c>
    </row>
    <row r="295" spans="1:12">
      <c r="A295" s="712"/>
      <c r="B295" s="716"/>
      <c r="C295" s="712"/>
      <c r="D295" s="713"/>
      <c r="E295" s="713"/>
      <c r="F295" s="713"/>
      <c r="G295" s="713"/>
      <c r="H295" s="713"/>
      <c r="I295" s="713"/>
      <c r="J295" s="713"/>
      <c r="K295" s="714"/>
      <c r="L295" s="718"/>
    </row>
    <row r="296" spans="1:12">
      <c r="A296" s="712"/>
      <c r="B296" s="734"/>
      <c r="C296" s="712"/>
      <c r="D296" s="713"/>
      <c r="E296" s="713"/>
      <c r="F296" s="713"/>
      <c r="G296" s="713"/>
      <c r="H296" s="713"/>
      <c r="I296" s="720"/>
      <c r="J296" s="713"/>
      <c r="K296" s="714"/>
      <c r="L296" s="718"/>
    </row>
    <row r="297" spans="1:12">
      <c r="A297" s="712"/>
      <c r="B297" s="716"/>
      <c r="C297" s="712"/>
      <c r="D297" s="713"/>
      <c r="E297" s="713"/>
      <c r="F297" s="713"/>
      <c r="G297" s="713"/>
      <c r="H297" s="713"/>
      <c r="I297" s="720"/>
      <c r="J297" s="713"/>
      <c r="K297" s="714"/>
      <c r="L297" s="718"/>
    </row>
    <row r="298" spans="1:12">
      <c r="A298" s="712"/>
      <c r="B298" s="722"/>
      <c r="C298" s="712"/>
      <c r="D298" s="713"/>
      <c r="E298" s="713"/>
      <c r="F298" s="713"/>
      <c r="G298" s="713"/>
      <c r="H298" s="713"/>
      <c r="I298" s="720"/>
      <c r="J298" s="713"/>
      <c r="K298" s="714"/>
      <c r="L298" s="718"/>
    </row>
    <row r="299" spans="1:12">
      <c r="A299" s="712"/>
      <c r="B299" s="722"/>
      <c r="C299" s="712"/>
      <c r="D299" s="713"/>
      <c r="E299" s="713"/>
      <c r="F299" s="713"/>
      <c r="G299" s="713"/>
      <c r="H299" s="713"/>
      <c r="I299" s="720"/>
      <c r="J299" s="713"/>
      <c r="K299" s="714"/>
      <c r="L299" s="718"/>
    </row>
    <row r="300" spans="1:12">
      <c r="A300" s="712"/>
      <c r="B300" s="722"/>
      <c r="C300" s="712"/>
      <c r="D300" s="713"/>
      <c r="E300" s="713"/>
      <c r="F300" s="713"/>
      <c r="G300" s="713"/>
      <c r="H300" s="713"/>
      <c r="I300" s="720"/>
      <c r="J300" s="713"/>
      <c r="K300" s="714"/>
      <c r="L300" s="718"/>
    </row>
    <row r="301" spans="1:12">
      <c r="A301" s="712"/>
      <c r="B301" s="722"/>
      <c r="C301" s="712"/>
      <c r="D301" s="713"/>
      <c r="E301" s="713"/>
      <c r="F301" s="713"/>
      <c r="G301" s="713"/>
      <c r="H301" s="713"/>
      <c r="I301" s="720"/>
      <c r="J301" s="713"/>
      <c r="K301" s="714"/>
      <c r="L301" s="718"/>
    </row>
    <row r="302" spans="1:12">
      <c r="A302" s="712"/>
      <c r="B302" s="722"/>
      <c r="C302" s="712"/>
      <c r="D302" s="713"/>
      <c r="E302" s="713"/>
      <c r="F302" s="713"/>
      <c r="G302" s="713"/>
      <c r="H302" s="713"/>
      <c r="I302" s="720"/>
      <c r="J302" s="713"/>
      <c r="K302" s="714"/>
      <c r="L302" s="718"/>
    </row>
    <row r="303" spans="1:12">
      <c r="A303" s="712"/>
      <c r="B303" s="722"/>
      <c r="C303" s="712"/>
      <c r="D303" s="713"/>
      <c r="E303" s="713"/>
      <c r="F303" s="713"/>
      <c r="G303" s="713"/>
      <c r="H303" s="713"/>
      <c r="I303" s="720"/>
      <c r="J303" s="713"/>
      <c r="K303" s="714"/>
      <c r="L303" s="718"/>
    </row>
    <row r="304" spans="1:12">
      <c r="A304" s="712"/>
      <c r="B304" s="722"/>
      <c r="C304" s="712"/>
      <c r="D304" s="713"/>
      <c r="E304" s="713"/>
      <c r="F304" s="713"/>
      <c r="G304" s="713"/>
      <c r="H304" s="713"/>
      <c r="I304" s="720"/>
      <c r="J304" s="713"/>
      <c r="K304" s="714"/>
      <c r="L304" s="718"/>
    </row>
    <row r="305" spans="1:12">
      <c r="A305" s="712"/>
      <c r="B305" s="722"/>
      <c r="C305" s="712"/>
      <c r="D305" s="713"/>
      <c r="E305" s="713"/>
      <c r="F305" s="713"/>
      <c r="G305" s="713"/>
      <c r="H305" s="713"/>
      <c r="I305" s="720"/>
      <c r="J305" s="713"/>
      <c r="K305" s="714"/>
      <c r="L305" s="718"/>
    </row>
    <row r="306" spans="1:12">
      <c r="A306" s="712"/>
      <c r="B306" s="722"/>
      <c r="C306" s="712"/>
      <c r="D306" s="713"/>
      <c r="E306" s="713"/>
      <c r="F306" s="713"/>
      <c r="G306" s="713"/>
      <c r="H306" s="713"/>
      <c r="I306" s="720"/>
      <c r="J306" s="713"/>
      <c r="K306" s="714"/>
      <c r="L306" s="718"/>
    </row>
    <row r="307" spans="1:12">
      <c r="A307" s="712"/>
      <c r="B307" s="722"/>
      <c r="C307" s="712"/>
      <c r="D307" s="713"/>
      <c r="E307" s="713"/>
      <c r="F307" s="713"/>
      <c r="G307" s="713"/>
      <c r="H307" s="713"/>
      <c r="I307" s="720"/>
      <c r="J307" s="713"/>
      <c r="K307" s="714"/>
      <c r="L307" s="718"/>
    </row>
    <row r="308" spans="1:12">
      <c r="A308" s="712"/>
      <c r="B308" s="722"/>
      <c r="C308" s="712"/>
      <c r="D308" s="713"/>
      <c r="E308" s="713"/>
      <c r="F308" s="713"/>
      <c r="G308" s="713"/>
      <c r="H308" s="713"/>
      <c r="I308" s="720"/>
      <c r="J308" s="713"/>
      <c r="K308" s="714"/>
      <c r="L308" s="718"/>
    </row>
    <row r="309" spans="1:12">
      <c r="A309" s="712"/>
      <c r="B309" s="722"/>
      <c r="C309" s="712"/>
      <c r="D309" s="713"/>
      <c r="E309" s="713"/>
      <c r="F309" s="713"/>
      <c r="G309" s="713"/>
      <c r="H309" s="713"/>
      <c r="I309" s="720"/>
      <c r="J309" s="713"/>
      <c r="K309" s="714"/>
      <c r="L309" s="718"/>
    </row>
    <row r="310" spans="1:12">
      <c r="A310" s="712"/>
      <c r="B310" s="716"/>
      <c r="C310" s="712"/>
      <c r="D310" s="713"/>
      <c r="E310" s="713"/>
      <c r="F310" s="713"/>
      <c r="G310" s="713"/>
      <c r="H310" s="713"/>
      <c r="I310" s="720"/>
      <c r="J310" s="713"/>
      <c r="K310" s="714"/>
      <c r="L310" s="718"/>
    </row>
    <row r="311" spans="1:12">
      <c r="A311" s="712"/>
      <c r="B311" s="722"/>
      <c r="C311" s="712"/>
      <c r="D311" s="713"/>
      <c r="E311" s="713"/>
      <c r="F311" s="713"/>
      <c r="G311" s="713"/>
      <c r="H311" s="713"/>
      <c r="I311" s="720"/>
      <c r="J311" s="713"/>
      <c r="K311" s="714"/>
      <c r="L311" s="718"/>
    </row>
    <row r="312" spans="1:12">
      <c r="A312" s="712"/>
      <c r="B312" s="722"/>
      <c r="C312" s="712"/>
      <c r="D312" s="713"/>
      <c r="E312" s="713"/>
      <c r="F312" s="713"/>
      <c r="G312" s="713"/>
      <c r="H312" s="713"/>
      <c r="I312" s="720"/>
      <c r="J312" s="713"/>
      <c r="K312" s="714"/>
      <c r="L312" s="718"/>
    </row>
    <row r="313" spans="1:12">
      <c r="A313" s="712"/>
      <c r="B313" s="722"/>
      <c r="C313" s="712"/>
      <c r="D313" s="713"/>
      <c r="E313" s="713"/>
      <c r="F313" s="713"/>
      <c r="G313" s="713"/>
      <c r="H313" s="713"/>
      <c r="I313" s="720"/>
      <c r="J313" s="713"/>
      <c r="K313" s="714"/>
      <c r="L313" s="718"/>
    </row>
    <row r="314" spans="1:12">
      <c r="A314" s="712"/>
      <c r="B314" s="722"/>
      <c r="C314" s="712"/>
      <c r="D314" s="713"/>
      <c r="E314" s="713"/>
      <c r="F314" s="713"/>
      <c r="G314" s="713"/>
      <c r="H314" s="713"/>
      <c r="I314" s="720"/>
      <c r="J314" s="713"/>
      <c r="K314" s="714"/>
      <c r="L314" s="718"/>
    </row>
    <row r="315" spans="1:12">
      <c r="A315" s="712"/>
      <c r="B315" s="722"/>
      <c r="C315" s="712"/>
      <c r="D315" s="713"/>
      <c r="E315" s="713"/>
      <c r="F315" s="713"/>
      <c r="G315" s="713"/>
      <c r="H315" s="713"/>
      <c r="I315" s="720"/>
      <c r="J315" s="713"/>
      <c r="K315" s="714"/>
      <c r="L315" s="718"/>
    </row>
    <row r="316" spans="1:12">
      <c r="A316" s="712"/>
      <c r="B316" s="722"/>
      <c r="C316" s="712"/>
      <c r="D316" s="713"/>
      <c r="E316" s="713"/>
      <c r="F316" s="713"/>
      <c r="G316" s="713"/>
      <c r="H316" s="713"/>
      <c r="I316" s="720"/>
      <c r="J316" s="713"/>
      <c r="K316" s="714"/>
      <c r="L316" s="718"/>
    </row>
    <row r="317" spans="1:12">
      <c r="A317" s="712"/>
      <c r="B317" s="722"/>
      <c r="C317" s="712"/>
      <c r="D317" s="713"/>
      <c r="E317" s="713"/>
      <c r="F317" s="713"/>
      <c r="G317" s="713"/>
      <c r="H317" s="713"/>
      <c r="I317" s="720"/>
      <c r="J317" s="713"/>
      <c r="K317" s="714"/>
      <c r="L317" s="718"/>
    </row>
    <row r="318" spans="1:12">
      <c r="A318" s="712"/>
      <c r="B318" s="722"/>
      <c r="C318" s="712"/>
      <c r="D318" s="713"/>
      <c r="E318" s="713"/>
      <c r="F318" s="713"/>
      <c r="G318" s="713"/>
      <c r="H318" s="713"/>
      <c r="I318" s="720"/>
      <c r="J318" s="713"/>
      <c r="K318" s="714"/>
      <c r="L318" s="718"/>
    </row>
    <row r="319" spans="1:12">
      <c r="A319" s="712"/>
      <c r="B319" s="722"/>
      <c r="C319" s="712"/>
      <c r="D319" s="713"/>
      <c r="E319" s="713"/>
      <c r="F319" s="713"/>
      <c r="G319" s="713"/>
      <c r="H319" s="713"/>
      <c r="I319" s="720"/>
      <c r="J319" s="713"/>
      <c r="K319" s="714"/>
      <c r="L319" s="718"/>
    </row>
    <row r="320" spans="1:12">
      <c r="A320" s="712"/>
      <c r="B320" s="722"/>
      <c r="C320" s="712"/>
      <c r="D320" s="713"/>
      <c r="E320" s="713"/>
      <c r="F320" s="713"/>
      <c r="G320" s="713"/>
      <c r="H320" s="713"/>
      <c r="I320" s="720"/>
      <c r="J320" s="713"/>
      <c r="K320" s="714"/>
      <c r="L320" s="718"/>
    </row>
    <row r="321" spans="1:12">
      <c r="A321" s="712"/>
      <c r="B321" s="722"/>
      <c r="C321" s="712"/>
      <c r="D321" s="713"/>
      <c r="E321" s="713"/>
      <c r="F321" s="713"/>
      <c r="G321" s="713"/>
      <c r="H321" s="713"/>
      <c r="I321" s="720"/>
      <c r="J321" s="713"/>
      <c r="K321" s="714"/>
      <c r="L321" s="718"/>
    </row>
    <row r="322" spans="1:12">
      <c r="A322" s="712"/>
      <c r="B322" s="722"/>
      <c r="C322" s="712"/>
      <c r="D322" s="713"/>
      <c r="E322" s="713"/>
      <c r="F322" s="713"/>
      <c r="G322" s="713"/>
      <c r="H322" s="713"/>
      <c r="I322" s="720"/>
      <c r="J322" s="713"/>
      <c r="K322" s="714"/>
      <c r="L322" s="718"/>
    </row>
    <row r="323" spans="1:12">
      <c r="A323" s="712"/>
      <c r="B323" s="722"/>
      <c r="C323" s="712"/>
      <c r="D323" s="713"/>
      <c r="E323" s="713"/>
      <c r="F323" s="713"/>
      <c r="G323" s="713"/>
      <c r="H323" s="713"/>
      <c r="I323" s="720"/>
      <c r="J323" s="713"/>
      <c r="K323" s="714"/>
      <c r="L323" s="718"/>
    </row>
    <row r="324" spans="1:12">
      <c r="A324" s="712"/>
      <c r="B324" s="722"/>
      <c r="C324" s="712"/>
      <c r="D324" s="713"/>
      <c r="E324" s="713"/>
      <c r="F324" s="713"/>
      <c r="G324" s="713"/>
      <c r="H324" s="713"/>
      <c r="I324" s="720"/>
      <c r="J324" s="713"/>
      <c r="K324" s="714"/>
      <c r="L324" s="718"/>
    </row>
    <row r="325" spans="1:12">
      <c r="A325" s="712"/>
      <c r="B325" s="722"/>
      <c r="C325" s="712"/>
      <c r="D325" s="713"/>
      <c r="E325" s="713"/>
      <c r="F325" s="713"/>
      <c r="G325" s="713"/>
      <c r="H325" s="713"/>
      <c r="I325" s="720"/>
      <c r="J325" s="713"/>
      <c r="K325" s="714"/>
      <c r="L325" s="718"/>
    </row>
    <row r="326" spans="1:12">
      <c r="A326" s="712"/>
      <c r="B326" s="722"/>
      <c r="C326" s="712"/>
      <c r="D326" s="713"/>
      <c r="E326" s="713"/>
      <c r="F326" s="713"/>
      <c r="G326" s="713"/>
      <c r="H326" s="713"/>
      <c r="I326" s="720"/>
      <c r="J326" s="713"/>
      <c r="K326" s="714"/>
      <c r="L326" s="718"/>
    </row>
    <row r="327" spans="1:12">
      <c r="A327" s="712"/>
      <c r="B327" s="722"/>
      <c r="C327" s="712"/>
      <c r="D327" s="713"/>
      <c r="E327" s="713"/>
      <c r="F327" s="713"/>
      <c r="G327" s="713"/>
      <c r="H327" s="713"/>
      <c r="I327" s="720"/>
      <c r="J327" s="713"/>
      <c r="K327" s="714"/>
      <c r="L327" s="718"/>
    </row>
    <row r="328" spans="1:12">
      <c r="A328" s="712"/>
      <c r="B328" s="722"/>
      <c r="C328" s="712"/>
      <c r="D328" s="713"/>
      <c r="E328" s="713"/>
      <c r="F328" s="713"/>
      <c r="G328" s="713"/>
      <c r="H328" s="713"/>
      <c r="I328" s="720"/>
      <c r="J328" s="713"/>
      <c r="K328" s="714"/>
      <c r="L328" s="718"/>
    </row>
    <row r="329" spans="1:12">
      <c r="A329" s="712"/>
      <c r="B329" s="722"/>
      <c r="C329" s="712"/>
      <c r="D329" s="713"/>
      <c r="E329" s="713"/>
      <c r="F329" s="713"/>
      <c r="G329" s="713"/>
      <c r="H329" s="713"/>
      <c r="I329" s="720"/>
      <c r="J329" s="713"/>
      <c r="K329" s="714"/>
      <c r="L329" s="718"/>
    </row>
    <row r="330" spans="1:12">
      <c r="A330" s="712"/>
      <c r="B330" s="722"/>
      <c r="C330" s="712"/>
      <c r="D330" s="713"/>
      <c r="E330" s="713"/>
      <c r="F330" s="713"/>
      <c r="G330" s="713"/>
      <c r="H330" s="713"/>
      <c r="I330" s="720"/>
      <c r="J330" s="713"/>
      <c r="K330" s="714"/>
      <c r="L330" s="718"/>
    </row>
    <row r="331" spans="1:12">
      <c r="A331" s="712"/>
      <c r="B331" s="717"/>
      <c r="C331" s="712"/>
      <c r="D331" s="713"/>
      <c r="E331" s="713"/>
      <c r="F331" s="713"/>
      <c r="G331" s="713"/>
      <c r="H331" s="713"/>
      <c r="I331" s="713"/>
      <c r="J331" s="720"/>
      <c r="K331" s="714"/>
      <c r="L331" s="718">
        <v>373.84300000000002</v>
      </c>
    </row>
    <row r="332" spans="1:12">
      <c r="A332" s="712"/>
      <c r="B332" s="716"/>
      <c r="C332" s="712"/>
      <c r="D332" s="713"/>
      <c r="E332" s="713"/>
      <c r="F332" s="713"/>
      <c r="G332" s="713"/>
      <c r="H332" s="713"/>
      <c r="I332" s="713"/>
      <c r="J332" s="713"/>
      <c r="K332" s="714"/>
      <c r="L332" s="718"/>
    </row>
    <row r="333" spans="1:12">
      <c r="A333" s="712"/>
      <c r="B333" s="722"/>
      <c r="C333" s="712"/>
      <c r="D333" s="713"/>
      <c r="E333" s="713"/>
      <c r="F333" s="713"/>
      <c r="G333" s="713"/>
      <c r="H333" s="713"/>
      <c r="I333" s="720"/>
      <c r="J333" s="713"/>
      <c r="K333" s="714"/>
      <c r="L333" s="718"/>
    </row>
    <row r="334" spans="1:12">
      <c r="A334" s="712"/>
      <c r="B334" s="722"/>
      <c r="C334" s="712"/>
      <c r="D334" s="713"/>
      <c r="E334" s="713"/>
      <c r="F334" s="713"/>
      <c r="G334" s="713"/>
      <c r="H334" s="713"/>
      <c r="I334" s="720"/>
      <c r="J334" s="713"/>
      <c r="K334" s="714"/>
      <c r="L334" s="718"/>
    </row>
    <row r="335" spans="1:12">
      <c r="A335" s="712"/>
      <c r="B335" s="722"/>
      <c r="C335" s="712"/>
      <c r="D335" s="713"/>
      <c r="E335" s="713"/>
      <c r="F335" s="713"/>
      <c r="G335" s="713"/>
      <c r="H335" s="713"/>
      <c r="I335" s="720"/>
      <c r="J335" s="713"/>
      <c r="K335" s="714"/>
      <c r="L335" s="718"/>
    </row>
    <row r="336" spans="1:12">
      <c r="A336" s="712"/>
      <c r="B336" s="722"/>
      <c r="C336" s="712"/>
      <c r="D336" s="713"/>
      <c r="E336" s="713"/>
      <c r="F336" s="713"/>
      <c r="G336" s="713"/>
      <c r="H336" s="713"/>
      <c r="I336" s="720"/>
      <c r="J336" s="713"/>
      <c r="K336" s="714"/>
      <c r="L336" s="718"/>
    </row>
    <row r="337" spans="1:12">
      <c r="A337" s="712"/>
      <c r="B337" s="722"/>
      <c r="C337" s="712"/>
      <c r="D337" s="713"/>
      <c r="E337" s="713"/>
      <c r="F337" s="713"/>
      <c r="G337" s="713"/>
      <c r="H337" s="713"/>
      <c r="I337" s="720"/>
      <c r="J337" s="713"/>
      <c r="K337" s="714"/>
      <c r="L337" s="718"/>
    </row>
    <row r="338" spans="1:12">
      <c r="A338" s="712"/>
      <c r="B338" s="734"/>
      <c r="C338" s="712"/>
      <c r="D338" s="713"/>
      <c r="E338" s="713"/>
      <c r="F338" s="713"/>
      <c r="G338" s="713"/>
      <c r="H338" s="713"/>
      <c r="I338" s="720"/>
      <c r="J338" s="713"/>
      <c r="K338" s="714"/>
      <c r="L338" s="718"/>
    </row>
    <row r="339" spans="1:12">
      <c r="A339" s="712"/>
      <c r="B339" s="734"/>
      <c r="C339" s="712"/>
      <c r="D339" s="713"/>
      <c r="E339" s="713"/>
      <c r="F339" s="713"/>
      <c r="G339" s="713"/>
      <c r="H339" s="713"/>
      <c r="I339" s="720"/>
      <c r="J339" s="713"/>
      <c r="K339" s="714"/>
      <c r="L339" s="718"/>
    </row>
    <row r="340" spans="1:12">
      <c r="A340" s="712"/>
      <c r="B340" s="734"/>
      <c r="C340" s="712"/>
      <c r="D340" s="713"/>
      <c r="E340" s="713"/>
      <c r="F340" s="713"/>
      <c r="G340" s="713"/>
      <c r="H340" s="713"/>
      <c r="I340" s="720"/>
      <c r="J340" s="713"/>
      <c r="K340" s="714"/>
      <c r="L340" s="718"/>
    </row>
    <row r="341" spans="1:12">
      <c r="A341" s="712"/>
      <c r="B341" s="734"/>
      <c r="C341" s="712"/>
      <c r="D341" s="713"/>
      <c r="E341" s="713"/>
      <c r="F341" s="713"/>
      <c r="G341" s="713"/>
      <c r="H341" s="713"/>
      <c r="I341" s="720"/>
      <c r="J341" s="713"/>
      <c r="K341" s="714"/>
      <c r="L341" s="718"/>
    </row>
    <row r="342" spans="1:12">
      <c r="A342" s="712"/>
      <c r="B342" s="734"/>
      <c r="C342" s="712"/>
      <c r="D342" s="713"/>
      <c r="E342" s="713"/>
      <c r="F342" s="713"/>
      <c r="G342" s="713"/>
      <c r="H342" s="713"/>
      <c r="I342" s="720"/>
      <c r="J342" s="713"/>
      <c r="K342" s="714"/>
      <c r="L342" s="718"/>
    </row>
    <row r="343" spans="1:12">
      <c r="A343" s="712"/>
      <c r="B343" s="716"/>
      <c r="C343" s="712"/>
      <c r="D343" s="713"/>
      <c r="E343" s="713"/>
      <c r="F343" s="713"/>
      <c r="G343" s="713"/>
      <c r="H343" s="713"/>
      <c r="I343" s="720"/>
      <c r="J343" s="713"/>
      <c r="K343" s="714"/>
      <c r="L343" s="718"/>
    </row>
    <row r="344" spans="1:12">
      <c r="A344" s="712"/>
      <c r="B344" s="722"/>
      <c r="C344" s="712"/>
      <c r="D344" s="713"/>
      <c r="E344" s="713"/>
      <c r="F344" s="713"/>
      <c r="G344" s="713"/>
      <c r="H344" s="713"/>
      <c r="I344" s="720"/>
      <c r="J344" s="713"/>
      <c r="K344" s="714"/>
      <c r="L344" s="718"/>
    </row>
    <row r="345" spans="1:12">
      <c r="A345" s="712"/>
      <c r="B345" s="722"/>
      <c r="C345" s="712"/>
      <c r="D345" s="713"/>
      <c r="E345" s="713"/>
      <c r="F345" s="713"/>
      <c r="G345" s="713"/>
      <c r="H345" s="713"/>
      <c r="I345" s="720"/>
      <c r="J345" s="713"/>
      <c r="K345" s="714"/>
      <c r="L345" s="718"/>
    </row>
    <row r="346" spans="1:12">
      <c r="A346" s="712"/>
      <c r="B346" s="722"/>
      <c r="C346" s="712"/>
      <c r="D346" s="713"/>
      <c r="E346" s="713"/>
      <c r="F346" s="713"/>
      <c r="G346" s="713"/>
      <c r="H346" s="713"/>
      <c r="I346" s="720"/>
      <c r="J346" s="713"/>
      <c r="K346" s="714"/>
      <c r="L346" s="718"/>
    </row>
    <row r="347" spans="1:12">
      <c r="A347" s="712"/>
      <c r="B347" s="722"/>
      <c r="C347" s="712"/>
      <c r="D347" s="713"/>
      <c r="E347" s="713"/>
      <c r="F347" s="713"/>
      <c r="G347" s="713"/>
      <c r="H347" s="713"/>
      <c r="I347" s="720"/>
      <c r="J347" s="713"/>
      <c r="K347" s="714"/>
      <c r="L347" s="718"/>
    </row>
    <row r="348" spans="1:12">
      <c r="A348" s="712"/>
      <c r="B348" s="722"/>
      <c r="C348" s="712"/>
      <c r="D348" s="713"/>
      <c r="E348" s="713"/>
      <c r="F348" s="713"/>
      <c r="G348" s="713"/>
      <c r="H348" s="713"/>
      <c r="I348" s="720"/>
      <c r="J348" s="713"/>
      <c r="K348" s="714"/>
      <c r="L348" s="718"/>
    </row>
    <row r="349" spans="1:12">
      <c r="A349" s="712"/>
      <c r="B349" s="722"/>
      <c r="C349" s="712"/>
      <c r="D349" s="713"/>
      <c r="E349" s="713"/>
      <c r="F349" s="713"/>
      <c r="G349" s="713"/>
      <c r="H349" s="713"/>
      <c r="I349" s="720"/>
      <c r="J349" s="713"/>
      <c r="K349" s="714"/>
      <c r="L349" s="718"/>
    </row>
    <row r="350" spans="1:12">
      <c r="A350" s="712"/>
      <c r="B350" s="722"/>
      <c r="C350" s="712"/>
      <c r="D350" s="713"/>
      <c r="E350" s="713"/>
      <c r="F350" s="713"/>
      <c r="G350" s="713"/>
      <c r="H350" s="713"/>
      <c r="I350" s="720"/>
      <c r="J350" s="713"/>
      <c r="K350" s="714"/>
      <c r="L350" s="718"/>
    </row>
    <row r="351" spans="1:12">
      <c r="A351" s="712"/>
      <c r="B351" s="722"/>
      <c r="C351" s="712"/>
      <c r="D351" s="713"/>
      <c r="E351" s="713"/>
      <c r="F351" s="713"/>
      <c r="G351" s="713"/>
      <c r="H351" s="713"/>
      <c r="I351" s="720"/>
      <c r="J351" s="713"/>
      <c r="K351" s="714"/>
      <c r="L351" s="718"/>
    </row>
    <row r="352" spans="1:12">
      <c r="A352" s="712"/>
      <c r="B352" s="722"/>
      <c r="C352" s="712"/>
      <c r="D352" s="713"/>
      <c r="E352" s="713"/>
      <c r="F352" s="713"/>
      <c r="G352" s="713"/>
      <c r="H352" s="713"/>
      <c r="I352" s="720"/>
      <c r="J352" s="713"/>
      <c r="K352" s="714"/>
      <c r="L352" s="718"/>
    </row>
    <row r="353" spans="1:12">
      <c r="A353" s="712"/>
      <c r="B353" s="722"/>
      <c r="C353" s="712"/>
      <c r="D353" s="713"/>
      <c r="E353" s="713"/>
      <c r="F353" s="713"/>
      <c r="G353" s="713"/>
      <c r="H353" s="713"/>
      <c r="I353" s="720"/>
      <c r="J353" s="713"/>
      <c r="K353" s="714"/>
      <c r="L353" s="718"/>
    </row>
    <row r="354" spans="1:12">
      <c r="A354" s="712"/>
      <c r="B354" s="722"/>
      <c r="C354" s="712"/>
      <c r="D354" s="713"/>
      <c r="E354" s="713"/>
      <c r="F354" s="713"/>
      <c r="G354" s="713"/>
      <c r="H354" s="713"/>
      <c r="I354" s="720"/>
      <c r="J354" s="713"/>
      <c r="K354" s="714"/>
      <c r="L354" s="718"/>
    </row>
    <row r="355" spans="1:12">
      <c r="A355" s="712"/>
      <c r="B355" s="716"/>
      <c r="C355" s="712"/>
      <c r="D355" s="713"/>
      <c r="E355" s="713"/>
      <c r="F355" s="713"/>
      <c r="G355" s="713"/>
      <c r="H355" s="713"/>
      <c r="I355" s="713"/>
      <c r="J355" s="713"/>
      <c r="K355" s="714"/>
      <c r="L355" s="718"/>
    </row>
    <row r="356" spans="1:12">
      <c r="A356" s="712"/>
      <c r="B356" s="722"/>
      <c r="C356" s="712"/>
      <c r="D356" s="713"/>
      <c r="E356" s="713"/>
      <c r="F356" s="713"/>
      <c r="G356" s="713"/>
      <c r="H356" s="713"/>
      <c r="I356" s="720"/>
      <c r="J356" s="713"/>
      <c r="K356" s="714"/>
      <c r="L356" s="718"/>
    </row>
    <row r="357" spans="1:12">
      <c r="A357" s="712"/>
      <c r="B357" s="722"/>
      <c r="C357" s="712"/>
      <c r="D357" s="713"/>
      <c r="E357" s="713"/>
      <c r="F357" s="713"/>
      <c r="G357" s="713"/>
      <c r="H357" s="713"/>
      <c r="I357" s="720"/>
      <c r="J357" s="713"/>
      <c r="K357" s="714"/>
      <c r="L357" s="718"/>
    </row>
    <row r="358" spans="1:12">
      <c r="A358" s="712"/>
      <c r="B358" s="722"/>
      <c r="C358" s="712"/>
      <c r="D358" s="713"/>
      <c r="E358" s="713"/>
      <c r="F358" s="713"/>
      <c r="G358" s="713"/>
      <c r="H358" s="713"/>
      <c r="I358" s="720"/>
      <c r="J358" s="713"/>
      <c r="K358" s="714"/>
      <c r="L358" s="718"/>
    </row>
    <row r="359" spans="1:12">
      <c r="A359" s="712"/>
      <c r="B359" s="722"/>
      <c r="C359" s="712"/>
      <c r="D359" s="713"/>
      <c r="E359" s="713"/>
      <c r="F359" s="713"/>
      <c r="G359" s="713"/>
      <c r="H359" s="713"/>
      <c r="I359" s="720"/>
      <c r="J359" s="713"/>
      <c r="K359" s="714"/>
      <c r="L359" s="718"/>
    </row>
    <row r="360" spans="1:12">
      <c r="A360" s="712"/>
      <c r="B360" s="722"/>
      <c r="C360" s="712"/>
      <c r="D360" s="713"/>
      <c r="E360" s="713"/>
      <c r="F360" s="713"/>
      <c r="G360" s="713"/>
      <c r="H360" s="713"/>
      <c r="I360" s="720"/>
      <c r="J360" s="713"/>
      <c r="K360" s="714"/>
      <c r="L360" s="718"/>
    </row>
    <row r="361" spans="1:12">
      <c r="A361" s="712"/>
      <c r="B361" s="722"/>
      <c r="C361" s="712"/>
      <c r="D361" s="713"/>
      <c r="E361" s="713"/>
      <c r="F361" s="713"/>
      <c r="G361" s="713"/>
      <c r="H361" s="713"/>
      <c r="I361" s="720"/>
      <c r="J361" s="713"/>
      <c r="K361" s="714"/>
      <c r="L361" s="718"/>
    </row>
    <row r="362" spans="1:12">
      <c r="A362" s="712"/>
      <c r="B362" s="722"/>
      <c r="C362" s="712"/>
      <c r="D362" s="713"/>
      <c r="E362" s="713"/>
      <c r="F362" s="713"/>
      <c r="G362" s="713"/>
      <c r="H362" s="713"/>
      <c r="I362" s="720"/>
      <c r="J362" s="713"/>
      <c r="K362" s="714"/>
      <c r="L362" s="718"/>
    </row>
    <row r="363" spans="1:12">
      <c r="A363" s="712"/>
      <c r="B363" s="722"/>
      <c r="C363" s="712"/>
      <c r="D363" s="713"/>
      <c r="E363" s="713"/>
      <c r="F363" s="713"/>
      <c r="G363" s="713"/>
      <c r="H363" s="713"/>
      <c r="I363" s="720"/>
      <c r="J363" s="713"/>
      <c r="K363" s="714"/>
      <c r="L363" s="718"/>
    </row>
    <row r="364" spans="1:12">
      <c r="A364" s="712"/>
      <c r="B364" s="722"/>
      <c r="C364" s="712"/>
      <c r="D364" s="713"/>
      <c r="E364" s="713"/>
      <c r="F364" s="713"/>
      <c r="G364" s="713"/>
      <c r="H364" s="713"/>
      <c r="I364" s="720"/>
      <c r="J364" s="713"/>
      <c r="K364" s="714"/>
      <c r="L364" s="718"/>
    </row>
    <row r="365" spans="1:12">
      <c r="A365" s="712"/>
      <c r="B365" s="722"/>
      <c r="C365" s="712"/>
      <c r="D365" s="713"/>
      <c r="E365" s="713"/>
      <c r="F365" s="713"/>
      <c r="G365" s="713"/>
      <c r="H365" s="713"/>
      <c r="I365" s="720"/>
      <c r="J365" s="713"/>
      <c r="K365" s="714"/>
      <c r="L365" s="718"/>
    </row>
    <row r="366" spans="1:12">
      <c r="A366" s="712"/>
      <c r="B366" s="722"/>
      <c r="C366" s="712"/>
      <c r="D366" s="713"/>
      <c r="E366" s="713"/>
      <c r="F366" s="713"/>
      <c r="G366" s="713"/>
      <c r="H366" s="713"/>
      <c r="I366" s="720"/>
      <c r="J366" s="713"/>
      <c r="K366" s="714"/>
      <c r="L366" s="718"/>
    </row>
    <row r="367" spans="1:12">
      <c r="A367" s="712"/>
      <c r="B367" s="722"/>
      <c r="C367" s="712"/>
      <c r="D367" s="713"/>
      <c r="E367" s="713"/>
      <c r="F367" s="713"/>
      <c r="G367" s="713"/>
      <c r="H367" s="713"/>
      <c r="I367" s="720"/>
      <c r="J367" s="713"/>
      <c r="K367" s="714"/>
      <c r="L367" s="718"/>
    </row>
    <row r="368" spans="1:12">
      <c r="A368" s="712"/>
      <c r="B368" s="722"/>
      <c r="C368" s="712"/>
      <c r="D368" s="713"/>
      <c r="E368" s="713"/>
      <c r="F368" s="713"/>
      <c r="G368" s="713"/>
      <c r="H368" s="713"/>
      <c r="I368" s="720"/>
      <c r="J368" s="713"/>
      <c r="K368" s="714"/>
      <c r="L368" s="718"/>
    </row>
    <row r="369" spans="1:12">
      <c r="A369" s="712"/>
      <c r="B369" s="722"/>
      <c r="C369" s="712"/>
      <c r="D369" s="713"/>
      <c r="E369" s="713"/>
      <c r="F369" s="713"/>
      <c r="G369" s="713"/>
      <c r="H369" s="713"/>
      <c r="I369" s="720"/>
      <c r="J369" s="713"/>
      <c r="K369" s="714"/>
      <c r="L369" s="718"/>
    </row>
    <row r="370" spans="1:12">
      <c r="A370" s="712"/>
      <c r="B370" s="716"/>
      <c r="C370" s="712"/>
      <c r="D370" s="713"/>
      <c r="E370" s="713"/>
      <c r="F370" s="713"/>
      <c r="G370" s="713"/>
      <c r="H370" s="713"/>
      <c r="I370" s="720"/>
      <c r="J370" s="713"/>
      <c r="K370" s="714"/>
      <c r="L370" s="718"/>
    </row>
    <row r="371" spans="1:12">
      <c r="A371" s="712"/>
      <c r="B371" s="722"/>
      <c r="C371" s="712"/>
      <c r="D371" s="713"/>
      <c r="E371" s="713"/>
      <c r="F371" s="713"/>
      <c r="G371" s="713"/>
      <c r="H371" s="713"/>
      <c r="I371" s="720"/>
      <c r="J371" s="713"/>
      <c r="K371" s="714"/>
      <c r="L371" s="718"/>
    </row>
    <row r="372" spans="1:12">
      <c r="A372" s="712"/>
      <c r="B372" s="722"/>
      <c r="C372" s="712"/>
      <c r="D372" s="713"/>
      <c r="E372" s="713"/>
      <c r="F372" s="713"/>
      <c r="G372" s="713"/>
      <c r="H372" s="713"/>
      <c r="I372" s="720"/>
      <c r="J372" s="713"/>
      <c r="K372" s="714"/>
      <c r="L372" s="718"/>
    </row>
    <row r="373" spans="1:12">
      <c r="A373" s="712"/>
      <c r="B373" s="722"/>
      <c r="C373" s="712"/>
      <c r="D373" s="713"/>
      <c r="E373" s="713"/>
      <c r="F373" s="713"/>
      <c r="G373" s="713"/>
      <c r="H373" s="713"/>
      <c r="I373" s="720"/>
      <c r="J373" s="713"/>
      <c r="K373" s="714"/>
      <c r="L373" s="718"/>
    </row>
    <row r="374" spans="1:12">
      <c r="A374" s="712"/>
      <c r="B374" s="722"/>
      <c r="C374" s="712"/>
      <c r="D374" s="713"/>
      <c r="E374" s="713"/>
      <c r="F374" s="713"/>
      <c r="G374" s="713"/>
      <c r="H374" s="713"/>
      <c r="I374" s="720"/>
      <c r="J374" s="713"/>
      <c r="K374" s="714"/>
      <c r="L374" s="718"/>
    </row>
    <row r="375" spans="1:12">
      <c r="A375" s="712"/>
      <c r="B375" s="722"/>
      <c r="C375" s="712"/>
      <c r="D375" s="713"/>
      <c r="E375" s="713"/>
      <c r="F375" s="713"/>
      <c r="G375" s="713"/>
      <c r="H375" s="713"/>
      <c r="I375" s="720"/>
      <c r="J375" s="713"/>
      <c r="K375" s="714"/>
      <c r="L375" s="718"/>
    </row>
    <row r="376" spans="1:12">
      <c r="A376" s="712"/>
      <c r="B376" s="722"/>
      <c r="C376" s="712"/>
      <c r="D376" s="713"/>
      <c r="E376" s="713"/>
      <c r="F376" s="713"/>
      <c r="G376" s="713"/>
      <c r="H376" s="713"/>
      <c r="I376" s="720"/>
      <c r="J376" s="713"/>
      <c r="K376" s="714"/>
      <c r="L376" s="718"/>
    </row>
    <row r="377" spans="1:12">
      <c r="A377" s="712"/>
      <c r="B377" s="722"/>
      <c r="C377" s="712"/>
      <c r="D377" s="713"/>
      <c r="E377" s="713"/>
      <c r="F377" s="713"/>
      <c r="G377" s="713"/>
      <c r="H377" s="713"/>
      <c r="I377" s="720"/>
      <c r="J377" s="713"/>
      <c r="K377" s="714"/>
      <c r="L377" s="718"/>
    </row>
    <row r="378" spans="1:12">
      <c r="A378" s="712"/>
      <c r="B378" s="722"/>
      <c r="C378" s="712"/>
      <c r="D378" s="713"/>
      <c r="E378" s="713"/>
      <c r="F378" s="713"/>
      <c r="G378" s="713"/>
      <c r="H378" s="713"/>
      <c r="I378" s="720"/>
      <c r="J378" s="713"/>
      <c r="K378" s="714"/>
      <c r="L378" s="718"/>
    </row>
    <row r="379" spans="1:12">
      <c r="A379" s="712"/>
      <c r="B379" s="722"/>
      <c r="C379" s="712"/>
      <c r="D379" s="713"/>
      <c r="E379" s="713"/>
      <c r="F379" s="713"/>
      <c r="G379" s="713"/>
      <c r="H379" s="713"/>
      <c r="I379" s="720"/>
      <c r="J379" s="713"/>
      <c r="K379" s="714"/>
      <c r="L379" s="718"/>
    </row>
    <row r="380" spans="1:12">
      <c r="A380" s="712"/>
      <c r="B380" s="722"/>
      <c r="C380" s="712"/>
      <c r="D380" s="713"/>
      <c r="E380" s="713"/>
      <c r="F380" s="713"/>
      <c r="G380" s="713"/>
      <c r="H380" s="713"/>
      <c r="I380" s="720"/>
      <c r="J380" s="713"/>
      <c r="K380" s="714"/>
      <c r="L380" s="718"/>
    </row>
    <row r="381" spans="1:12">
      <c r="A381" s="712"/>
      <c r="B381" s="722"/>
      <c r="C381" s="712"/>
      <c r="D381" s="713"/>
      <c r="E381" s="713"/>
      <c r="F381" s="713"/>
      <c r="G381" s="713"/>
      <c r="H381" s="713"/>
      <c r="I381" s="720"/>
      <c r="J381" s="713"/>
      <c r="K381" s="714"/>
      <c r="L381" s="718"/>
    </row>
    <row r="382" spans="1:12">
      <c r="A382" s="712"/>
      <c r="B382" s="719"/>
      <c r="C382" s="712"/>
      <c r="D382" s="713"/>
      <c r="E382" s="713"/>
      <c r="F382" s="713"/>
      <c r="G382" s="713"/>
      <c r="H382" s="713"/>
      <c r="I382" s="720"/>
      <c r="J382" s="713"/>
      <c r="K382" s="714"/>
      <c r="L382" s="718"/>
    </row>
    <row r="383" spans="1:12">
      <c r="A383" s="712"/>
      <c r="B383" s="719"/>
      <c r="C383" s="712"/>
      <c r="D383" s="713"/>
      <c r="E383" s="713"/>
      <c r="F383" s="713"/>
      <c r="G383" s="713"/>
      <c r="H383" s="713"/>
      <c r="I383" s="720"/>
      <c r="J383" s="713"/>
      <c r="K383" s="714"/>
      <c r="L383" s="718"/>
    </row>
    <row r="384" spans="1:12">
      <c r="A384" s="712"/>
      <c r="B384" s="719"/>
      <c r="C384" s="712"/>
      <c r="D384" s="713"/>
      <c r="E384" s="713"/>
      <c r="F384" s="713"/>
      <c r="G384" s="713"/>
      <c r="H384" s="713"/>
      <c r="I384" s="720"/>
      <c r="J384" s="713"/>
      <c r="K384" s="714"/>
      <c r="L384" s="718"/>
    </row>
    <row r="385" spans="1:12">
      <c r="A385" s="712"/>
      <c r="B385" s="719"/>
      <c r="C385" s="712"/>
      <c r="D385" s="713"/>
      <c r="E385" s="713"/>
      <c r="F385" s="713"/>
      <c r="G385" s="713"/>
      <c r="H385" s="713"/>
      <c r="I385" s="720"/>
      <c r="J385" s="713"/>
      <c r="K385" s="714"/>
      <c r="L385" s="718"/>
    </row>
    <row r="386" spans="1:12">
      <c r="A386" s="712"/>
      <c r="B386" s="719"/>
      <c r="C386" s="712"/>
      <c r="D386" s="713"/>
      <c r="E386" s="713"/>
      <c r="F386" s="713"/>
      <c r="G386" s="713"/>
      <c r="H386" s="713"/>
      <c r="I386" s="720"/>
      <c r="J386" s="713"/>
      <c r="K386" s="714"/>
      <c r="L386" s="718"/>
    </row>
    <row r="387" spans="1:12">
      <c r="A387" s="712"/>
      <c r="B387" s="719"/>
      <c r="C387" s="712"/>
      <c r="D387" s="713"/>
      <c r="E387" s="713"/>
      <c r="F387" s="713"/>
      <c r="G387" s="713"/>
      <c r="H387" s="713"/>
      <c r="I387" s="720"/>
      <c r="J387" s="713"/>
      <c r="K387" s="714"/>
      <c r="L387" s="718"/>
    </row>
    <row r="388" spans="1:12">
      <c r="A388" s="712"/>
      <c r="B388" s="719"/>
      <c r="C388" s="712"/>
      <c r="D388" s="713"/>
      <c r="E388" s="713"/>
      <c r="F388" s="713"/>
      <c r="G388" s="713"/>
      <c r="H388" s="713"/>
      <c r="I388" s="720"/>
      <c r="J388" s="713"/>
      <c r="K388" s="714"/>
      <c r="L388" s="718"/>
    </row>
    <row r="389" spans="1:12">
      <c r="A389" s="712"/>
      <c r="B389" s="719"/>
      <c r="C389" s="712"/>
      <c r="D389" s="713"/>
      <c r="E389" s="713"/>
      <c r="F389" s="713"/>
      <c r="G389" s="713"/>
      <c r="H389" s="713"/>
      <c r="I389" s="720"/>
      <c r="J389" s="713"/>
      <c r="K389" s="714"/>
      <c r="L389" s="718"/>
    </row>
    <row r="390" spans="1:12">
      <c r="A390" s="712"/>
      <c r="B390" s="719"/>
      <c r="C390" s="712"/>
      <c r="D390" s="713"/>
      <c r="E390" s="713"/>
      <c r="F390" s="713"/>
      <c r="G390" s="713"/>
      <c r="H390" s="713"/>
      <c r="I390" s="720"/>
      <c r="J390" s="713"/>
      <c r="K390" s="714"/>
      <c r="L390" s="718"/>
    </row>
    <row r="391" spans="1:12">
      <c r="A391" s="712"/>
      <c r="B391" s="719"/>
      <c r="C391" s="712"/>
      <c r="D391" s="713"/>
      <c r="E391" s="713"/>
      <c r="F391" s="713"/>
      <c r="G391" s="713"/>
      <c r="H391" s="713"/>
      <c r="I391" s="720"/>
      <c r="J391" s="713"/>
      <c r="K391" s="714"/>
      <c r="L391" s="718"/>
    </row>
    <row r="392" spans="1:12">
      <c r="A392" s="712"/>
      <c r="B392" s="717"/>
      <c r="C392" s="712"/>
      <c r="D392" s="713"/>
      <c r="E392" s="713"/>
      <c r="F392" s="713"/>
      <c r="G392" s="713"/>
      <c r="H392" s="713"/>
      <c r="I392" s="713"/>
      <c r="J392" s="720"/>
      <c r="K392" s="714"/>
      <c r="L392" s="718">
        <v>8.5690000000000008</v>
      </c>
    </row>
    <row r="393" spans="1:12">
      <c r="A393" s="712"/>
      <c r="B393" s="725"/>
      <c r="C393" s="712"/>
      <c r="D393" s="713"/>
      <c r="E393" s="713"/>
      <c r="F393" s="713"/>
      <c r="G393" s="713"/>
      <c r="H393" s="713"/>
      <c r="I393" s="713"/>
      <c r="J393" s="720"/>
      <c r="K393" s="714"/>
      <c r="L393" s="718"/>
    </row>
    <row r="394" spans="1:12">
      <c r="A394" s="712"/>
      <c r="B394" s="716"/>
      <c r="C394" s="712"/>
      <c r="D394" s="713"/>
      <c r="E394" s="713"/>
      <c r="F394" s="713"/>
      <c r="G394" s="713"/>
      <c r="H394" s="713"/>
      <c r="I394" s="720"/>
      <c r="J394" s="713"/>
      <c r="K394" s="714"/>
      <c r="L394" s="718"/>
    </row>
    <row r="395" spans="1:12">
      <c r="A395" s="712"/>
      <c r="B395" s="734"/>
      <c r="C395" s="712"/>
      <c r="D395" s="713"/>
      <c r="E395" s="713"/>
      <c r="F395" s="713"/>
      <c r="G395" s="713"/>
      <c r="H395" s="713"/>
      <c r="I395" s="720"/>
      <c r="J395" s="713"/>
      <c r="K395" s="714"/>
      <c r="L395" s="718"/>
    </row>
    <row r="396" spans="1:12">
      <c r="A396" s="712"/>
      <c r="B396" s="722"/>
      <c r="C396" s="712"/>
      <c r="D396" s="713"/>
      <c r="E396" s="713"/>
      <c r="F396" s="713"/>
      <c r="G396" s="713"/>
      <c r="H396" s="713"/>
      <c r="I396" s="720"/>
      <c r="J396" s="713"/>
      <c r="K396" s="714"/>
      <c r="L396" s="718"/>
    </row>
    <row r="397" spans="1:12">
      <c r="A397" s="712"/>
      <c r="B397" s="722"/>
      <c r="C397" s="712"/>
      <c r="D397" s="713"/>
      <c r="E397" s="713"/>
      <c r="F397" s="713"/>
      <c r="G397" s="713"/>
      <c r="H397" s="713"/>
      <c r="I397" s="720"/>
      <c r="J397" s="713"/>
      <c r="K397" s="714"/>
      <c r="L397" s="718"/>
    </row>
    <row r="398" spans="1:12">
      <c r="A398" s="712"/>
      <c r="B398" s="722"/>
      <c r="C398" s="712"/>
      <c r="D398" s="713"/>
      <c r="E398" s="713"/>
      <c r="F398" s="713"/>
      <c r="G398" s="713"/>
      <c r="H398" s="713"/>
      <c r="I398" s="720"/>
      <c r="J398" s="713"/>
      <c r="K398" s="714"/>
      <c r="L398" s="718"/>
    </row>
    <row r="399" spans="1:12">
      <c r="A399" s="712"/>
      <c r="B399" s="722"/>
      <c r="C399" s="712"/>
      <c r="D399" s="713"/>
      <c r="E399" s="713"/>
      <c r="F399" s="713"/>
      <c r="G399" s="713"/>
      <c r="H399" s="713"/>
      <c r="I399" s="720"/>
      <c r="J399" s="713"/>
      <c r="K399" s="714"/>
      <c r="L399" s="718"/>
    </row>
    <row r="400" spans="1:12">
      <c r="A400" s="712"/>
      <c r="B400" s="722"/>
      <c r="C400" s="712"/>
      <c r="D400" s="713"/>
      <c r="E400" s="713"/>
      <c r="F400" s="713"/>
      <c r="G400" s="713"/>
      <c r="H400" s="713"/>
      <c r="I400" s="720"/>
      <c r="J400" s="713"/>
      <c r="K400" s="714"/>
      <c r="L400" s="718"/>
    </row>
    <row r="401" spans="1:12">
      <c r="A401" s="712"/>
      <c r="B401" s="722"/>
      <c r="C401" s="712"/>
      <c r="D401" s="713"/>
      <c r="E401" s="713"/>
      <c r="F401" s="713"/>
      <c r="G401" s="713"/>
      <c r="H401" s="713"/>
      <c r="I401" s="720"/>
      <c r="J401" s="713"/>
      <c r="K401" s="714"/>
      <c r="L401" s="718"/>
    </row>
    <row r="402" spans="1:12">
      <c r="A402" s="712"/>
      <c r="B402" s="722"/>
      <c r="C402" s="712"/>
      <c r="D402" s="713"/>
      <c r="E402" s="713"/>
      <c r="F402" s="713"/>
      <c r="G402" s="713"/>
      <c r="H402" s="713"/>
      <c r="I402" s="720"/>
      <c r="J402" s="713"/>
      <c r="K402" s="714"/>
      <c r="L402" s="718"/>
    </row>
    <row r="403" spans="1:12">
      <c r="A403" s="712"/>
      <c r="B403" s="722"/>
      <c r="C403" s="712"/>
      <c r="D403" s="713"/>
      <c r="E403" s="713"/>
      <c r="F403" s="713"/>
      <c r="G403" s="713"/>
      <c r="H403" s="713"/>
      <c r="I403" s="720"/>
      <c r="J403" s="713"/>
      <c r="K403" s="714"/>
      <c r="L403" s="718"/>
    </row>
    <row r="404" spans="1:12">
      <c r="A404" s="712"/>
      <c r="B404" s="722"/>
      <c r="C404" s="712"/>
      <c r="D404" s="713"/>
      <c r="E404" s="713"/>
      <c r="F404" s="713"/>
      <c r="G404" s="713"/>
      <c r="H404" s="713"/>
      <c r="I404" s="720"/>
      <c r="J404" s="713"/>
      <c r="K404" s="714"/>
      <c r="L404" s="718"/>
    </row>
    <row r="405" spans="1:12">
      <c r="A405" s="712"/>
      <c r="B405" s="722"/>
      <c r="C405" s="712"/>
      <c r="D405" s="713"/>
      <c r="E405" s="713"/>
      <c r="F405" s="713"/>
      <c r="G405" s="713"/>
      <c r="H405" s="713"/>
      <c r="I405" s="720"/>
      <c r="J405" s="713"/>
      <c r="K405" s="714"/>
      <c r="L405" s="718"/>
    </row>
    <row r="406" spans="1:12">
      <c r="A406" s="712"/>
      <c r="B406" s="722"/>
      <c r="C406" s="712"/>
      <c r="D406" s="713"/>
      <c r="E406" s="713"/>
      <c r="F406" s="713"/>
      <c r="G406" s="713"/>
      <c r="H406" s="713"/>
      <c r="I406" s="720"/>
      <c r="J406" s="713"/>
      <c r="K406" s="714"/>
      <c r="L406" s="718"/>
    </row>
    <row r="407" spans="1:12">
      <c r="A407" s="712"/>
      <c r="B407" s="722"/>
      <c r="C407" s="712"/>
      <c r="D407" s="713"/>
      <c r="E407" s="713"/>
      <c r="F407" s="713"/>
      <c r="G407" s="713"/>
      <c r="H407" s="713"/>
      <c r="I407" s="720"/>
      <c r="J407" s="713"/>
      <c r="K407" s="714"/>
      <c r="L407" s="718"/>
    </row>
    <row r="408" spans="1:12">
      <c r="A408" s="712"/>
      <c r="B408" s="716"/>
      <c r="C408" s="712"/>
      <c r="D408" s="713"/>
      <c r="E408" s="713"/>
      <c r="F408" s="713"/>
      <c r="G408" s="713"/>
      <c r="H408" s="713"/>
      <c r="I408" s="720"/>
      <c r="J408" s="713"/>
      <c r="K408" s="714"/>
      <c r="L408" s="718"/>
    </row>
    <row r="409" spans="1:12">
      <c r="A409" s="712"/>
      <c r="B409" s="734"/>
      <c r="C409" s="712"/>
      <c r="D409" s="713"/>
      <c r="E409" s="713"/>
      <c r="F409" s="713"/>
      <c r="G409" s="713"/>
      <c r="H409" s="713"/>
      <c r="I409" s="720"/>
      <c r="J409" s="713"/>
      <c r="K409" s="714"/>
      <c r="L409" s="718"/>
    </row>
    <row r="410" spans="1:12">
      <c r="A410" s="712"/>
      <c r="B410" s="734"/>
      <c r="C410" s="712"/>
      <c r="D410" s="713"/>
      <c r="E410" s="713"/>
      <c r="F410" s="713"/>
      <c r="G410" s="713"/>
      <c r="H410" s="713"/>
      <c r="I410" s="720"/>
      <c r="J410" s="713"/>
      <c r="K410" s="714"/>
      <c r="L410" s="718"/>
    </row>
    <row r="411" spans="1:12">
      <c r="A411" s="712"/>
      <c r="B411" s="722"/>
      <c r="C411" s="712"/>
      <c r="D411" s="713"/>
      <c r="E411" s="713"/>
      <c r="F411" s="713"/>
      <c r="G411" s="713"/>
      <c r="H411" s="713"/>
      <c r="I411" s="720"/>
      <c r="J411" s="713"/>
      <c r="K411" s="714"/>
      <c r="L411" s="718"/>
    </row>
    <row r="412" spans="1:12">
      <c r="A412" s="712"/>
      <c r="B412" s="722"/>
      <c r="C412" s="712"/>
      <c r="D412" s="713"/>
      <c r="E412" s="713"/>
      <c r="F412" s="713"/>
      <c r="G412" s="713"/>
      <c r="H412" s="713"/>
      <c r="I412" s="720"/>
      <c r="J412" s="713"/>
      <c r="K412" s="714"/>
      <c r="L412" s="718"/>
    </row>
    <row r="413" spans="1:12">
      <c r="A413" s="712"/>
      <c r="B413" s="722"/>
      <c r="C413" s="712"/>
      <c r="D413" s="713"/>
      <c r="E413" s="713"/>
      <c r="F413" s="713"/>
      <c r="G413" s="713"/>
      <c r="H413" s="713"/>
      <c r="I413" s="720"/>
      <c r="J413" s="713"/>
      <c r="K413" s="714"/>
      <c r="L413" s="718"/>
    </row>
    <row r="414" spans="1:12">
      <c r="A414" s="712"/>
      <c r="B414" s="722"/>
      <c r="C414" s="712"/>
      <c r="D414" s="713"/>
      <c r="E414" s="713"/>
      <c r="F414" s="713"/>
      <c r="G414" s="713"/>
      <c r="H414" s="713"/>
      <c r="I414" s="720"/>
      <c r="J414" s="713"/>
      <c r="K414" s="714"/>
      <c r="L414" s="718"/>
    </row>
    <row r="415" spans="1:12">
      <c r="A415" s="712"/>
      <c r="B415" s="722"/>
      <c r="C415" s="712"/>
      <c r="D415" s="713"/>
      <c r="E415" s="713"/>
      <c r="F415" s="713"/>
      <c r="G415" s="713"/>
      <c r="H415" s="713"/>
      <c r="I415" s="720"/>
      <c r="J415" s="713"/>
      <c r="K415" s="714"/>
      <c r="L415" s="718"/>
    </row>
    <row r="416" spans="1:12">
      <c r="A416" s="712"/>
      <c r="B416" s="722"/>
      <c r="C416" s="712"/>
      <c r="D416" s="713"/>
      <c r="E416" s="713"/>
      <c r="F416" s="713"/>
      <c r="G416" s="713"/>
      <c r="H416" s="713"/>
      <c r="I416" s="720"/>
      <c r="J416" s="713"/>
      <c r="K416" s="714"/>
      <c r="L416" s="718"/>
    </row>
    <row r="417" spans="1:12">
      <c r="A417" s="712"/>
      <c r="B417" s="722"/>
      <c r="C417" s="712"/>
      <c r="D417" s="713"/>
      <c r="E417" s="713"/>
      <c r="F417" s="713"/>
      <c r="G417" s="713"/>
      <c r="H417" s="713"/>
      <c r="I417" s="720"/>
      <c r="J417" s="713"/>
      <c r="K417" s="714"/>
      <c r="L417" s="718"/>
    </row>
    <row r="418" spans="1:12">
      <c r="A418" s="712"/>
      <c r="B418" s="722"/>
      <c r="C418" s="712"/>
      <c r="D418" s="713"/>
      <c r="E418" s="713"/>
      <c r="F418" s="713"/>
      <c r="G418" s="713"/>
      <c r="H418" s="713"/>
      <c r="I418" s="720"/>
      <c r="J418" s="713"/>
      <c r="K418" s="714"/>
      <c r="L418" s="718"/>
    </row>
    <row r="419" spans="1:12">
      <c r="A419" s="712"/>
      <c r="B419" s="722"/>
      <c r="C419" s="712"/>
      <c r="D419" s="713"/>
      <c r="E419" s="713"/>
      <c r="F419" s="713"/>
      <c r="G419" s="713"/>
      <c r="H419" s="713"/>
      <c r="I419" s="720"/>
      <c r="J419" s="713"/>
      <c r="K419" s="714"/>
      <c r="L419" s="718"/>
    </row>
    <row r="420" spans="1:12">
      <c r="A420" s="712"/>
      <c r="B420" s="722"/>
      <c r="C420" s="712"/>
      <c r="D420" s="713"/>
      <c r="E420" s="713"/>
      <c r="F420" s="713"/>
      <c r="G420" s="713"/>
      <c r="H420" s="713"/>
      <c r="I420" s="720"/>
      <c r="J420" s="713"/>
      <c r="K420" s="714"/>
      <c r="L420" s="718"/>
    </row>
    <row r="421" spans="1:12">
      <c r="A421" s="712"/>
      <c r="B421" s="722"/>
      <c r="C421" s="712"/>
      <c r="D421" s="713"/>
      <c r="E421" s="713"/>
      <c r="F421" s="713"/>
      <c r="G421" s="713"/>
      <c r="H421" s="713"/>
      <c r="I421" s="720"/>
      <c r="J421" s="713"/>
      <c r="K421" s="714"/>
      <c r="L421" s="718"/>
    </row>
    <row r="422" spans="1:12">
      <c r="A422" s="712"/>
      <c r="B422" s="722"/>
      <c r="C422" s="712"/>
      <c r="D422" s="713"/>
      <c r="E422" s="713"/>
      <c r="F422" s="713"/>
      <c r="G422" s="713"/>
      <c r="H422" s="713"/>
      <c r="I422" s="720"/>
      <c r="J422" s="713"/>
      <c r="K422" s="714"/>
      <c r="L422" s="718"/>
    </row>
    <row r="423" spans="1:12">
      <c r="A423" s="712"/>
      <c r="B423" s="722"/>
      <c r="C423" s="712"/>
      <c r="D423" s="713"/>
      <c r="E423" s="713"/>
      <c r="F423" s="713"/>
      <c r="G423" s="713"/>
      <c r="H423" s="713"/>
      <c r="I423" s="720"/>
      <c r="J423" s="713"/>
      <c r="K423" s="714"/>
      <c r="L423" s="718"/>
    </row>
    <row r="424" spans="1:12">
      <c r="A424" s="712"/>
      <c r="B424" s="722"/>
      <c r="C424" s="712"/>
      <c r="D424" s="713"/>
      <c r="E424" s="713"/>
      <c r="F424" s="713"/>
      <c r="G424" s="713"/>
      <c r="H424" s="713"/>
      <c r="I424" s="720"/>
      <c r="J424" s="713"/>
      <c r="K424" s="714"/>
      <c r="L424" s="718"/>
    </row>
    <row r="425" spans="1:12">
      <c r="A425" s="712"/>
      <c r="B425" s="722"/>
      <c r="C425" s="712"/>
      <c r="D425" s="713"/>
      <c r="E425" s="713"/>
      <c r="F425" s="713"/>
      <c r="G425" s="713"/>
      <c r="H425" s="713"/>
      <c r="I425" s="720"/>
      <c r="J425" s="713"/>
      <c r="K425" s="714"/>
      <c r="L425" s="718"/>
    </row>
    <row r="426" spans="1:12">
      <c r="A426" s="712"/>
      <c r="B426" s="722"/>
      <c r="C426" s="712"/>
      <c r="D426" s="713"/>
      <c r="E426" s="713"/>
      <c r="F426" s="713"/>
      <c r="G426" s="713"/>
      <c r="H426" s="713"/>
      <c r="I426" s="720"/>
      <c r="J426" s="713"/>
      <c r="K426" s="714"/>
      <c r="L426" s="718"/>
    </row>
    <row r="427" spans="1:12">
      <c r="A427" s="712"/>
      <c r="B427" s="722"/>
      <c r="C427" s="712"/>
      <c r="D427" s="713"/>
      <c r="E427" s="713"/>
      <c r="F427" s="713"/>
      <c r="G427" s="713"/>
      <c r="H427" s="713"/>
      <c r="I427" s="720"/>
      <c r="J427" s="713"/>
      <c r="K427" s="714"/>
      <c r="L427" s="718"/>
    </row>
    <row r="428" spans="1:12">
      <c r="A428" s="712"/>
      <c r="B428" s="722"/>
      <c r="C428" s="712"/>
      <c r="D428" s="713"/>
      <c r="E428" s="713"/>
      <c r="F428" s="713"/>
      <c r="G428" s="713"/>
      <c r="H428" s="713"/>
      <c r="I428" s="720"/>
      <c r="J428" s="713"/>
      <c r="K428" s="714"/>
      <c r="L428" s="718"/>
    </row>
    <row r="429" spans="1:12">
      <c r="A429" s="712"/>
      <c r="B429" s="722"/>
      <c r="C429" s="712"/>
      <c r="D429" s="713"/>
      <c r="E429" s="713"/>
      <c r="F429" s="713"/>
      <c r="G429" s="713"/>
      <c r="H429" s="713"/>
      <c r="I429" s="720"/>
      <c r="J429" s="713"/>
      <c r="K429" s="714"/>
      <c r="L429" s="718"/>
    </row>
    <row r="430" spans="1:12">
      <c r="A430" s="712"/>
      <c r="B430" s="722"/>
      <c r="C430" s="712"/>
      <c r="D430" s="713"/>
      <c r="E430" s="713"/>
      <c r="F430" s="713"/>
      <c r="G430" s="713"/>
      <c r="H430" s="713"/>
      <c r="I430" s="720"/>
      <c r="J430" s="713"/>
      <c r="K430" s="714"/>
      <c r="L430" s="718"/>
    </row>
    <row r="431" spans="1:12">
      <c r="A431" s="712"/>
      <c r="B431" s="722"/>
      <c r="C431" s="712"/>
      <c r="D431" s="713"/>
      <c r="E431" s="713"/>
      <c r="F431" s="713"/>
      <c r="G431" s="713"/>
      <c r="H431" s="713"/>
      <c r="I431" s="720"/>
      <c r="J431" s="713"/>
      <c r="K431" s="714"/>
      <c r="L431" s="718"/>
    </row>
    <row r="432" spans="1:12">
      <c r="A432" s="712"/>
      <c r="B432" s="722"/>
      <c r="C432" s="712"/>
      <c r="D432" s="713"/>
      <c r="E432" s="713"/>
      <c r="F432" s="713"/>
      <c r="G432" s="713"/>
      <c r="H432" s="713"/>
      <c r="I432" s="720"/>
      <c r="J432" s="713"/>
      <c r="K432" s="714"/>
      <c r="L432" s="718"/>
    </row>
    <row r="433" spans="1:12">
      <c r="A433" s="712"/>
      <c r="B433" s="722"/>
      <c r="C433" s="712"/>
      <c r="D433" s="713"/>
      <c r="E433" s="713"/>
      <c r="F433" s="713"/>
      <c r="G433" s="713"/>
      <c r="H433" s="713"/>
      <c r="I433" s="720"/>
      <c r="J433" s="713"/>
      <c r="K433" s="714"/>
      <c r="L433" s="718"/>
    </row>
    <row r="434" spans="1:12">
      <c r="A434" s="712"/>
      <c r="B434" s="717"/>
      <c r="C434" s="712"/>
      <c r="D434" s="713"/>
      <c r="E434" s="713"/>
      <c r="F434" s="713"/>
      <c r="G434" s="713"/>
      <c r="H434" s="713"/>
      <c r="I434" s="713"/>
      <c r="J434" s="720"/>
      <c r="K434" s="714"/>
      <c r="L434" s="718">
        <v>8.1720000000000006</v>
      </c>
    </row>
    <row r="435" spans="1:12">
      <c r="A435" s="712"/>
      <c r="B435" s="735"/>
      <c r="C435" s="712"/>
      <c r="D435" s="713"/>
      <c r="E435" s="713"/>
      <c r="F435" s="713"/>
      <c r="G435" s="713"/>
      <c r="H435" s="713"/>
      <c r="I435" s="713"/>
      <c r="J435" s="713"/>
      <c r="K435" s="714"/>
      <c r="L435" s="718"/>
    </row>
    <row r="436" spans="1:12">
      <c r="A436" s="712"/>
      <c r="B436" s="716"/>
      <c r="C436" s="712"/>
      <c r="D436" s="713"/>
      <c r="E436" s="713"/>
      <c r="F436" s="713"/>
      <c r="G436" s="713"/>
      <c r="H436" s="713"/>
      <c r="I436" s="713"/>
      <c r="J436" s="713"/>
      <c r="K436" s="714"/>
      <c r="L436" s="718"/>
    </row>
    <row r="437" spans="1:12">
      <c r="A437" s="712"/>
      <c r="B437" s="722"/>
      <c r="C437" s="712"/>
      <c r="D437" s="713"/>
      <c r="E437" s="713"/>
      <c r="F437" s="713"/>
      <c r="G437" s="713"/>
      <c r="H437" s="713"/>
      <c r="I437" s="720"/>
      <c r="J437" s="713"/>
      <c r="K437" s="714"/>
      <c r="L437" s="718"/>
    </row>
    <row r="438" spans="1:12">
      <c r="A438" s="712"/>
      <c r="B438" s="722"/>
      <c r="C438" s="712"/>
      <c r="D438" s="713"/>
      <c r="E438" s="713"/>
      <c r="F438" s="713"/>
      <c r="G438" s="713"/>
      <c r="H438" s="713"/>
      <c r="I438" s="720"/>
      <c r="J438" s="713"/>
      <c r="K438" s="714"/>
      <c r="L438" s="718"/>
    </row>
    <row r="439" spans="1:12">
      <c r="A439" s="712"/>
      <c r="B439" s="722"/>
      <c r="C439" s="712"/>
      <c r="D439" s="713"/>
      <c r="E439" s="713"/>
      <c r="F439" s="713"/>
      <c r="G439" s="713"/>
      <c r="H439" s="713"/>
      <c r="I439" s="720"/>
      <c r="J439" s="713"/>
      <c r="K439" s="714"/>
      <c r="L439" s="718"/>
    </row>
    <row r="440" spans="1:12">
      <c r="A440" s="712"/>
      <c r="B440" s="722"/>
      <c r="C440" s="712"/>
      <c r="D440" s="713"/>
      <c r="E440" s="713"/>
      <c r="F440" s="713"/>
      <c r="G440" s="713"/>
      <c r="H440" s="713"/>
      <c r="I440" s="720"/>
      <c r="J440" s="713"/>
      <c r="K440" s="714"/>
      <c r="L440" s="718"/>
    </row>
    <row r="441" spans="1:12">
      <c r="A441" s="712"/>
      <c r="B441" s="722"/>
      <c r="C441" s="712"/>
      <c r="D441" s="713"/>
      <c r="E441" s="713"/>
      <c r="F441" s="713"/>
      <c r="G441" s="713"/>
      <c r="H441" s="713"/>
      <c r="I441" s="720"/>
      <c r="J441" s="713"/>
      <c r="K441" s="714"/>
      <c r="L441" s="718"/>
    </row>
    <row r="442" spans="1:12">
      <c r="A442" s="712"/>
      <c r="B442" s="722"/>
      <c r="C442" s="712"/>
      <c r="D442" s="713"/>
      <c r="E442" s="713"/>
      <c r="F442" s="713"/>
      <c r="G442" s="713"/>
      <c r="H442" s="713"/>
      <c r="I442" s="720"/>
      <c r="J442" s="713"/>
      <c r="K442" s="714"/>
      <c r="L442" s="718"/>
    </row>
    <row r="443" spans="1:12">
      <c r="A443" s="712"/>
      <c r="B443" s="722"/>
      <c r="C443" s="712"/>
      <c r="D443" s="713"/>
      <c r="E443" s="713"/>
      <c r="F443" s="713"/>
      <c r="G443" s="713"/>
      <c r="H443" s="713"/>
      <c r="I443" s="720"/>
      <c r="J443" s="713"/>
      <c r="K443" s="714"/>
      <c r="L443" s="718"/>
    </row>
    <row r="444" spans="1:12">
      <c r="A444" s="712"/>
      <c r="B444" s="722"/>
      <c r="C444" s="712"/>
      <c r="D444" s="713"/>
      <c r="E444" s="713"/>
      <c r="F444" s="713"/>
      <c r="G444" s="713"/>
      <c r="H444" s="713"/>
      <c r="I444" s="720"/>
      <c r="J444" s="713"/>
      <c r="K444" s="714"/>
      <c r="L444" s="718"/>
    </row>
    <row r="445" spans="1:12">
      <c r="A445" s="712"/>
      <c r="B445" s="722"/>
      <c r="C445" s="712"/>
      <c r="D445" s="713"/>
      <c r="E445" s="713"/>
      <c r="F445" s="713"/>
      <c r="G445" s="713"/>
      <c r="H445" s="713"/>
      <c r="I445" s="720"/>
      <c r="J445" s="713"/>
      <c r="K445" s="714"/>
      <c r="L445" s="718"/>
    </row>
    <row r="446" spans="1:12">
      <c r="A446" s="712"/>
      <c r="B446" s="722"/>
      <c r="C446" s="712"/>
      <c r="D446" s="713"/>
      <c r="E446" s="713"/>
      <c r="F446" s="713"/>
      <c r="G446" s="713"/>
      <c r="H446" s="713"/>
      <c r="I446" s="720"/>
      <c r="J446" s="713"/>
      <c r="K446" s="714"/>
      <c r="L446" s="718"/>
    </row>
    <row r="447" spans="1:12">
      <c r="A447" s="712"/>
      <c r="B447" s="722"/>
      <c r="C447" s="712"/>
      <c r="D447" s="713"/>
      <c r="E447" s="713"/>
      <c r="F447" s="713"/>
      <c r="G447" s="713"/>
      <c r="H447" s="713"/>
      <c r="I447" s="720"/>
      <c r="J447" s="713"/>
      <c r="K447" s="714"/>
      <c r="L447" s="718"/>
    </row>
    <row r="448" spans="1:12">
      <c r="A448" s="712"/>
      <c r="B448" s="722"/>
      <c r="C448" s="712"/>
      <c r="D448" s="713"/>
      <c r="E448" s="713"/>
      <c r="F448" s="713"/>
      <c r="G448" s="713"/>
      <c r="H448" s="713"/>
      <c r="I448" s="720"/>
      <c r="J448" s="713"/>
      <c r="K448" s="714"/>
      <c r="L448" s="718"/>
    </row>
    <row r="449" spans="1:12">
      <c r="A449" s="712"/>
      <c r="B449" s="722"/>
      <c r="C449" s="712"/>
      <c r="D449" s="713"/>
      <c r="E449" s="713"/>
      <c r="F449" s="713"/>
      <c r="G449" s="713"/>
      <c r="H449" s="713"/>
      <c r="I449" s="720"/>
      <c r="J449" s="713"/>
      <c r="K449" s="714"/>
      <c r="L449" s="718"/>
    </row>
    <row r="450" spans="1:12">
      <c r="A450" s="712"/>
      <c r="B450" s="722"/>
      <c r="C450" s="712"/>
      <c r="D450" s="713"/>
      <c r="E450" s="713"/>
      <c r="F450" s="713"/>
      <c r="G450" s="713"/>
      <c r="H450" s="713"/>
      <c r="I450" s="720"/>
      <c r="J450" s="713"/>
      <c r="K450" s="714"/>
      <c r="L450" s="718"/>
    </row>
    <row r="451" spans="1:12">
      <c r="A451" s="712"/>
      <c r="B451" s="722"/>
      <c r="C451" s="712"/>
      <c r="D451" s="713"/>
      <c r="E451" s="713"/>
      <c r="F451" s="713"/>
      <c r="G451" s="713"/>
      <c r="H451" s="713"/>
      <c r="I451" s="720"/>
      <c r="J451" s="713"/>
      <c r="K451" s="714"/>
      <c r="L451" s="718"/>
    </row>
    <row r="452" spans="1:12">
      <c r="A452" s="712"/>
      <c r="B452" s="722"/>
      <c r="C452" s="712"/>
      <c r="D452" s="713"/>
      <c r="E452" s="713"/>
      <c r="F452" s="713"/>
      <c r="G452" s="713"/>
      <c r="H452" s="713"/>
      <c r="I452" s="720"/>
      <c r="J452" s="713"/>
      <c r="K452" s="714"/>
      <c r="L452" s="718"/>
    </row>
    <row r="453" spans="1:12">
      <c r="A453" s="712"/>
      <c r="B453" s="722"/>
      <c r="C453" s="712"/>
      <c r="D453" s="713"/>
      <c r="E453" s="713"/>
      <c r="F453" s="713"/>
      <c r="G453" s="713"/>
      <c r="H453" s="713"/>
      <c r="I453" s="720"/>
      <c r="J453" s="713"/>
      <c r="K453" s="714"/>
      <c r="L453" s="718"/>
    </row>
    <row r="454" spans="1:12">
      <c r="A454" s="712"/>
      <c r="B454" s="722"/>
      <c r="C454" s="712"/>
      <c r="D454" s="713"/>
      <c r="E454" s="713"/>
      <c r="F454" s="713"/>
      <c r="G454" s="713"/>
      <c r="H454" s="713"/>
      <c r="I454" s="720"/>
      <c r="J454" s="713"/>
      <c r="K454" s="714"/>
      <c r="L454" s="718"/>
    </row>
    <row r="455" spans="1:12">
      <c r="A455" s="712"/>
      <c r="B455" s="722"/>
      <c r="C455" s="712"/>
      <c r="D455" s="713"/>
      <c r="E455" s="713"/>
      <c r="F455" s="713"/>
      <c r="G455" s="713"/>
      <c r="H455" s="713"/>
      <c r="I455" s="720"/>
      <c r="J455" s="713"/>
      <c r="K455" s="714"/>
      <c r="L455" s="718"/>
    </row>
    <row r="456" spans="1:12">
      <c r="A456" s="712"/>
      <c r="B456" s="722"/>
      <c r="C456" s="712"/>
      <c r="D456" s="713"/>
      <c r="E456" s="713"/>
      <c r="F456" s="713"/>
      <c r="G456" s="713"/>
      <c r="H456" s="713"/>
      <c r="I456" s="720"/>
      <c r="J456" s="713"/>
      <c r="K456" s="714"/>
      <c r="L456" s="718"/>
    </row>
    <row r="457" spans="1:12">
      <c r="A457" s="712"/>
      <c r="B457" s="735"/>
      <c r="C457" s="712"/>
      <c r="D457" s="713"/>
      <c r="E457" s="713"/>
      <c r="F457" s="713"/>
      <c r="G457" s="713"/>
      <c r="H457" s="713"/>
      <c r="I457" s="720"/>
      <c r="J457" s="713"/>
      <c r="K457" s="714"/>
      <c r="L457" s="718"/>
    </row>
    <row r="458" spans="1:12">
      <c r="A458" s="712"/>
      <c r="B458" s="722"/>
      <c r="C458" s="712"/>
      <c r="D458" s="713"/>
      <c r="E458" s="713"/>
      <c r="F458" s="713"/>
      <c r="G458" s="713"/>
      <c r="H458" s="713"/>
      <c r="I458" s="720"/>
      <c r="J458" s="713"/>
      <c r="K458" s="714"/>
      <c r="L458" s="718"/>
    </row>
    <row r="459" spans="1:12">
      <c r="A459" s="712"/>
      <c r="B459" s="722"/>
      <c r="C459" s="712"/>
      <c r="D459" s="713"/>
      <c r="E459" s="713"/>
      <c r="F459" s="713"/>
      <c r="G459" s="713"/>
      <c r="H459" s="713"/>
      <c r="I459" s="720"/>
      <c r="J459" s="713"/>
      <c r="K459" s="714"/>
      <c r="L459" s="718"/>
    </row>
    <row r="460" spans="1:12">
      <c r="A460" s="712"/>
      <c r="B460" s="722"/>
      <c r="C460" s="712"/>
      <c r="D460" s="713"/>
      <c r="E460" s="713"/>
      <c r="F460" s="713"/>
      <c r="G460" s="713"/>
      <c r="H460" s="713"/>
      <c r="I460" s="720"/>
      <c r="J460" s="713"/>
      <c r="K460" s="714"/>
      <c r="L460" s="718"/>
    </row>
    <row r="461" spans="1:12">
      <c r="A461" s="712"/>
      <c r="B461" s="722"/>
      <c r="C461" s="712"/>
      <c r="D461" s="713"/>
      <c r="E461" s="713"/>
      <c r="F461" s="713"/>
      <c r="G461" s="713"/>
      <c r="H461" s="713"/>
      <c r="I461" s="720"/>
      <c r="J461" s="713"/>
      <c r="K461" s="714"/>
      <c r="L461" s="718"/>
    </row>
    <row r="462" spans="1:12">
      <c r="A462" s="712"/>
      <c r="B462" s="722"/>
      <c r="C462" s="712"/>
      <c r="D462" s="713"/>
      <c r="E462" s="713"/>
      <c r="F462" s="713"/>
      <c r="G462" s="713"/>
      <c r="H462" s="713"/>
      <c r="I462" s="720"/>
      <c r="J462" s="713"/>
      <c r="K462" s="714"/>
      <c r="L462" s="718"/>
    </row>
    <row r="463" spans="1:12">
      <c r="A463" s="712"/>
      <c r="B463" s="722"/>
      <c r="C463" s="712"/>
      <c r="D463" s="713"/>
      <c r="E463" s="713"/>
      <c r="F463" s="713"/>
      <c r="G463" s="713"/>
      <c r="H463" s="713"/>
      <c r="I463" s="720"/>
      <c r="J463" s="713"/>
      <c r="K463" s="714"/>
      <c r="L463" s="718"/>
    </row>
    <row r="464" spans="1:12">
      <c r="A464" s="712"/>
      <c r="B464" s="722"/>
      <c r="C464" s="712"/>
      <c r="D464" s="713"/>
      <c r="E464" s="713"/>
      <c r="F464" s="713"/>
      <c r="G464" s="713"/>
      <c r="H464" s="713"/>
      <c r="I464" s="720"/>
      <c r="J464" s="713"/>
      <c r="K464" s="714"/>
      <c r="L464" s="718"/>
    </row>
    <row r="465" spans="1:12">
      <c r="A465" s="712"/>
      <c r="B465" s="722"/>
      <c r="C465" s="712"/>
      <c r="D465" s="713"/>
      <c r="E465" s="713"/>
      <c r="F465" s="713"/>
      <c r="G465" s="713"/>
      <c r="H465" s="713"/>
      <c r="I465" s="720"/>
      <c r="J465" s="713"/>
      <c r="K465" s="714"/>
      <c r="L465" s="718"/>
    </row>
    <row r="466" spans="1:12">
      <c r="A466" s="712"/>
      <c r="B466" s="722"/>
      <c r="C466" s="712"/>
      <c r="D466" s="713"/>
      <c r="E466" s="713"/>
      <c r="F466" s="713"/>
      <c r="G466" s="713"/>
      <c r="H466" s="713"/>
      <c r="I466" s="720"/>
      <c r="J466" s="713"/>
      <c r="K466" s="714"/>
      <c r="L466" s="718"/>
    </row>
    <row r="467" spans="1:12">
      <c r="A467" s="712"/>
      <c r="B467" s="722"/>
      <c r="C467" s="712"/>
      <c r="D467" s="713"/>
      <c r="E467" s="713"/>
      <c r="F467" s="713"/>
      <c r="G467" s="713"/>
      <c r="H467" s="713"/>
      <c r="I467" s="720"/>
      <c r="J467" s="713"/>
      <c r="K467" s="714"/>
      <c r="L467" s="718"/>
    </row>
    <row r="468" spans="1:12">
      <c r="A468" s="712"/>
      <c r="B468" s="722"/>
      <c r="C468" s="712"/>
      <c r="D468" s="713"/>
      <c r="E468" s="713"/>
      <c r="F468" s="713"/>
      <c r="G468" s="713"/>
      <c r="H468" s="713"/>
      <c r="I468" s="720"/>
      <c r="J468" s="713"/>
      <c r="K468" s="714"/>
      <c r="L468" s="718"/>
    </row>
    <row r="469" spans="1:12">
      <c r="A469" s="712"/>
      <c r="B469" s="722"/>
      <c r="C469" s="712"/>
      <c r="D469" s="713"/>
      <c r="E469" s="713"/>
      <c r="F469" s="713"/>
      <c r="G469" s="713"/>
      <c r="H469" s="713"/>
      <c r="I469" s="720"/>
      <c r="J469" s="713"/>
      <c r="K469" s="714"/>
      <c r="L469" s="718"/>
    </row>
    <row r="470" spans="1:12">
      <c r="A470" s="712"/>
      <c r="B470" s="722"/>
      <c r="C470" s="712"/>
      <c r="D470" s="713"/>
      <c r="E470" s="713"/>
      <c r="F470" s="713"/>
      <c r="G470" s="713"/>
      <c r="H470" s="713"/>
      <c r="I470" s="720"/>
      <c r="J470" s="713"/>
      <c r="K470" s="714"/>
      <c r="L470" s="718"/>
    </row>
    <row r="471" spans="1:12">
      <c r="A471" s="712"/>
      <c r="B471" s="722"/>
      <c r="C471" s="712"/>
      <c r="D471" s="713"/>
      <c r="E471" s="713"/>
      <c r="F471" s="713"/>
      <c r="G471" s="713"/>
      <c r="H471" s="713"/>
      <c r="I471" s="720"/>
      <c r="J471" s="713"/>
      <c r="K471" s="714"/>
      <c r="L471" s="718"/>
    </row>
    <row r="472" spans="1:12">
      <c r="A472" s="712"/>
      <c r="B472" s="722"/>
      <c r="C472" s="712"/>
      <c r="D472" s="713"/>
      <c r="E472" s="713"/>
      <c r="F472" s="713"/>
      <c r="G472" s="713"/>
      <c r="H472" s="713"/>
      <c r="I472" s="720"/>
      <c r="J472" s="713"/>
      <c r="K472" s="714"/>
      <c r="L472" s="718"/>
    </row>
    <row r="473" spans="1:12">
      <c r="A473" s="712"/>
      <c r="B473" s="722"/>
      <c r="C473" s="712"/>
      <c r="D473" s="713"/>
      <c r="E473" s="713"/>
      <c r="F473" s="713"/>
      <c r="G473" s="713"/>
      <c r="H473" s="713"/>
      <c r="I473" s="720"/>
      <c r="J473" s="713"/>
      <c r="K473" s="714"/>
      <c r="L473" s="718"/>
    </row>
    <row r="474" spans="1:12">
      <c r="A474" s="712"/>
      <c r="B474" s="722"/>
      <c r="C474" s="712"/>
      <c r="D474" s="713"/>
      <c r="E474" s="713"/>
      <c r="F474" s="713"/>
      <c r="G474" s="713"/>
      <c r="H474" s="713"/>
      <c r="I474" s="720"/>
      <c r="J474" s="713"/>
      <c r="K474" s="714"/>
      <c r="L474" s="718"/>
    </row>
    <row r="475" spans="1:12">
      <c r="A475" s="712"/>
      <c r="B475" s="722"/>
      <c r="C475" s="712"/>
      <c r="D475" s="713"/>
      <c r="E475" s="713"/>
      <c r="F475" s="713"/>
      <c r="G475" s="713"/>
      <c r="H475" s="713"/>
      <c r="I475" s="720"/>
      <c r="J475" s="713"/>
      <c r="K475" s="714"/>
      <c r="L475" s="718"/>
    </row>
    <row r="476" spans="1:12">
      <c r="A476" s="712"/>
      <c r="B476" s="722"/>
      <c r="C476" s="712"/>
      <c r="D476" s="713"/>
      <c r="E476" s="713"/>
      <c r="F476" s="713"/>
      <c r="G476" s="713"/>
      <c r="H476" s="713"/>
      <c r="I476" s="720"/>
      <c r="J476" s="713"/>
      <c r="K476" s="714"/>
      <c r="L476" s="718"/>
    </row>
    <row r="477" spans="1:12">
      <c r="A477" s="712"/>
      <c r="B477" s="722"/>
      <c r="C477" s="712"/>
      <c r="D477" s="713"/>
      <c r="E477" s="713"/>
      <c r="F477" s="713"/>
      <c r="G477" s="713"/>
      <c r="H477" s="713"/>
      <c r="I477" s="720"/>
      <c r="J477" s="713"/>
      <c r="K477" s="714"/>
      <c r="L477" s="718"/>
    </row>
    <row r="478" spans="1:12">
      <c r="A478" s="712"/>
      <c r="B478" s="719"/>
      <c r="C478" s="712"/>
      <c r="D478" s="713"/>
      <c r="E478" s="713"/>
      <c r="F478" s="713"/>
      <c r="G478" s="713"/>
      <c r="H478" s="713"/>
      <c r="I478" s="720"/>
      <c r="J478" s="713"/>
      <c r="K478" s="714"/>
      <c r="L478" s="718"/>
    </row>
    <row r="479" spans="1:12">
      <c r="A479" s="712"/>
      <c r="B479" s="719"/>
      <c r="C479" s="712"/>
      <c r="D479" s="713"/>
      <c r="E479" s="713"/>
      <c r="F479" s="713"/>
      <c r="G479" s="713"/>
      <c r="H479" s="713"/>
      <c r="I479" s="720"/>
      <c r="J479" s="713"/>
      <c r="K479" s="714"/>
      <c r="L479" s="718"/>
    </row>
    <row r="480" spans="1:12">
      <c r="A480" s="712"/>
      <c r="B480" s="719"/>
      <c r="C480" s="712"/>
      <c r="D480" s="713"/>
      <c r="E480" s="713"/>
      <c r="F480" s="713"/>
      <c r="G480" s="713"/>
      <c r="H480" s="713"/>
      <c r="I480" s="720"/>
      <c r="J480" s="713"/>
      <c r="K480" s="714"/>
      <c r="L480" s="718"/>
    </row>
    <row r="481" spans="1:12">
      <c r="A481" s="712"/>
      <c r="B481" s="719"/>
      <c r="C481" s="712"/>
      <c r="D481" s="713"/>
      <c r="E481" s="713"/>
      <c r="F481" s="713"/>
      <c r="G481" s="713"/>
      <c r="H481" s="713"/>
      <c r="I481" s="720"/>
      <c r="J481" s="713"/>
      <c r="K481" s="714"/>
      <c r="L481" s="718"/>
    </row>
    <row r="482" spans="1:12">
      <c r="A482" s="712"/>
      <c r="B482" s="719"/>
      <c r="C482" s="712"/>
      <c r="D482" s="713"/>
      <c r="E482" s="713"/>
      <c r="F482" s="713"/>
      <c r="G482" s="713"/>
      <c r="H482" s="713"/>
      <c r="I482" s="720"/>
      <c r="J482" s="713"/>
      <c r="K482" s="714"/>
      <c r="L482" s="718"/>
    </row>
    <row r="483" spans="1:12">
      <c r="A483" s="712"/>
      <c r="B483" s="719"/>
      <c r="C483" s="712"/>
      <c r="D483" s="713"/>
      <c r="E483" s="713"/>
      <c r="F483" s="713"/>
      <c r="G483" s="713"/>
      <c r="H483" s="713"/>
      <c r="I483" s="720"/>
      <c r="J483" s="713"/>
      <c r="K483" s="714"/>
      <c r="L483" s="718"/>
    </row>
    <row r="484" spans="1:12">
      <c r="A484" s="712"/>
      <c r="B484" s="719"/>
      <c r="C484" s="712"/>
      <c r="D484" s="713"/>
      <c r="E484" s="713"/>
      <c r="F484" s="713"/>
      <c r="G484" s="713"/>
      <c r="H484" s="713"/>
      <c r="I484" s="720"/>
      <c r="J484" s="713"/>
      <c r="K484" s="714"/>
      <c r="L484" s="718"/>
    </row>
    <row r="485" spans="1:12">
      <c r="A485" s="712"/>
      <c r="B485" s="719"/>
      <c r="C485" s="712"/>
      <c r="D485" s="713"/>
      <c r="E485" s="713"/>
      <c r="F485" s="713"/>
      <c r="G485" s="713"/>
      <c r="H485" s="713"/>
      <c r="I485" s="720"/>
      <c r="J485" s="713"/>
      <c r="K485" s="714"/>
      <c r="L485" s="718"/>
    </row>
    <row r="486" spans="1:12">
      <c r="A486" s="712"/>
      <c r="B486" s="719"/>
      <c r="C486" s="712"/>
      <c r="D486" s="713"/>
      <c r="E486" s="713"/>
      <c r="F486" s="713"/>
      <c r="G486" s="713"/>
      <c r="H486" s="713"/>
      <c r="I486" s="720"/>
      <c r="J486" s="713"/>
      <c r="K486" s="714"/>
      <c r="L486" s="718"/>
    </row>
    <row r="487" spans="1:12">
      <c r="A487" s="712"/>
      <c r="B487" s="719"/>
      <c r="C487" s="712"/>
      <c r="D487" s="713"/>
      <c r="E487" s="713"/>
      <c r="F487" s="713"/>
      <c r="G487" s="713"/>
      <c r="H487" s="713"/>
      <c r="I487" s="720"/>
      <c r="J487" s="713"/>
      <c r="K487" s="714"/>
      <c r="L487" s="718"/>
    </row>
    <row r="488" spans="1:12">
      <c r="A488" s="712"/>
      <c r="B488" s="719"/>
      <c r="C488" s="712"/>
      <c r="D488" s="713"/>
      <c r="E488" s="713"/>
      <c r="F488" s="713"/>
      <c r="G488" s="713"/>
      <c r="H488" s="713"/>
      <c r="I488" s="720"/>
      <c r="J488" s="713"/>
      <c r="K488" s="714"/>
      <c r="L488" s="718"/>
    </row>
    <row r="489" spans="1:12">
      <c r="A489" s="712"/>
      <c r="B489" s="719"/>
      <c r="C489" s="712"/>
      <c r="D489" s="713"/>
      <c r="E489" s="713"/>
      <c r="F489" s="713"/>
      <c r="G489" s="713"/>
      <c r="H489" s="713"/>
      <c r="I489" s="720"/>
      <c r="J489" s="713"/>
      <c r="K489" s="714"/>
      <c r="L489" s="718"/>
    </row>
    <row r="490" spans="1:12">
      <c r="A490" s="712"/>
      <c r="B490" s="719"/>
      <c r="C490" s="712"/>
      <c r="D490" s="713"/>
      <c r="E490" s="713"/>
      <c r="F490" s="713"/>
      <c r="G490" s="713"/>
      <c r="H490" s="713"/>
      <c r="I490" s="720"/>
      <c r="J490" s="713"/>
      <c r="K490" s="714"/>
      <c r="L490" s="718"/>
    </row>
    <row r="491" spans="1:12">
      <c r="A491" s="712"/>
      <c r="B491" s="719"/>
      <c r="C491" s="712"/>
      <c r="D491" s="713"/>
      <c r="E491" s="713"/>
      <c r="F491" s="713"/>
      <c r="G491" s="713"/>
      <c r="H491" s="713"/>
      <c r="I491" s="720"/>
      <c r="J491" s="713"/>
      <c r="K491" s="714"/>
      <c r="L491" s="718"/>
    </row>
    <row r="492" spans="1:12">
      <c r="A492" s="712"/>
      <c r="B492" s="719"/>
      <c r="C492" s="712"/>
      <c r="D492" s="713"/>
      <c r="E492" s="713"/>
      <c r="F492" s="713"/>
      <c r="G492" s="713"/>
      <c r="H492" s="713"/>
      <c r="I492" s="720"/>
      <c r="J492" s="713"/>
      <c r="K492" s="714"/>
      <c r="L492" s="718"/>
    </row>
    <row r="493" spans="1:12">
      <c r="A493" s="712"/>
      <c r="B493" s="719"/>
      <c r="C493" s="712"/>
      <c r="D493" s="713"/>
      <c r="E493" s="713"/>
      <c r="F493" s="713"/>
      <c r="G493" s="713"/>
      <c r="H493" s="713"/>
      <c r="I493" s="720"/>
      <c r="J493" s="713"/>
      <c r="K493" s="714"/>
      <c r="L493" s="718"/>
    </row>
    <row r="494" spans="1:12">
      <c r="A494" s="712"/>
      <c r="B494" s="719"/>
      <c r="C494" s="712"/>
      <c r="D494" s="713"/>
      <c r="E494" s="713"/>
      <c r="F494" s="713"/>
      <c r="G494" s="713"/>
      <c r="H494" s="713"/>
      <c r="I494" s="720"/>
      <c r="J494" s="713"/>
      <c r="K494" s="714"/>
      <c r="L494" s="718"/>
    </row>
    <row r="495" spans="1:12">
      <c r="A495" s="712"/>
      <c r="B495" s="719"/>
      <c r="C495" s="712"/>
      <c r="D495" s="713"/>
      <c r="E495" s="713"/>
      <c r="F495" s="713"/>
      <c r="G495" s="713"/>
      <c r="H495" s="713"/>
      <c r="I495" s="720"/>
      <c r="J495" s="713"/>
      <c r="K495" s="714"/>
      <c r="L495" s="718"/>
    </row>
    <row r="496" spans="1:12">
      <c r="A496" s="712"/>
      <c r="B496" s="719"/>
      <c r="C496" s="712"/>
      <c r="D496" s="713"/>
      <c r="E496" s="713"/>
      <c r="F496" s="713"/>
      <c r="G496" s="713"/>
      <c r="H496" s="713"/>
      <c r="I496" s="720"/>
      <c r="J496" s="713"/>
      <c r="K496" s="714"/>
      <c r="L496" s="718"/>
    </row>
    <row r="497" spans="1:14">
      <c r="A497" s="712"/>
      <c r="B497" s="719"/>
      <c r="C497" s="712"/>
      <c r="D497" s="713"/>
      <c r="E497" s="713"/>
      <c r="F497" s="713"/>
      <c r="G497" s="713"/>
      <c r="H497" s="713"/>
      <c r="I497" s="720"/>
      <c r="J497" s="713"/>
      <c r="K497" s="714"/>
      <c r="L497" s="718"/>
    </row>
    <row r="498" spans="1:14">
      <c r="A498" s="712"/>
      <c r="B498" s="719"/>
      <c r="C498" s="712"/>
      <c r="D498" s="713"/>
      <c r="E498" s="713"/>
      <c r="F498" s="713"/>
      <c r="G498" s="713"/>
      <c r="H498" s="713"/>
      <c r="I498" s="720"/>
      <c r="J498" s="713"/>
      <c r="K498" s="714"/>
      <c r="L498" s="718"/>
    </row>
    <row r="499" spans="1:14">
      <c r="A499" s="712"/>
      <c r="B499" s="719"/>
      <c r="C499" s="712"/>
      <c r="D499" s="713"/>
      <c r="E499" s="713"/>
      <c r="F499" s="713"/>
      <c r="G499" s="713"/>
      <c r="H499" s="713"/>
      <c r="I499" s="720"/>
      <c r="J499" s="713"/>
      <c r="K499" s="714"/>
      <c r="L499" s="718"/>
    </row>
    <row r="500" spans="1:14">
      <c r="A500" s="712"/>
      <c r="B500" s="719"/>
      <c r="C500" s="712"/>
      <c r="D500" s="713"/>
      <c r="E500" s="713"/>
      <c r="F500" s="713"/>
      <c r="G500" s="713"/>
      <c r="H500" s="713"/>
      <c r="I500" s="720"/>
      <c r="J500" s="713"/>
      <c r="K500" s="714"/>
      <c r="L500" s="718"/>
    </row>
    <row r="501" spans="1:14">
      <c r="A501" s="712"/>
      <c r="B501" s="719"/>
      <c r="C501" s="712"/>
      <c r="D501" s="713"/>
      <c r="E501" s="713"/>
      <c r="F501" s="713"/>
      <c r="G501" s="713"/>
      <c r="H501" s="713"/>
      <c r="I501" s="720"/>
      <c r="J501" s="713"/>
      <c r="K501" s="714"/>
      <c r="L501" s="718"/>
    </row>
    <row r="502" spans="1:14">
      <c r="A502" s="712"/>
      <c r="B502" s="719"/>
      <c r="C502" s="712"/>
      <c r="D502" s="713"/>
      <c r="E502" s="713"/>
      <c r="F502" s="713"/>
      <c r="G502" s="713"/>
      <c r="H502" s="713"/>
      <c r="I502" s="720"/>
      <c r="J502" s="713"/>
      <c r="K502" s="714"/>
      <c r="L502" s="718"/>
    </row>
    <row r="503" spans="1:14">
      <c r="A503" s="712"/>
      <c r="B503" s="719"/>
      <c r="C503" s="712"/>
      <c r="D503" s="713"/>
      <c r="E503" s="713"/>
      <c r="F503" s="713"/>
      <c r="G503" s="713"/>
      <c r="H503" s="713"/>
      <c r="I503" s="720"/>
      <c r="J503" s="713"/>
      <c r="K503" s="714"/>
      <c r="L503" s="718"/>
    </row>
    <row r="504" spans="1:14">
      <c r="A504" s="712"/>
      <c r="B504" s="719"/>
      <c r="C504" s="712"/>
      <c r="D504" s="713"/>
      <c r="E504" s="713"/>
      <c r="F504" s="713"/>
      <c r="G504" s="713"/>
      <c r="H504" s="713"/>
      <c r="I504" s="720"/>
      <c r="J504" s="713"/>
      <c r="K504" s="714"/>
      <c r="L504" s="718"/>
    </row>
    <row r="505" spans="1:14">
      <c r="A505" s="712"/>
      <c r="B505" s="717"/>
      <c r="C505" s="712"/>
      <c r="D505" s="713"/>
      <c r="E505" s="713"/>
      <c r="F505" s="713"/>
      <c r="G505" s="713"/>
      <c r="H505" s="713"/>
      <c r="I505" s="720"/>
      <c r="J505" s="723"/>
      <c r="K505" s="714"/>
      <c r="L505" s="718">
        <v>6.01</v>
      </c>
    </row>
    <row r="506" spans="1:14">
      <c r="A506" s="712"/>
      <c r="B506" s="736"/>
      <c r="C506" s="712"/>
      <c r="D506" s="713"/>
      <c r="E506" s="713"/>
      <c r="F506" s="713"/>
      <c r="G506" s="713"/>
      <c r="H506" s="713"/>
      <c r="I506" s="713"/>
      <c r="J506" s="713"/>
      <c r="K506" s="714"/>
      <c r="L506" s="718"/>
    </row>
    <row r="507" spans="1:14">
      <c r="A507" s="712"/>
      <c r="B507" s="736"/>
      <c r="C507" s="712"/>
      <c r="D507" s="713"/>
      <c r="E507" s="713"/>
      <c r="F507" s="713"/>
      <c r="G507" s="713"/>
      <c r="H507" s="713"/>
      <c r="I507" s="720"/>
      <c r="J507" s="713"/>
      <c r="K507" s="714"/>
      <c r="L507" s="718"/>
      <c r="N507" s="737"/>
    </row>
    <row r="508" spans="1:14">
      <c r="A508" s="712"/>
      <c r="B508" s="736"/>
      <c r="C508" s="712"/>
      <c r="D508" s="713"/>
      <c r="E508" s="713"/>
      <c r="F508" s="713"/>
      <c r="G508" s="713"/>
      <c r="H508" s="713"/>
      <c r="I508" s="720"/>
      <c r="J508" s="713"/>
      <c r="K508" s="714"/>
      <c r="L508" s="718"/>
      <c r="N508" s="737"/>
    </row>
    <row r="509" spans="1:14">
      <c r="A509" s="712"/>
      <c r="B509" s="736"/>
      <c r="C509" s="712"/>
      <c r="D509" s="713"/>
      <c r="E509" s="713"/>
      <c r="F509" s="713"/>
      <c r="G509" s="713"/>
      <c r="H509" s="713"/>
      <c r="I509" s="713"/>
      <c r="J509" s="713"/>
      <c r="K509" s="714"/>
      <c r="L509" s="718"/>
    </row>
    <row r="510" spans="1:14">
      <c r="A510" s="712"/>
      <c r="B510" s="717"/>
      <c r="C510" s="712"/>
      <c r="D510" s="713"/>
      <c r="E510" s="713"/>
      <c r="F510" s="713"/>
      <c r="G510" s="713"/>
      <c r="H510" s="713"/>
      <c r="I510" s="720"/>
      <c r="J510" s="720"/>
      <c r="K510" s="714"/>
      <c r="L510" s="718">
        <v>20.725000000000001</v>
      </c>
    </row>
    <row r="511" spans="1:14">
      <c r="A511" s="712"/>
      <c r="B511" s="719"/>
      <c r="C511" s="712"/>
      <c r="D511" s="713"/>
      <c r="E511" s="713"/>
      <c r="F511" s="713"/>
      <c r="G511" s="713"/>
      <c r="H511" s="713"/>
      <c r="I511" s="723"/>
      <c r="J511" s="713"/>
      <c r="K511" s="714"/>
      <c r="L511" s="718"/>
      <c r="N511" s="738"/>
    </row>
    <row r="512" spans="1:14">
      <c r="A512" s="712"/>
      <c r="B512" s="736"/>
      <c r="C512" s="712"/>
      <c r="D512" s="713"/>
      <c r="E512" s="713"/>
      <c r="F512" s="713"/>
      <c r="G512" s="713"/>
      <c r="H512" s="713"/>
      <c r="I512" s="713"/>
      <c r="J512" s="713"/>
      <c r="K512" s="714"/>
      <c r="L512" s="718"/>
    </row>
    <row r="513" spans="1:12">
      <c r="A513" s="712"/>
      <c r="B513" s="736"/>
      <c r="C513" s="712"/>
      <c r="D513" s="713"/>
      <c r="E513" s="713"/>
      <c r="F513" s="713"/>
      <c r="G513" s="713"/>
      <c r="H513" s="713"/>
      <c r="I513" s="713"/>
      <c r="J513" s="713"/>
      <c r="K513" s="714"/>
      <c r="L513" s="718"/>
    </row>
    <row r="514" spans="1:12" hidden="1">
      <c r="A514" s="712"/>
      <c r="B514" s="736"/>
      <c r="C514" s="712"/>
      <c r="D514" s="713"/>
      <c r="E514" s="713"/>
      <c r="F514" s="713"/>
      <c r="G514" s="713"/>
      <c r="H514" s="713"/>
      <c r="I514" s="713"/>
      <c r="J514" s="713"/>
      <c r="K514" s="714"/>
      <c r="L514" s="718"/>
    </row>
    <row r="515" spans="1:12">
      <c r="A515" s="712"/>
      <c r="B515" s="717"/>
      <c r="C515" s="712"/>
      <c r="D515" s="713"/>
      <c r="E515" s="713"/>
      <c r="F515" s="713"/>
      <c r="G515" s="713"/>
      <c r="H515" s="713"/>
      <c r="I515" s="713"/>
      <c r="J515" s="720"/>
      <c r="K515" s="714"/>
      <c r="L515" s="718">
        <v>21.119</v>
      </c>
    </row>
    <row r="516" spans="1:12">
      <c r="A516" s="712"/>
      <c r="B516" s="719"/>
      <c r="C516" s="712"/>
      <c r="D516" s="713"/>
      <c r="E516" s="713"/>
      <c r="F516" s="713"/>
      <c r="G516" s="713"/>
      <c r="H516" s="713"/>
      <c r="I516" s="713"/>
      <c r="J516" s="713"/>
      <c r="K516" s="714"/>
      <c r="L516" s="718"/>
    </row>
    <row r="517" spans="1:12">
      <c r="A517" s="712"/>
      <c r="B517" s="719"/>
      <c r="C517" s="712"/>
      <c r="D517" s="713"/>
      <c r="E517" s="713"/>
      <c r="F517" s="713"/>
      <c r="G517" s="713"/>
      <c r="H517" s="713"/>
      <c r="I517" s="713"/>
      <c r="J517" s="713"/>
      <c r="K517" s="714"/>
      <c r="L517" s="718"/>
    </row>
    <row r="518" spans="1:12">
      <c r="A518" s="712"/>
      <c r="B518" s="717"/>
      <c r="C518" s="712"/>
      <c r="D518" s="713"/>
      <c r="E518" s="713"/>
      <c r="F518" s="713"/>
      <c r="G518" s="713"/>
      <c r="H518" s="713"/>
      <c r="I518" s="713"/>
      <c r="J518" s="720"/>
      <c r="K518" s="714"/>
      <c r="L518" s="718">
        <v>5.7539999999999996</v>
      </c>
    </row>
    <row r="519" spans="1:12">
      <c r="A519" s="712"/>
      <c r="B519" s="719"/>
      <c r="C519" s="712"/>
      <c r="D519" s="713"/>
      <c r="E519" s="713"/>
      <c r="F519" s="713"/>
      <c r="G519" s="713"/>
      <c r="H519" s="713"/>
      <c r="I519" s="720"/>
      <c r="J519" s="713"/>
      <c r="K519" s="714"/>
      <c r="L519" s="718"/>
    </row>
    <row r="520" spans="1:12">
      <c r="A520" s="712"/>
      <c r="B520" s="719"/>
      <c r="C520" s="712"/>
      <c r="D520" s="713"/>
      <c r="E520" s="713"/>
      <c r="F520" s="713"/>
      <c r="G520" s="713"/>
      <c r="H520" s="713"/>
      <c r="I520" s="720"/>
      <c r="J520" s="713"/>
      <c r="K520" s="714"/>
      <c r="L520" s="718"/>
    </row>
    <row r="521" spans="1:12">
      <c r="A521" s="712"/>
      <c r="B521" s="717"/>
      <c r="C521" s="712"/>
      <c r="D521" s="713"/>
      <c r="E521" s="713"/>
      <c r="F521" s="713"/>
      <c r="G521" s="713"/>
      <c r="H521" s="713"/>
      <c r="I521" s="713"/>
      <c r="J521" s="720"/>
      <c r="K521" s="714"/>
      <c r="L521" s="718">
        <v>0.68500000000000005</v>
      </c>
    </row>
    <row r="522" spans="1:12">
      <c r="A522" s="712"/>
      <c r="B522" s="719"/>
      <c r="C522" s="712"/>
      <c r="D522" s="713"/>
      <c r="E522" s="713"/>
      <c r="F522" s="713"/>
      <c r="G522" s="713"/>
      <c r="H522" s="713"/>
      <c r="I522" s="720"/>
      <c r="J522" s="713"/>
      <c r="K522" s="714"/>
      <c r="L522" s="718"/>
    </row>
    <row r="523" spans="1:12">
      <c r="A523" s="712"/>
      <c r="B523" s="719"/>
      <c r="C523" s="712"/>
      <c r="D523" s="713"/>
      <c r="E523" s="713"/>
      <c r="F523" s="713"/>
      <c r="G523" s="713"/>
      <c r="H523" s="713"/>
      <c r="I523" s="720"/>
      <c r="J523" s="713"/>
      <c r="K523" s="714"/>
      <c r="L523" s="718"/>
    </row>
    <row r="524" spans="1:12">
      <c r="A524" s="712"/>
      <c r="B524" s="717"/>
      <c r="C524" s="712"/>
      <c r="D524" s="713"/>
      <c r="E524" s="713"/>
      <c r="F524" s="713"/>
      <c r="G524" s="713"/>
      <c r="H524" s="713"/>
      <c r="I524" s="713"/>
      <c r="J524" s="713"/>
      <c r="K524" s="714"/>
      <c r="L524" s="718">
        <v>0.27200000000000002</v>
      </c>
    </row>
    <row r="525" spans="1:12">
      <c r="A525" s="712"/>
      <c r="B525" s="719"/>
      <c r="C525" s="712"/>
      <c r="D525" s="713"/>
      <c r="E525" s="713"/>
      <c r="F525" s="713"/>
      <c r="G525" s="713"/>
      <c r="H525" s="713"/>
      <c r="I525" s="713"/>
      <c r="J525" s="713"/>
      <c r="K525" s="714"/>
      <c r="L525" s="718"/>
    </row>
    <row r="526" spans="1:12">
      <c r="A526" s="712"/>
      <c r="B526" s="719"/>
      <c r="C526" s="712"/>
      <c r="D526" s="713"/>
      <c r="E526" s="713"/>
      <c r="F526" s="713"/>
      <c r="G526" s="713"/>
      <c r="H526" s="713"/>
      <c r="I526" s="713"/>
      <c r="J526" s="713"/>
      <c r="K526" s="714"/>
      <c r="L526" s="718"/>
    </row>
    <row r="527" spans="1:12">
      <c r="A527" s="712"/>
      <c r="B527" s="717"/>
      <c r="C527" s="712"/>
      <c r="D527" s="713"/>
      <c r="E527" s="713"/>
      <c r="F527" s="713"/>
      <c r="G527" s="713"/>
      <c r="H527" s="713"/>
      <c r="I527" s="713"/>
      <c r="J527" s="713"/>
      <c r="K527" s="714"/>
      <c r="L527" s="718">
        <v>39</v>
      </c>
    </row>
    <row r="528" spans="1:12">
      <c r="A528" s="712"/>
      <c r="B528" s="719"/>
      <c r="C528" s="712"/>
      <c r="D528" s="713"/>
      <c r="E528" s="713"/>
      <c r="F528" s="713"/>
      <c r="G528" s="713"/>
      <c r="H528" s="713"/>
      <c r="I528" s="713"/>
      <c r="J528" s="713"/>
      <c r="K528" s="714"/>
      <c r="L528" s="718"/>
    </row>
    <row r="529" spans="1:12">
      <c r="A529" s="712"/>
      <c r="B529" s="719"/>
      <c r="C529" s="712"/>
      <c r="D529" s="713"/>
      <c r="E529" s="713"/>
      <c r="F529" s="713"/>
      <c r="G529" s="713"/>
      <c r="H529" s="713"/>
      <c r="I529" s="713"/>
      <c r="J529" s="713"/>
      <c r="K529" s="714"/>
      <c r="L529" s="718"/>
    </row>
    <row r="530" spans="1:12">
      <c r="A530" s="712"/>
      <c r="B530" s="717"/>
      <c r="C530" s="712"/>
      <c r="D530" s="713"/>
      <c r="E530" s="713"/>
      <c r="F530" s="713"/>
      <c r="G530" s="713"/>
      <c r="H530" s="713"/>
      <c r="I530" s="713"/>
      <c r="J530" s="720"/>
      <c r="K530" s="714"/>
      <c r="L530" s="718">
        <v>26.965</v>
      </c>
    </row>
    <row r="531" spans="1:12">
      <c r="A531" s="712"/>
      <c r="B531" s="717"/>
      <c r="C531" s="712"/>
      <c r="D531" s="713"/>
      <c r="E531" s="713"/>
      <c r="F531" s="713"/>
      <c r="G531" s="713"/>
      <c r="H531" s="713"/>
      <c r="I531" s="713"/>
      <c r="J531" s="713"/>
      <c r="K531" s="714"/>
      <c r="L531" s="718"/>
    </row>
    <row r="532" spans="1:12">
      <c r="A532" s="712"/>
      <c r="B532" s="717"/>
      <c r="C532" s="712"/>
      <c r="D532" s="713"/>
      <c r="E532" s="713"/>
      <c r="F532" s="713"/>
      <c r="G532" s="713"/>
      <c r="H532" s="713"/>
      <c r="I532" s="720"/>
      <c r="J532" s="713"/>
      <c r="K532" s="714"/>
      <c r="L532" s="718"/>
    </row>
    <row r="533" spans="1:12">
      <c r="A533" s="712"/>
      <c r="B533" s="717"/>
      <c r="C533" s="712"/>
      <c r="D533" s="713"/>
      <c r="E533" s="713"/>
      <c r="F533" s="713"/>
      <c r="G533" s="713"/>
      <c r="H533" s="713"/>
      <c r="I533" s="720"/>
      <c r="J533" s="713"/>
      <c r="K533" s="714"/>
      <c r="L533" s="718"/>
    </row>
    <row r="534" spans="1:12">
      <c r="A534" s="712"/>
      <c r="B534" s="719"/>
      <c r="C534" s="712"/>
      <c r="D534" s="713"/>
      <c r="E534" s="713"/>
      <c r="F534" s="713"/>
      <c r="G534" s="713"/>
      <c r="H534" s="713"/>
      <c r="I534" s="720"/>
      <c r="J534" s="713"/>
      <c r="K534" s="714"/>
      <c r="L534" s="718"/>
    </row>
    <row r="535" spans="1:12">
      <c r="A535" s="712"/>
      <c r="B535" s="719"/>
      <c r="C535" s="712"/>
      <c r="D535" s="713"/>
      <c r="E535" s="713"/>
      <c r="F535" s="713"/>
      <c r="G535" s="713"/>
      <c r="H535" s="713"/>
      <c r="I535" s="720"/>
      <c r="J535" s="713"/>
      <c r="K535" s="714"/>
      <c r="L535" s="718"/>
    </row>
    <row r="536" spans="1:12">
      <c r="A536" s="712"/>
      <c r="B536" s="717"/>
      <c r="C536" s="712"/>
      <c r="D536" s="713"/>
      <c r="E536" s="713"/>
      <c r="F536" s="713"/>
      <c r="G536" s="713"/>
      <c r="H536" s="713"/>
      <c r="I536" s="720"/>
      <c r="J536" s="713"/>
      <c r="K536" s="714"/>
      <c r="L536" s="718"/>
    </row>
    <row r="537" spans="1:12">
      <c r="A537" s="712"/>
      <c r="B537" s="717"/>
      <c r="C537" s="712"/>
      <c r="D537" s="713"/>
      <c r="E537" s="713"/>
      <c r="F537" s="713"/>
      <c r="G537" s="713"/>
      <c r="H537" s="713"/>
      <c r="I537" s="720"/>
      <c r="J537" s="713"/>
      <c r="K537" s="714"/>
      <c r="L537" s="718"/>
    </row>
    <row r="538" spans="1:12">
      <c r="A538" s="712"/>
      <c r="B538" s="717"/>
      <c r="C538" s="712"/>
      <c r="D538" s="713"/>
      <c r="E538" s="713"/>
      <c r="F538" s="713"/>
      <c r="G538" s="713"/>
      <c r="H538" s="713"/>
      <c r="I538" s="713"/>
      <c r="J538" s="720"/>
      <c r="K538" s="714"/>
      <c r="L538" s="718">
        <v>320.92099999999999</v>
      </c>
    </row>
    <row r="539" spans="1:12">
      <c r="A539" s="712"/>
      <c r="B539" s="719"/>
      <c r="C539" s="712"/>
      <c r="D539" s="713"/>
      <c r="E539" s="713"/>
      <c r="F539" s="713"/>
      <c r="G539" s="713"/>
      <c r="H539" s="713"/>
      <c r="I539" s="713"/>
      <c r="J539" s="713"/>
      <c r="K539" s="714"/>
      <c r="L539" s="718"/>
    </row>
    <row r="540" spans="1:12">
      <c r="A540" s="712"/>
      <c r="B540" s="719"/>
      <c r="C540" s="712"/>
      <c r="D540" s="713"/>
      <c r="E540" s="713"/>
      <c r="F540" s="713"/>
      <c r="G540" s="713"/>
      <c r="H540" s="713"/>
      <c r="I540" s="720"/>
      <c r="J540" s="713"/>
      <c r="K540" s="714"/>
      <c r="L540" s="718"/>
    </row>
    <row r="541" spans="1:12">
      <c r="A541" s="712"/>
      <c r="B541" s="717"/>
      <c r="C541" s="712"/>
      <c r="D541" s="713"/>
      <c r="E541" s="713"/>
      <c r="F541" s="713"/>
      <c r="G541" s="713"/>
      <c r="H541" s="713"/>
      <c r="I541" s="720"/>
      <c r="J541" s="713"/>
      <c r="K541" s="714"/>
      <c r="L541" s="718"/>
    </row>
    <row r="542" spans="1:12">
      <c r="A542" s="712"/>
      <c r="B542" s="719"/>
      <c r="C542" s="712"/>
      <c r="D542" s="713"/>
      <c r="E542" s="713"/>
      <c r="F542" s="713"/>
      <c r="G542" s="713"/>
      <c r="H542" s="713"/>
      <c r="I542" s="720"/>
      <c r="J542" s="713"/>
      <c r="K542" s="714"/>
      <c r="L542" s="718"/>
    </row>
    <row r="543" spans="1:12">
      <c r="A543" s="712"/>
      <c r="B543" s="719"/>
      <c r="C543" s="712"/>
      <c r="D543" s="713"/>
      <c r="E543" s="713"/>
      <c r="F543" s="713"/>
      <c r="G543" s="713"/>
      <c r="H543" s="713"/>
      <c r="I543" s="720"/>
      <c r="J543" s="713"/>
      <c r="K543" s="714"/>
      <c r="L543" s="718"/>
    </row>
    <row r="544" spans="1:12">
      <c r="A544" s="712"/>
      <c r="B544" s="717"/>
      <c r="C544" s="712"/>
      <c r="D544" s="713"/>
      <c r="E544" s="713"/>
      <c r="F544" s="713"/>
      <c r="G544" s="713"/>
      <c r="H544" s="713"/>
      <c r="I544" s="720"/>
      <c r="J544" s="713"/>
      <c r="K544" s="714"/>
      <c r="L544" s="718"/>
    </row>
    <row r="545" spans="1:12">
      <c r="A545" s="712"/>
      <c r="B545" s="719"/>
      <c r="C545" s="712"/>
      <c r="D545" s="713"/>
      <c r="E545" s="713"/>
      <c r="F545" s="713"/>
      <c r="G545" s="713"/>
      <c r="H545" s="713"/>
      <c r="I545" s="720"/>
      <c r="J545" s="713"/>
      <c r="K545" s="714"/>
      <c r="L545" s="718"/>
    </row>
    <row r="546" spans="1:12">
      <c r="A546" s="712"/>
      <c r="B546" s="719"/>
      <c r="C546" s="712"/>
      <c r="D546" s="713"/>
      <c r="E546" s="713"/>
      <c r="F546" s="713"/>
      <c r="G546" s="713"/>
      <c r="H546" s="713"/>
      <c r="I546" s="720"/>
      <c r="J546" s="713"/>
      <c r="K546" s="714"/>
      <c r="L546" s="718"/>
    </row>
    <row r="547" spans="1:12">
      <c r="A547" s="712"/>
      <c r="B547" s="719"/>
      <c r="C547" s="712"/>
      <c r="D547" s="713"/>
      <c r="E547" s="713"/>
      <c r="F547" s="713"/>
      <c r="G547" s="713"/>
      <c r="H547" s="713"/>
      <c r="I547" s="720"/>
      <c r="J547" s="713"/>
      <c r="K547" s="714"/>
      <c r="L547" s="718"/>
    </row>
    <row r="548" spans="1:12">
      <c r="A548" s="712"/>
      <c r="B548" s="719"/>
      <c r="C548" s="712"/>
      <c r="D548" s="713"/>
      <c r="E548" s="713"/>
      <c r="F548" s="713"/>
      <c r="G548" s="713"/>
      <c r="H548" s="713"/>
      <c r="I548" s="720"/>
      <c r="J548" s="713"/>
      <c r="K548" s="714"/>
      <c r="L548" s="718"/>
    </row>
    <row r="549" spans="1:12">
      <c r="A549" s="712"/>
      <c r="B549" s="719"/>
      <c r="C549" s="712"/>
      <c r="D549" s="713"/>
      <c r="E549" s="713"/>
      <c r="F549" s="713"/>
      <c r="G549" s="713"/>
      <c r="H549" s="713"/>
      <c r="I549" s="720"/>
      <c r="J549" s="713"/>
      <c r="K549" s="714"/>
      <c r="L549" s="718"/>
    </row>
    <row r="550" spans="1:12">
      <c r="A550" s="712"/>
      <c r="B550" s="717"/>
      <c r="C550" s="712"/>
      <c r="D550" s="713"/>
      <c r="E550" s="713"/>
      <c r="F550" s="713"/>
      <c r="G550" s="713"/>
      <c r="H550" s="713"/>
      <c r="I550" s="720"/>
      <c r="J550" s="713"/>
      <c r="K550" s="714"/>
      <c r="L550" s="718"/>
    </row>
    <row r="551" spans="1:12">
      <c r="A551" s="712"/>
      <c r="B551" s="717"/>
      <c r="C551" s="712"/>
      <c r="D551" s="713"/>
      <c r="E551" s="713"/>
      <c r="F551" s="713"/>
      <c r="G551" s="713"/>
      <c r="H551" s="713"/>
      <c r="I551" s="713"/>
      <c r="J551" s="713"/>
      <c r="K551" s="714"/>
      <c r="L551" s="718"/>
    </row>
    <row r="552" spans="1:12">
      <c r="A552" s="712"/>
      <c r="B552" s="717"/>
      <c r="C552" s="712"/>
      <c r="D552" s="713"/>
      <c r="E552" s="713"/>
      <c r="F552" s="713"/>
      <c r="G552" s="713"/>
      <c r="H552" s="713"/>
      <c r="I552" s="713"/>
      <c r="J552" s="720"/>
      <c r="K552" s="714"/>
      <c r="L552" s="718">
        <v>236.19200000000001</v>
      </c>
    </row>
    <row r="553" spans="1:12">
      <c r="A553" s="712"/>
      <c r="B553" s="719"/>
      <c r="C553" s="712"/>
      <c r="D553" s="713"/>
      <c r="E553" s="713"/>
      <c r="F553" s="713"/>
      <c r="G553" s="713"/>
      <c r="H553" s="713"/>
      <c r="I553" s="720"/>
      <c r="J553" s="720"/>
      <c r="K553" s="714"/>
      <c r="L553" s="718"/>
    </row>
    <row r="554" spans="1:12">
      <c r="A554" s="712"/>
      <c r="B554" s="719"/>
      <c r="C554" s="712"/>
      <c r="D554" s="713"/>
      <c r="E554" s="713"/>
      <c r="F554" s="713"/>
      <c r="G554" s="713"/>
      <c r="H554" s="713"/>
      <c r="I554" s="720"/>
      <c r="J554" s="720"/>
      <c r="K554" s="714"/>
      <c r="L554" s="718"/>
    </row>
    <row r="555" spans="1:12">
      <c r="A555" s="712"/>
      <c r="B555" s="719"/>
      <c r="C555" s="712"/>
      <c r="D555" s="713"/>
      <c r="E555" s="713"/>
      <c r="F555" s="713"/>
      <c r="G555" s="713"/>
      <c r="H555" s="713"/>
      <c r="I555" s="720"/>
      <c r="J555" s="720"/>
      <c r="K555" s="714"/>
      <c r="L555" s="718"/>
    </row>
    <row r="556" spans="1:12">
      <c r="A556" s="712"/>
      <c r="B556" s="719"/>
      <c r="C556" s="712"/>
      <c r="D556" s="713"/>
      <c r="E556" s="713"/>
      <c r="F556" s="713"/>
      <c r="G556" s="713"/>
      <c r="H556" s="713"/>
      <c r="I556" s="720"/>
      <c r="J556" s="720"/>
      <c r="K556" s="714"/>
      <c r="L556" s="718"/>
    </row>
    <row r="557" spans="1:12">
      <c r="A557" s="712"/>
      <c r="B557" s="719"/>
      <c r="C557" s="712"/>
      <c r="D557" s="713"/>
      <c r="E557" s="713"/>
      <c r="F557" s="713"/>
      <c r="G557" s="713"/>
      <c r="H557" s="713"/>
      <c r="I557" s="720"/>
      <c r="J557" s="720"/>
      <c r="K557" s="714"/>
      <c r="L557" s="718"/>
    </row>
    <row r="558" spans="1:12">
      <c r="A558" s="712"/>
      <c r="B558" s="719"/>
      <c r="C558" s="712"/>
      <c r="D558" s="713"/>
      <c r="E558" s="713"/>
      <c r="F558" s="713"/>
      <c r="G558" s="713"/>
      <c r="H558" s="713"/>
      <c r="I558" s="720"/>
      <c r="J558" s="720"/>
      <c r="K558" s="714"/>
      <c r="L558" s="718"/>
    </row>
    <row r="559" spans="1:12">
      <c r="A559" s="712"/>
      <c r="B559" s="719"/>
      <c r="C559" s="712"/>
      <c r="D559" s="713"/>
      <c r="E559" s="713"/>
      <c r="F559" s="713"/>
      <c r="G559" s="713"/>
      <c r="H559" s="713"/>
      <c r="I559" s="720"/>
      <c r="J559" s="720"/>
      <c r="K559" s="714"/>
      <c r="L559" s="718"/>
    </row>
    <row r="560" spans="1:12">
      <c r="A560" s="712"/>
      <c r="B560" s="719"/>
      <c r="C560" s="712"/>
      <c r="D560" s="713"/>
      <c r="E560" s="713"/>
      <c r="F560" s="713"/>
      <c r="G560" s="713"/>
      <c r="H560" s="713"/>
      <c r="I560" s="720"/>
      <c r="J560" s="720"/>
      <c r="K560" s="714"/>
      <c r="L560" s="718"/>
    </row>
    <row r="561" spans="1:12">
      <c r="A561" s="712"/>
      <c r="B561" s="719"/>
      <c r="C561" s="712"/>
      <c r="D561" s="713"/>
      <c r="E561" s="713"/>
      <c r="F561" s="713"/>
      <c r="G561" s="713"/>
      <c r="H561" s="713"/>
      <c r="I561" s="720"/>
      <c r="J561" s="720"/>
      <c r="K561" s="714"/>
      <c r="L561" s="718"/>
    </row>
    <row r="562" spans="1:12">
      <c r="A562" s="712"/>
      <c r="B562" s="719"/>
      <c r="C562" s="712"/>
      <c r="D562" s="713"/>
      <c r="E562" s="713"/>
      <c r="F562" s="713"/>
      <c r="G562" s="713"/>
      <c r="H562" s="713"/>
      <c r="I562" s="720"/>
      <c r="J562" s="720"/>
      <c r="K562" s="714"/>
      <c r="L562" s="718"/>
    </row>
    <row r="563" spans="1:12">
      <c r="A563" s="712"/>
      <c r="B563" s="719"/>
      <c r="C563" s="712"/>
      <c r="D563" s="713"/>
      <c r="E563" s="713"/>
      <c r="F563" s="713"/>
      <c r="G563" s="713"/>
      <c r="H563" s="713"/>
      <c r="I563" s="720"/>
      <c r="J563" s="720"/>
      <c r="K563" s="714"/>
      <c r="L563" s="718"/>
    </row>
    <row r="564" spans="1:12">
      <c r="A564" s="712"/>
      <c r="B564" s="719"/>
      <c r="C564" s="712"/>
      <c r="D564" s="713"/>
      <c r="E564" s="713"/>
      <c r="F564" s="713"/>
      <c r="G564" s="713"/>
      <c r="H564" s="713"/>
      <c r="I564" s="720"/>
      <c r="J564" s="720"/>
      <c r="K564" s="714"/>
      <c r="L564" s="718"/>
    </row>
    <row r="565" spans="1:12">
      <c r="A565" s="712"/>
      <c r="B565" s="719"/>
      <c r="C565" s="712"/>
      <c r="D565" s="713"/>
      <c r="E565" s="713"/>
      <c r="F565" s="713"/>
      <c r="G565" s="713"/>
      <c r="H565" s="713"/>
      <c r="I565" s="720"/>
      <c r="J565" s="720"/>
      <c r="K565" s="714"/>
      <c r="L565" s="718"/>
    </row>
    <row r="566" spans="1:12">
      <c r="A566" s="712"/>
      <c r="B566" s="719"/>
      <c r="C566" s="712"/>
      <c r="D566" s="713"/>
      <c r="E566" s="713"/>
      <c r="F566" s="713"/>
      <c r="G566" s="713"/>
      <c r="H566" s="713"/>
      <c r="I566" s="720"/>
      <c r="J566" s="720"/>
      <c r="K566" s="714"/>
      <c r="L566" s="718"/>
    </row>
    <row r="567" spans="1:12">
      <c r="A567" s="712"/>
      <c r="B567" s="719"/>
      <c r="C567" s="712"/>
      <c r="D567" s="713"/>
      <c r="E567" s="713"/>
      <c r="F567" s="713"/>
      <c r="G567" s="713"/>
      <c r="H567" s="713"/>
      <c r="I567" s="720"/>
      <c r="J567" s="720"/>
      <c r="K567" s="714"/>
      <c r="L567" s="718"/>
    </row>
    <row r="568" spans="1:12">
      <c r="A568" s="712"/>
      <c r="B568" s="719"/>
      <c r="C568" s="712"/>
      <c r="D568" s="713"/>
      <c r="E568" s="713"/>
      <c r="F568" s="713"/>
      <c r="G568" s="713"/>
      <c r="H568" s="713"/>
      <c r="I568" s="720"/>
      <c r="J568" s="720"/>
      <c r="K568" s="714"/>
      <c r="L568" s="718"/>
    </row>
    <row r="569" spans="1:12">
      <c r="A569" s="712"/>
      <c r="B569" s="719"/>
      <c r="C569" s="712"/>
      <c r="D569" s="713"/>
      <c r="E569" s="713"/>
      <c r="F569" s="713"/>
      <c r="G569" s="713"/>
      <c r="H569" s="713"/>
      <c r="I569" s="720"/>
      <c r="J569" s="720"/>
      <c r="K569" s="714"/>
      <c r="L569" s="718"/>
    </row>
    <row r="570" spans="1:12">
      <c r="A570" s="712"/>
      <c r="B570" s="719"/>
      <c r="C570" s="712"/>
      <c r="D570" s="713"/>
      <c r="E570" s="713"/>
      <c r="F570" s="713"/>
      <c r="G570" s="713"/>
      <c r="H570" s="713"/>
      <c r="I570" s="720"/>
      <c r="J570" s="720"/>
      <c r="K570" s="714"/>
      <c r="L570" s="718"/>
    </row>
    <row r="571" spans="1:12">
      <c r="A571" s="712"/>
      <c r="B571" s="719"/>
      <c r="C571" s="712"/>
      <c r="D571" s="713"/>
      <c r="E571" s="713"/>
      <c r="F571" s="713"/>
      <c r="G571" s="713"/>
      <c r="H571" s="713"/>
      <c r="I571" s="720"/>
      <c r="J571" s="720"/>
      <c r="K571" s="714"/>
      <c r="L571" s="718"/>
    </row>
    <row r="572" spans="1:12">
      <c r="A572" s="712"/>
      <c r="B572" s="719"/>
      <c r="C572" s="712"/>
      <c r="D572" s="713"/>
      <c r="E572" s="713"/>
      <c r="F572" s="713"/>
      <c r="G572" s="713"/>
      <c r="H572" s="713"/>
      <c r="I572" s="720"/>
      <c r="J572" s="720"/>
      <c r="K572" s="714"/>
      <c r="L572" s="718"/>
    </row>
    <row r="573" spans="1:12">
      <c r="A573" s="712"/>
      <c r="B573" s="719"/>
      <c r="C573" s="712"/>
      <c r="D573" s="713"/>
      <c r="E573" s="713"/>
      <c r="F573" s="713"/>
      <c r="G573" s="713"/>
      <c r="H573" s="713"/>
      <c r="I573" s="720"/>
      <c r="J573" s="720"/>
      <c r="K573" s="714"/>
      <c r="L573" s="718"/>
    </row>
    <row r="574" spans="1:12">
      <c r="A574" s="712"/>
      <c r="B574" s="719"/>
      <c r="C574" s="712"/>
      <c r="D574" s="713"/>
      <c r="E574" s="713"/>
      <c r="F574" s="713"/>
      <c r="G574" s="713"/>
      <c r="H574" s="713"/>
      <c r="I574" s="720"/>
      <c r="J574" s="720"/>
      <c r="K574" s="714"/>
      <c r="L574" s="718"/>
    </row>
    <row r="575" spans="1:12">
      <c r="A575" s="712"/>
      <c r="B575" s="719"/>
      <c r="C575" s="712"/>
      <c r="D575" s="713"/>
      <c r="E575" s="713"/>
      <c r="F575" s="713"/>
      <c r="G575" s="713"/>
      <c r="H575" s="713"/>
      <c r="I575" s="720"/>
      <c r="J575" s="720"/>
      <c r="K575" s="714"/>
      <c r="L575" s="718"/>
    </row>
    <row r="576" spans="1:12">
      <c r="A576" s="712"/>
      <c r="B576" s="719"/>
      <c r="C576" s="712"/>
      <c r="D576" s="713"/>
      <c r="E576" s="713"/>
      <c r="F576" s="713"/>
      <c r="G576" s="713"/>
      <c r="H576" s="713"/>
      <c r="I576" s="720"/>
      <c r="J576" s="720"/>
      <c r="K576" s="714"/>
      <c r="L576" s="718"/>
    </row>
    <row r="577" spans="1:12">
      <c r="A577" s="712"/>
      <c r="B577" s="719"/>
      <c r="C577" s="712"/>
      <c r="D577" s="713"/>
      <c r="E577" s="713"/>
      <c r="F577" s="713"/>
      <c r="G577" s="713"/>
      <c r="H577" s="713"/>
      <c r="I577" s="720"/>
      <c r="J577" s="720"/>
      <c r="K577" s="714"/>
      <c r="L577" s="718"/>
    </row>
    <row r="578" spans="1:12">
      <c r="A578" s="712"/>
      <c r="B578" s="719"/>
      <c r="C578" s="712"/>
      <c r="D578" s="713"/>
      <c r="E578" s="713"/>
      <c r="F578" s="713"/>
      <c r="G578" s="713"/>
      <c r="H578" s="713"/>
      <c r="I578" s="720"/>
      <c r="J578" s="720"/>
      <c r="K578" s="714"/>
      <c r="L578" s="718"/>
    </row>
    <row r="579" spans="1:12">
      <c r="A579" s="712"/>
      <c r="B579" s="719"/>
      <c r="C579" s="712"/>
      <c r="D579" s="713"/>
      <c r="E579" s="713"/>
      <c r="F579" s="713"/>
      <c r="G579" s="713"/>
      <c r="H579" s="713"/>
      <c r="I579" s="720"/>
      <c r="J579" s="720"/>
      <c r="K579" s="714"/>
      <c r="L579" s="718"/>
    </row>
    <row r="580" spans="1:12" hidden="1">
      <c r="A580" s="712"/>
      <c r="B580" s="739"/>
      <c r="C580" s="729"/>
      <c r="D580" s="729"/>
      <c r="E580" s="729"/>
      <c r="F580" s="729"/>
      <c r="G580" s="729"/>
      <c r="H580" s="729"/>
      <c r="I580" s="731"/>
      <c r="J580" s="713"/>
      <c r="K580" s="714"/>
      <c r="L580" s="718"/>
    </row>
    <row r="581" spans="1:12" hidden="1">
      <c r="A581" s="712"/>
      <c r="B581" s="739"/>
      <c r="C581" s="729"/>
      <c r="D581" s="729"/>
      <c r="E581" s="729"/>
      <c r="F581" s="729"/>
      <c r="G581" s="729"/>
      <c r="H581" s="729"/>
      <c r="I581" s="731"/>
      <c r="J581" s="713"/>
      <c r="K581" s="714"/>
      <c r="L581" s="718"/>
    </row>
    <row r="582" spans="1:12" hidden="1">
      <c r="A582" s="712"/>
      <c r="B582" s="739"/>
      <c r="C582" s="729"/>
      <c r="D582" s="729"/>
      <c r="E582" s="729"/>
      <c r="F582" s="729"/>
      <c r="G582" s="729"/>
      <c r="H582" s="729"/>
      <c r="I582" s="731"/>
      <c r="J582" s="713"/>
      <c r="K582" s="714"/>
      <c r="L582" s="718"/>
    </row>
    <row r="583" spans="1:12" hidden="1">
      <c r="A583" s="712"/>
      <c r="B583" s="739"/>
      <c r="C583" s="729"/>
      <c r="D583" s="729"/>
      <c r="E583" s="729"/>
      <c r="F583" s="729"/>
      <c r="G583" s="729"/>
      <c r="H583" s="729"/>
      <c r="I583" s="731"/>
      <c r="J583" s="713"/>
      <c r="K583" s="714"/>
      <c r="L583" s="718"/>
    </row>
    <row r="584" spans="1:12" hidden="1">
      <c r="A584" s="712"/>
      <c r="B584" s="739"/>
      <c r="C584" s="729"/>
      <c r="D584" s="729"/>
      <c r="E584" s="729"/>
      <c r="F584" s="729"/>
      <c r="G584" s="729"/>
      <c r="H584" s="729"/>
      <c r="I584" s="731"/>
      <c r="J584" s="713"/>
      <c r="K584" s="714"/>
      <c r="L584" s="718"/>
    </row>
    <row r="585" spans="1:12" hidden="1">
      <c r="A585" s="712"/>
      <c r="B585" s="739"/>
      <c r="C585" s="729"/>
      <c r="D585" s="729"/>
      <c r="E585" s="729"/>
      <c r="F585" s="729"/>
      <c r="G585" s="729"/>
      <c r="H585" s="729"/>
      <c r="I585" s="731"/>
      <c r="J585" s="713"/>
      <c r="K585" s="714"/>
      <c r="L585" s="718"/>
    </row>
    <row r="586" spans="1:12" hidden="1">
      <c r="A586" s="712"/>
      <c r="B586" s="739"/>
      <c r="C586" s="729"/>
      <c r="D586" s="729"/>
      <c r="E586" s="729"/>
      <c r="F586" s="729"/>
      <c r="G586" s="729"/>
      <c r="H586" s="729"/>
      <c r="I586" s="731"/>
      <c r="J586" s="713"/>
      <c r="K586" s="714"/>
      <c r="L586" s="718"/>
    </row>
    <row r="587" spans="1:12" hidden="1">
      <c r="A587" s="712"/>
      <c r="B587" s="739"/>
      <c r="C587" s="729"/>
      <c r="D587" s="729"/>
      <c r="E587" s="729"/>
      <c r="F587" s="729"/>
      <c r="G587" s="729"/>
      <c r="H587" s="729"/>
      <c r="I587" s="731"/>
      <c r="J587" s="713"/>
      <c r="K587" s="714"/>
      <c r="L587" s="718"/>
    </row>
    <row r="588" spans="1:12" hidden="1">
      <c r="A588" s="712"/>
      <c r="B588" s="739"/>
      <c r="C588" s="729"/>
      <c r="D588" s="729"/>
      <c r="E588" s="729"/>
      <c r="F588" s="729"/>
      <c r="G588" s="729"/>
      <c r="H588" s="729"/>
      <c r="I588" s="731"/>
      <c r="J588" s="713"/>
      <c r="K588" s="714"/>
      <c r="L588" s="718"/>
    </row>
    <row r="589" spans="1:12" hidden="1">
      <c r="A589" s="712"/>
      <c r="B589" s="739"/>
      <c r="C589" s="729"/>
      <c r="D589" s="729"/>
      <c r="E589" s="729"/>
      <c r="F589" s="729"/>
      <c r="G589" s="729"/>
      <c r="H589" s="729"/>
      <c r="I589" s="731"/>
      <c r="J589" s="713"/>
      <c r="K589" s="714"/>
      <c r="L589" s="718"/>
    </row>
    <row r="590" spans="1:12">
      <c r="A590" s="712"/>
      <c r="B590" s="739"/>
      <c r="C590" s="729"/>
      <c r="D590" s="729"/>
      <c r="E590" s="729"/>
      <c r="F590" s="729"/>
      <c r="G590" s="729"/>
      <c r="H590" s="729"/>
      <c r="I590" s="731"/>
      <c r="J590" s="713"/>
      <c r="K590" s="714"/>
      <c r="L590" s="718"/>
    </row>
    <row r="591" spans="1:12">
      <c r="A591" s="712"/>
      <c r="B591" s="739"/>
      <c r="C591" s="729"/>
      <c r="D591" s="729"/>
      <c r="E591" s="729"/>
      <c r="F591" s="729"/>
      <c r="G591" s="729"/>
      <c r="H591" s="729"/>
      <c r="I591" s="731"/>
      <c r="J591" s="713"/>
      <c r="K591" s="714"/>
      <c r="L591" s="718"/>
    </row>
    <row r="592" spans="1:12">
      <c r="A592" s="712"/>
      <c r="B592" s="739"/>
      <c r="C592" s="729"/>
      <c r="D592" s="729"/>
      <c r="E592" s="729"/>
      <c r="F592" s="729"/>
      <c r="G592" s="729"/>
      <c r="H592" s="729"/>
      <c r="I592" s="731"/>
      <c r="J592" s="713"/>
      <c r="K592" s="714"/>
      <c r="L592" s="718"/>
    </row>
    <row r="593" spans="1:12">
      <c r="A593" s="712"/>
      <c r="B593" s="717"/>
      <c r="C593" s="712"/>
      <c r="D593" s="713"/>
      <c r="E593" s="713"/>
      <c r="F593" s="713"/>
      <c r="G593" s="713"/>
      <c r="H593" s="713"/>
      <c r="I593" s="713"/>
      <c r="J593" s="720"/>
      <c r="K593" s="714"/>
      <c r="L593" s="718">
        <v>269.98700000000002</v>
      </c>
    </row>
    <row r="594" spans="1:12">
      <c r="A594" s="712"/>
      <c r="B594" s="719"/>
      <c r="C594" s="712"/>
      <c r="D594" s="713"/>
      <c r="E594" s="713"/>
      <c r="F594" s="713"/>
      <c r="G594" s="713"/>
      <c r="H594" s="713"/>
      <c r="I594" s="713"/>
      <c r="J594" s="713"/>
      <c r="K594" s="714"/>
      <c r="L594" s="718"/>
    </row>
    <row r="595" spans="1:12">
      <c r="A595" s="709"/>
      <c r="B595" s="725"/>
      <c r="C595" s="712"/>
      <c r="D595" s="713"/>
      <c r="E595" s="713"/>
      <c r="F595" s="713"/>
      <c r="G595" s="713"/>
      <c r="H595" s="713"/>
      <c r="I595" s="713"/>
      <c r="J595" s="713"/>
      <c r="K595" s="714"/>
      <c r="L595" s="718"/>
    </row>
    <row r="596" spans="1:12" hidden="1">
      <c r="A596" s="712"/>
      <c r="B596" s="717"/>
      <c r="C596" s="712"/>
      <c r="D596" s="713"/>
      <c r="E596" s="713"/>
      <c r="F596" s="713"/>
      <c r="G596" s="713"/>
      <c r="H596" s="713"/>
      <c r="I596" s="713"/>
      <c r="J596" s="720"/>
      <c r="K596" s="714"/>
      <c r="L596" s="718">
        <v>2.0165999999999999</v>
      </c>
    </row>
    <row r="597" spans="1:12" hidden="1">
      <c r="A597" s="712"/>
      <c r="B597" s="722"/>
      <c r="C597" s="712"/>
      <c r="D597" s="713"/>
      <c r="E597" s="713"/>
      <c r="F597" s="713"/>
      <c r="G597" s="713"/>
      <c r="H597" s="713"/>
      <c r="I597" s="713"/>
      <c r="J597" s="713"/>
      <c r="K597" s="714"/>
      <c r="L597" s="718"/>
    </row>
    <row r="598" spans="1:12" hidden="1">
      <c r="A598" s="712"/>
      <c r="B598" s="722"/>
      <c r="C598" s="712"/>
      <c r="D598" s="713"/>
      <c r="E598" s="713"/>
      <c r="F598" s="713"/>
      <c r="G598" s="713"/>
      <c r="H598" s="713"/>
      <c r="I598" s="713"/>
      <c r="J598" s="713"/>
      <c r="K598" s="714"/>
      <c r="L598" s="718"/>
    </row>
    <row r="599" spans="1:12" hidden="1">
      <c r="A599" s="712"/>
      <c r="B599" s="722"/>
      <c r="C599" s="712"/>
      <c r="D599" s="713"/>
      <c r="E599" s="713"/>
      <c r="F599" s="713"/>
      <c r="G599" s="713"/>
      <c r="H599" s="713"/>
      <c r="I599" s="713"/>
      <c r="J599" s="713"/>
      <c r="K599" s="714"/>
      <c r="L599" s="718"/>
    </row>
    <row r="600" spans="1:12" hidden="1">
      <c r="A600" s="712"/>
      <c r="B600" s="717"/>
      <c r="C600" s="712"/>
      <c r="D600" s="713"/>
      <c r="E600" s="713"/>
      <c r="F600" s="713"/>
      <c r="G600" s="713"/>
      <c r="H600" s="713"/>
      <c r="I600" s="713"/>
      <c r="J600" s="720"/>
      <c r="K600" s="714"/>
      <c r="L600" s="718">
        <v>28.856000000000002</v>
      </c>
    </row>
    <row r="601" spans="1:12" hidden="1">
      <c r="A601" s="712"/>
      <c r="B601" s="717"/>
      <c r="C601" s="712"/>
      <c r="D601" s="713"/>
      <c r="E601" s="713"/>
      <c r="F601" s="713"/>
      <c r="G601" s="713"/>
      <c r="H601" s="713"/>
      <c r="I601" s="713"/>
      <c r="J601" s="713"/>
      <c r="K601" s="714"/>
      <c r="L601" s="718">
        <v>4.2750000000000004</v>
      </c>
    </row>
    <row r="602" spans="1:12" hidden="1">
      <c r="A602" s="712"/>
      <c r="B602" s="717"/>
      <c r="C602" s="712"/>
      <c r="D602" s="713"/>
      <c r="E602" s="713"/>
      <c r="F602" s="713"/>
      <c r="G602" s="713"/>
      <c r="H602" s="713"/>
      <c r="I602" s="713"/>
      <c r="J602" s="713"/>
      <c r="K602" s="714"/>
      <c r="L602" s="718">
        <v>192.61</v>
      </c>
    </row>
    <row r="603" spans="1:12" hidden="1">
      <c r="A603" s="712"/>
      <c r="B603" s="722"/>
      <c r="C603" s="712"/>
      <c r="D603" s="713"/>
      <c r="E603" s="713"/>
      <c r="F603" s="713"/>
      <c r="G603" s="713"/>
      <c r="H603" s="713"/>
      <c r="I603" s="713"/>
      <c r="J603" s="713"/>
      <c r="K603" s="714"/>
      <c r="L603" s="718"/>
    </row>
    <row r="604" spans="1:12" hidden="1">
      <c r="A604" s="712"/>
      <c r="B604" s="722"/>
      <c r="C604" s="712"/>
      <c r="D604" s="713"/>
      <c r="E604" s="713"/>
      <c r="F604" s="713"/>
      <c r="G604" s="713"/>
      <c r="H604" s="713"/>
      <c r="I604" s="713"/>
      <c r="J604" s="713"/>
      <c r="K604" s="714"/>
      <c r="L604" s="718"/>
    </row>
    <row r="605" spans="1:12" hidden="1">
      <c r="A605" s="712"/>
      <c r="B605" s="722"/>
      <c r="C605" s="712"/>
      <c r="D605" s="713"/>
      <c r="E605" s="713"/>
      <c r="F605" s="713"/>
      <c r="G605" s="713"/>
      <c r="H605" s="713"/>
      <c r="I605" s="713"/>
      <c r="J605" s="713"/>
      <c r="K605" s="714"/>
      <c r="L605" s="718"/>
    </row>
    <row r="606" spans="1:12" hidden="1">
      <c r="A606" s="712"/>
      <c r="B606" s="722"/>
      <c r="C606" s="712"/>
      <c r="D606" s="713"/>
      <c r="E606" s="713"/>
      <c r="F606" s="713"/>
      <c r="G606" s="713"/>
      <c r="H606" s="713"/>
      <c r="I606" s="713"/>
      <c r="J606" s="713"/>
      <c r="K606" s="714"/>
      <c r="L606" s="718"/>
    </row>
    <row r="607" spans="1:12" hidden="1">
      <c r="A607" s="712"/>
      <c r="B607" s="722"/>
      <c r="C607" s="712"/>
      <c r="D607" s="713"/>
      <c r="E607" s="713"/>
      <c r="F607" s="713"/>
      <c r="G607" s="713"/>
      <c r="H607" s="713"/>
      <c r="I607" s="713"/>
      <c r="J607" s="713"/>
      <c r="K607" s="714"/>
      <c r="L607" s="718"/>
    </row>
    <row r="608" spans="1:12" hidden="1">
      <c r="A608" s="712"/>
      <c r="B608" s="722"/>
      <c r="C608" s="712"/>
      <c r="D608" s="713"/>
      <c r="E608" s="713"/>
      <c r="F608" s="713"/>
      <c r="G608" s="713"/>
      <c r="H608" s="713"/>
      <c r="I608" s="713"/>
      <c r="J608" s="713"/>
      <c r="K608" s="714"/>
      <c r="L608" s="718"/>
    </row>
    <row r="609" spans="1:12" hidden="1">
      <c r="A609" s="712"/>
      <c r="B609" s="722"/>
      <c r="C609" s="712"/>
      <c r="D609" s="713"/>
      <c r="E609" s="713"/>
      <c r="F609" s="713"/>
      <c r="G609" s="713"/>
      <c r="H609" s="713"/>
      <c r="I609" s="713"/>
      <c r="J609" s="713"/>
      <c r="K609" s="714"/>
      <c r="L609" s="718"/>
    </row>
    <row r="610" spans="1:12" hidden="1">
      <c r="A610" s="712"/>
      <c r="B610" s="722"/>
      <c r="C610" s="712"/>
      <c r="D610" s="713"/>
      <c r="E610" s="713"/>
      <c r="F610" s="713"/>
      <c r="G610" s="713"/>
      <c r="H610" s="713"/>
      <c r="I610" s="713"/>
      <c r="J610" s="713"/>
      <c r="K610" s="714"/>
      <c r="L610" s="718"/>
    </row>
    <row r="611" spans="1:12" hidden="1">
      <c r="A611" s="712"/>
      <c r="B611" s="722"/>
      <c r="C611" s="712"/>
      <c r="D611" s="713"/>
      <c r="E611" s="713"/>
      <c r="F611" s="713"/>
      <c r="G611" s="713"/>
      <c r="H611" s="713"/>
      <c r="I611" s="713"/>
      <c r="J611" s="713"/>
      <c r="K611" s="714"/>
      <c r="L611" s="718"/>
    </row>
    <row r="612" spans="1:12" hidden="1">
      <c r="A612" s="712"/>
      <c r="B612" s="717"/>
      <c r="C612" s="712"/>
      <c r="D612" s="713"/>
      <c r="E612" s="713"/>
      <c r="F612" s="713"/>
      <c r="G612" s="713"/>
      <c r="H612" s="713"/>
      <c r="I612" s="713"/>
      <c r="J612" s="713"/>
      <c r="K612" s="714"/>
      <c r="L612" s="718">
        <v>5.5250000000000004</v>
      </c>
    </row>
    <row r="613" spans="1:12" hidden="1">
      <c r="A613" s="712"/>
      <c r="B613" s="722"/>
      <c r="C613" s="712"/>
      <c r="D613" s="713"/>
      <c r="E613" s="713"/>
      <c r="F613" s="713"/>
      <c r="G613" s="713"/>
      <c r="H613" s="713"/>
      <c r="I613" s="713"/>
      <c r="J613" s="713"/>
      <c r="K613" s="714"/>
      <c r="L613" s="718"/>
    </row>
    <row r="614" spans="1:12" hidden="1">
      <c r="A614" s="712"/>
      <c r="B614" s="722"/>
      <c r="C614" s="712"/>
      <c r="D614" s="713"/>
      <c r="E614" s="713"/>
      <c r="F614" s="713"/>
      <c r="G614" s="713"/>
      <c r="H614" s="713"/>
      <c r="I614" s="713"/>
      <c r="J614" s="713"/>
      <c r="K614" s="714"/>
      <c r="L614" s="718"/>
    </row>
    <row r="615" spans="1:12" hidden="1">
      <c r="A615" s="712"/>
      <c r="B615" s="722"/>
      <c r="C615" s="712"/>
      <c r="D615" s="713"/>
      <c r="E615" s="713"/>
      <c r="F615" s="713"/>
      <c r="G615" s="713"/>
      <c r="H615" s="713"/>
      <c r="I615" s="713"/>
      <c r="J615" s="713"/>
      <c r="K615" s="714"/>
      <c r="L615" s="718"/>
    </row>
    <row r="616" spans="1:12" hidden="1">
      <c r="A616" s="712"/>
      <c r="B616" s="717"/>
      <c r="C616" s="712"/>
      <c r="D616" s="713"/>
      <c r="E616" s="713"/>
      <c r="F616" s="713"/>
      <c r="G616" s="713"/>
      <c r="H616" s="713"/>
      <c r="I616" s="713"/>
      <c r="J616" s="713"/>
      <c r="K616" s="714"/>
      <c r="L616" s="718">
        <v>14.113</v>
      </c>
    </row>
    <row r="617" spans="1:12" hidden="1">
      <c r="A617" s="712"/>
      <c r="B617" s="722"/>
      <c r="C617" s="712"/>
      <c r="D617" s="713"/>
      <c r="E617" s="713"/>
      <c r="F617" s="713"/>
      <c r="G617" s="713"/>
      <c r="H617" s="713"/>
      <c r="I617" s="713"/>
      <c r="J617" s="713"/>
      <c r="K617" s="714"/>
      <c r="L617" s="718"/>
    </row>
    <row r="618" spans="1:12" hidden="1">
      <c r="A618" s="712"/>
      <c r="B618" s="722"/>
      <c r="C618" s="712"/>
      <c r="D618" s="713"/>
      <c r="E618" s="713"/>
      <c r="F618" s="713"/>
      <c r="G618" s="713"/>
      <c r="H618" s="713"/>
      <c r="I618" s="713"/>
      <c r="J618" s="713"/>
      <c r="K618" s="714"/>
      <c r="L618" s="718"/>
    </row>
    <row r="619" spans="1:12" hidden="1">
      <c r="A619" s="712"/>
      <c r="B619" s="722"/>
      <c r="C619" s="712"/>
      <c r="D619" s="713"/>
      <c r="E619" s="713"/>
      <c r="F619" s="713"/>
      <c r="G619" s="713"/>
      <c r="H619" s="713"/>
      <c r="I619" s="713"/>
      <c r="J619" s="713"/>
      <c r="K619" s="714"/>
      <c r="L619" s="718"/>
    </row>
    <row r="620" spans="1:12" hidden="1">
      <c r="A620" s="712"/>
      <c r="B620" s="717"/>
      <c r="C620" s="712"/>
      <c r="D620" s="713"/>
      <c r="E620" s="713"/>
      <c r="F620" s="713"/>
      <c r="G620" s="713"/>
      <c r="H620" s="713"/>
      <c r="I620" s="713"/>
      <c r="J620" s="713"/>
      <c r="K620" s="714"/>
      <c r="L620" s="718">
        <v>32.061</v>
      </c>
    </row>
    <row r="621" spans="1:12" hidden="1">
      <c r="A621" s="712"/>
      <c r="B621" s="734"/>
      <c r="C621" s="712"/>
      <c r="D621" s="713"/>
      <c r="E621" s="713"/>
      <c r="F621" s="713"/>
      <c r="G621" s="713"/>
      <c r="H621" s="713"/>
      <c r="I621" s="713"/>
      <c r="J621" s="713"/>
      <c r="K621" s="714"/>
      <c r="L621" s="718"/>
    </row>
    <row r="622" spans="1:12" hidden="1">
      <c r="A622" s="712"/>
      <c r="B622" s="722"/>
      <c r="C622" s="712"/>
      <c r="D622" s="713"/>
      <c r="E622" s="713"/>
      <c r="F622" s="713"/>
      <c r="G622" s="713"/>
      <c r="H622" s="713"/>
      <c r="I622" s="713"/>
      <c r="J622" s="713"/>
      <c r="K622" s="714"/>
      <c r="L622" s="718"/>
    </row>
    <row r="623" spans="1:12" hidden="1">
      <c r="A623" s="712"/>
      <c r="B623" s="722"/>
      <c r="C623" s="712"/>
      <c r="D623" s="713"/>
      <c r="E623" s="713"/>
      <c r="F623" s="713"/>
      <c r="G623" s="713"/>
      <c r="H623" s="713"/>
      <c r="I623" s="713"/>
      <c r="J623" s="713"/>
      <c r="K623" s="714"/>
      <c r="L623" s="718"/>
    </row>
    <row r="624" spans="1:12" hidden="1">
      <c r="A624" s="712"/>
      <c r="B624" s="722"/>
      <c r="C624" s="712"/>
      <c r="D624" s="713"/>
      <c r="E624" s="713"/>
      <c r="F624" s="713"/>
      <c r="G624" s="713"/>
      <c r="H624" s="713"/>
      <c r="I624" s="713"/>
      <c r="J624" s="713"/>
      <c r="K624" s="714"/>
      <c r="L624" s="718"/>
    </row>
    <row r="625" spans="1:12" hidden="1">
      <c r="A625" s="712"/>
      <c r="B625" s="722"/>
      <c r="C625" s="712"/>
      <c r="D625" s="713"/>
      <c r="E625" s="713"/>
      <c r="F625" s="713"/>
      <c r="G625" s="713"/>
      <c r="H625" s="713"/>
      <c r="I625" s="713"/>
      <c r="J625" s="713"/>
      <c r="K625" s="714"/>
      <c r="L625" s="718"/>
    </row>
    <row r="626" spans="1:12" hidden="1">
      <c r="A626" s="712"/>
      <c r="B626" s="722"/>
      <c r="C626" s="712"/>
      <c r="D626" s="713"/>
      <c r="E626" s="713"/>
      <c r="F626" s="713"/>
      <c r="G626" s="713"/>
      <c r="H626" s="713"/>
      <c r="I626" s="713"/>
      <c r="J626" s="713"/>
      <c r="K626" s="714"/>
      <c r="L626" s="718"/>
    </row>
    <row r="627" spans="1:12" hidden="1">
      <c r="A627" s="712"/>
      <c r="B627" s="722"/>
      <c r="C627" s="712"/>
      <c r="D627" s="713"/>
      <c r="E627" s="713"/>
      <c r="F627" s="713"/>
      <c r="G627" s="713"/>
      <c r="H627" s="713"/>
      <c r="I627" s="713"/>
      <c r="J627" s="713"/>
      <c r="K627" s="714"/>
      <c r="L627" s="718"/>
    </row>
    <row r="628" spans="1:12" hidden="1">
      <c r="A628" s="712"/>
      <c r="B628" s="722"/>
      <c r="C628" s="712"/>
      <c r="D628" s="713"/>
      <c r="E628" s="713"/>
      <c r="F628" s="713"/>
      <c r="G628" s="713"/>
      <c r="H628" s="713"/>
      <c r="I628" s="713"/>
      <c r="J628" s="713"/>
      <c r="K628" s="714"/>
      <c r="L628" s="718"/>
    </row>
    <row r="629" spans="1:12" hidden="1">
      <c r="A629" s="712"/>
      <c r="B629" s="722"/>
      <c r="C629" s="712"/>
      <c r="D629" s="713"/>
      <c r="E629" s="713"/>
      <c r="F629" s="713"/>
      <c r="G629" s="713"/>
      <c r="H629" s="713"/>
      <c r="I629" s="713"/>
      <c r="J629" s="713"/>
      <c r="K629" s="714"/>
      <c r="L629" s="718"/>
    </row>
    <row r="630" spans="1:12" hidden="1">
      <c r="A630" s="712"/>
      <c r="B630" s="722"/>
      <c r="C630" s="712"/>
      <c r="D630" s="713"/>
      <c r="E630" s="713"/>
      <c r="F630" s="713"/>
      <c r="G630" s="713"/>
      <c r="H630" s="713"/>
      <c r="I630" s="713"/>
      <c r="J630" s="713"/>
      <c r="K630" s="714"/>
      <c r="L630" s="718"/>
    </row>
    <row r="631" spans="1:12" hidden="1">
      <c r="A631" s="712"/>
      <c r="B631" s="722"/>
      <c r="C631" s="712"/>
      <c r="D631" s="713"/>
      <c r="E631" s="713"/>
      <c r="F631" s="713"/>
      <c r="G631" s="713"/>
      <c r="H631" s="713"/>
      <c r="I631" s="713"/>
      <c r="J631" s="713"/>
      <c r="K631" s="714"/>
      <c r="L631" s="718"/>
    </row>
    <row r="632" spans="1:12" hidden="1">
      <c r="A632" s="712"/>
      <c r="B632" s="722"/>
      <c r="C632" s="712"/>
      <c r="D632" s="713"/>
      <c r="E632" s="713"/>
      <c r="F632" s="713"/>
      <c r="G632" s="713"/>
      <c r="H632" s="713"/>
      <c r="I632" s="713"/>
      <c r="J632" s="713"/>
      <c r="K632" s="714"/>
      <c r="L632" s="718"/>
    </row>
    <row r="633" spans="1:12" hidden="1">
      <c r="A633" s="712"/>
      <c r="B633" s="717"/>
      <c r="C633" s="712"/>
      <c r="D633" s="713"/>
      <c r="E633" s="713"/>
      <c r="F633" s="713"/>
      <c r="G633" s="713"/>
      <c r="H633" s="713"/>
      <c r="I633" s="713"/>
      <c r="J633" s="713"/>
      <c r="K633" s="714"/>
      <c r="L633" s="718">
        <v>5.7629999999999999</v>
      </c>
    </row>
    <row r="634" spans="1:12" hidden="1">
      <c r="A634" s="712"/>
      <c r="B634" s="719"/>
      <c r="C634" s="712"/>
      <c r="D634" s="713"/>
      <c r="E634" s="713"/>
      <c r="F634" s="713"/>
      <c r="G634" s="713"/>
      <c r="H634" s="713"/>
      <c r="I634" s="713"/>
      <c r="J634" s="713"/>
      <c r="K634" s="714"/>
      <c r="L634" s="718"/>
    </row>
    <row r="635" spans="1:12" hidden="1">
      <c r="A635" s="712"/>
      <c r="B635" s="719"/>
      <c r="C635" s="712"/>
      <c r="D635" s="713"/>
      <c r="E635" s="713"/>
      <c r="F635" s="713"/>
      <c r="G635" s="713"/>
      <c r="H635" s="713"/>
      <c r="I635" s="713"/>
      <c r="J635" s="713"/>
      <c r="K635" s="714"/>
      <c r="L635" s="718"/>
    </row>
    <row r="636" spans="1:12" hidden="1">
      <c r="A636" s="712"/>
      <c r="B636" s="719"/>
      <c r="C636" s="712"/>
      <c r="D636" s="713"/>
      <c r="E636" s="713"/>
      <c r="F636" s="713"/>
      <c r="G636" s="713"/>
      <c r="H636" s="713"/>
      <c r="I636" s="713"/>
      <c r="J636" s="713"/>
      <c r="K636" s="714"/>
      <c r="L636" s="718"/>
    </row>
    <row r="637" spans="1:12" hidden="1">
      <c r="A637" s="712"/>
      <c r="B637" s="717"/>
      <c r="C637" s="712"/>
      <c r="D637" s="713"/>
      <c r="E637" s="713"/>
      <c r="F637" s="713"/>
      <c r="G637" s="713"/>
      <c r="H637" s="713"/>
      <c r="I637" s="713"/>
      <c r="J637" s="713"/>
      <c r="K637" s="714"/>
      <c r="L637" s="718"/>
    </row>
    <row r="638" spans="1:12" hidden="1">
      <c r="A638" s="712"/>
      <c r="B638" s="719"/>
      <c r="C638" s="712"/>
      <c r="D638" s="713"/>
      <c r="E638" s="713"/>
      <c r="F638" s="713"/>
      <c r="G638" s="713"/>
      <c r="H638" s="713"/>
      <c r="I638" s="713"/>
      <c r="J638" s="713"/>
      <c r="K638" s="714"/>
      <c r="L638" s="718"/>
    </row>
    <row r="639" spans="1:12" hidden="1">
      <c r="A639" s="712"/>
      <c r="B639" s="717"/>
      <c r="C639" s="712"/>
      <c r="D639" s="713"/>
      <c r="E639" s="713"/>
      <c r="F639" s="713"/>
      <c r="G639" s="713"/>
      <c r="H639" s="713"/>
      <c r="I639" s="713"/>
      <c r="J639" s="713"/>
      <c r="K639" s="714"/>
      <c r="L639" s="718">
        <v>0.16600000000000001</v>
      </c>
    </row>
    <row r="640" spans="1:12" hidden="1">
      <c r="A640" s="712"/>
      <c r="B640" s="734"/>
      <c r="C640" s="712"/>
      <c r="D640" s="713"/>
      <c r="E640" s="713"/>
      <c r="F640" s="713"/>
      <c r="G640" s="713"/>
      <c r="H640" s="713"/>
      <c r="I640" s="713"/>
      <c r="J640" s="713"/>
      <c r="K640" s="714"/>
      <c r="L640" s="718"/>
    </row>
    <row r="641" spans="1:12" hidden="1">
      <c r="A641" s="712"/>
      <c r="B641" s="722"/>
      <c r="C641" s="712"/>
      <c r="D641" s="713"/>
      <c r="E641" s="713"/>
      <c r="F641" s="713"/>
      <c r="G641" s="713"/>
      <c r="H641" s="713"/>
      <c r="I641" s="713"/>
      <c r="J641" s="713"/>
      <c r="K641" s="714"/>
      <c r="L641" s="718"/>
    </row>
    <row r="642" spans="1:12" hidden="1">
      <c r="A642" s="712"/>
      <c r="B642" s="722"/>
      <c r="C642" s="712"/>
      <c r="D642" s="713"/>
      <c r="E642" s="713"/>
      <c r="F642" s="713"/>
      <c r="G642" s="713"/>
      <c r="H642" s="713"/>
      <c r="I642" s="713"/>
      <c r="J642" s="713"/>
      <c r="K642" s="714"/>
      <c r="L642" s="718"/>
    </row>
    <row r="643" spans="1:12" hidden="1">
      <c r="A643" s="712"/>
      <c r="B643" s="722"/>
      <c r="C643" s="712"/>
      <c r="D643" s="713"/>
      <c r="E643" s="713"/>
      <c r="F643" s="713"/>
      <c r="G643" s="713"/>
      <c r="H643" s="713"/>
      <c r="I643" s="713"/>
      <c r="J643" s="713"/>
      <c r="K643" s="714"/>
      <c r="L643" s="718"/>
    </row>
    <row r="644" spans="1:12" hidden="1">
      <c r="A644" s="712"/>
      <c r="B644" s="722"/>
      <c r="C644" s="712"/>
      <c r="D644" s="713"/>
      <c r="E644" s="713"/>
      <c r="F644" s="713"/>
      <c r="G644" s="713"/>
      <c r="H644" s="713"/>
      <c r="I644" s="713"/>
      <c r="J644" s="713"/>
      <c r="K644" s="714"/>
      <c r="L644" s="718"/>
    </row>
    <row r="645" spans="1:12" hidden="1">
      <c r="A645" s="712"/>
      <c r="B645" s="722"/>
      <c r="C645" s="712"/>
      <c r="D645" s="713"/>
      <c r="E645" s="713"/>
      <c r="F645" s="713"/>
      <c r="G645" s="713"/>
      <c r="H645" s="713"/>
      <c r="I645" s="713"/>
      <c r="J645" s="713"/>
      <c r="K645" s="714"/>
      <c r="L645" s="718"/>
    </row>
    <row r="646" spans="1:12" hidden="1">
      <c r="A646" s="712"/>
      <c r="B646" s="722"/>
      <c r="C646" s="712"/>
      <c r="D646" s="713"/>
      <c r="E646" s="713"/>
      <c r="F646" s="713"/>
      <c r="G646" s="713"/>
      <c r="H646" s="713"/>
      <c r="I646" s="713"/>
      <c r="J646" s="713"/>
      <c r="K646" s="714"/>
      <c r="L646" s="718"/>
    </row>
    <row r="647" spans="1:12" hidden="1">
      <c r="A647" s="712"/>
      <c r="B647" s="717"/>
      <c r="C647" s="712"/>
      <c r="D647" s="713"/>
      <c r="E647" s="713"/>
      <c r="F647" s="713"/>
      <c r="G647" s="713"/>
      <c r="H647" s="713"/>
      <c r="I647" s="713"/>
      <c r="J647" s="713"/>
      <c r="K647" s="714"/>
      <c r="L647" s="718">
        <v>3.0539999999999998</v>
      </c>
    </row>
    <row r="648" spans="1:12" hidden="1">
      <c r="A648" s="712"/>
      <c r="B648" s="722"/>
      <c r="C648" s="712"/>
      <c r="D648" s="713"/>
      <c r="E648" s="713"/>
      <c r="F648" s="713"/>
      <c r="G648" s="713"/>
      <c r="H648" s="713"/>
      <c r="I648" s="713"/>
      <c r="J648" s="713"/>
      <c r="K648" s="714"/>
      <c r="L648" s="718"/>
    </row>
    <row r="649" spans="1:12" hidden="1">
      <c r="A649" s="712"/>
      <c r="B649" s="722"/>
      <c r="C649" s="712"/>
      <c r="D649" s="713"/>
      <c r="E649" s="713"/>
      <c r="F649" s="713"/>
      <c r="G649" s="713"/>
      <c r="H649" s="713"/>
      <c r="I649" s="713"/>
      <c r="J649" s="713"/>
      <c r="K649" s="714"/>
      <c r="L649" s="718"/>
    </row>
    <row r="650" spans="1:12" hidden="1">
      <c r="A650" s="712"/>
      <c r="B650" s="722"/>
      <c r="C650" s="712"/>
      <c r="D650" s="713"/>
      <c r="E650" s="713"/>
      <c r="F650" s="713"/>
      <c r="G650" s="713"/>
      <c r="H650" s="713"/>
      <c r="I650" s="713"/>
      <c r="J650" s="713"/>
      <c r="K650" s="714"/>
      <c r="L650" s="718"/>
    </row>
    <row r="651" spans="1:12" hidden="1">
      <c r="A651" s="712"/>
      <c r="B651" s="722"/>
      <c r="C651" s="712"/>
      <c r="D651" s="713"/>
      <c r="E651" s="713"/>
      <c r="F651" s="713"/>
      <c r="G651" s="713"/>
      <c r="H651" s="713"/>
      <c r="I651" s="713"/>
      <c r="J651" s="713"/>
      <c r="K651" s="714"/>
      <c r="L651" s="718"/>
    </row>
    <row r="652" spans="1:12" hidden="1">
      <c r="A652" s="712"/>
      <c r="B652" s="722"/>
      <c r="C652" s="712"/>
      <c r="D652" s="713"/>
      <c r="E652" s="713"/>
      <c r="F652" s="713"/>
      <c r="G652" s="713"/>
      <c r="H652" s="713"/>
      <c r="I652" s="713"/>
      <c r="J652" s="713"/>
      <c r="K652" s="714"/>
      <c r="L652" s="718"/>
    </row>
    <row r="653" spans="1:12" hidden="1">
      <c r="A653" s="712"/>
      <c r="B653" s="722"/>
      <c r="C653" s="712"/>
      <c r="D653" s="713"/>
      <c r="E653" s="713"/>
      <c r="F653" s="713"/>
      <c r="G653" s="713"/>
      <c r="H653" s="713"/>
      <c r="I653" s="713"/>
      <c r="J653" s="713"/>
      <c r="K653" s="714"/>
      <c r="L653" s="718"/>
    </row>
    <row r="654" spans="1:12" hidden="1">
      <c r="A654" s="712"/>
      <c r="B654" s="722"/>
      <c r="C654" s="712"/>
      <c r="D654" s="713"/>
      <c r="E654" s="713"/>
      <c r="F654" s="713"/>
      <c r="G654" s="713"/>
      <c r="H654" s="713"/>
      <c r="I654" s="713"/>
      <c r="J654" s="713"/>
      <c r="K654" s="714"/>
      <c r="L654" s="718"/>
    </row>
    <row r="655" spans="1:12" hidden="1">
      <c r="A655" s="712"/>
      <c r="B655" s="722"/>
      <c r="C655" s="712"/>
      <c r="D655" s="713"/>
      <c r="E655" s="713"/>
      <c r="F655" s="713"/>
      <c r="G655" s="713"/>
      <c r="H655" s="713"/>
      <c r="I655" s="713"/>
      <c r="J655" s="713"/>
      <c r="K655" s="714"/>
      <c r="L655" s="718"/>
    </row>
    <row r="656" spans="1:12" hidden="1">
      <c r="A656" s="712"/>
      <c r="B656" s="722"/>
      <c r="C656" s="712"/>
      <c r="D656" s="713"/>
      <c r="E656" s="713"/>
      <c r="F656" s="713"/>
      <c r="G656" s="713"/>
      <c r="H656" s="713"/>
      <c r="I656" s="713"/>
      <c r="J656" s="713"/>
      <c r="K656" s="714"/>
      <c r="L656" s="718"/>
    </row>
    <row r="657" spans="1:12" hidden="1">
      <c r="A657" s="712"/>
      <c r="B657" s="722"/>
      <c r="C657" s="712"/>
      <c r="D657" s="713"/>
      <c r="E657" s="713"/>
      <c r="F657" s="713"/>
      <c r="G657" s="713"/>
      <c r="H657" s="713"/>
      <c r="I657" s="713"/>
      <c r="J657" s="713"/>
      <c r="K657" s="714"/>
      <c r="L657" s="718"/>
    </row>
    <row r="658" spans="1:12" hidden="1">
      <c r="A658" s="712"/>
      <c r="B658" s="722"/>
      <c r="C658" s="712"/>
      <c r="D658" s="713"/>
      <c r="E658" s="713"/>
      <c r="F658" s="713"/>
      <c r="G658" s="713"/>
      <c r="H658" s="713"/>
      <c r="I658" s="713"/>
      <c r="J658" s="713"/>
      <c r="K658" s="714"/>
      <c r="L658" s="718"/>
    </row>
    <row r="659" spans="1:12" hidden="1">
      <c r="A659" s="712"/>
      <c r="B659" s="722"/>
      <c r="C659" s="712"/>
      <c r="D659" s="713"/>
      <c r="E659" s="713"/>
      <c r="F659" s="713"/>
      <c r="G659" s="713"/>
      <c r="H659" s="713"/>
      <c r="I659" s="713"/>
      <c r="J659" s="713"/>
      <c r="K659" s="714"/>
      <c r="L659" s="718"/>
    </row>
    <row r="660" spans="1:12" hidden="1">
      <c r="A660" s="712"/>
      <c r="B660" s="722"/>
      <c r="C660" s="712"/>
      <c r="D660" s="713"/>
      <c r="E660" s="713"/>
      <c r="F660" s="713"/>
      <c r="G660" s="713"/>
      <c r="H660" s="713"/>
      <c r="I660" s="713"/>
      <c r="J660" s="713"/>
      <c r="K660" s="714"/>
      <c r="L660" s="718"/>
    </row>
    <row r="661" spans="1:12" hidden="1">
      <c r="A661" s="712"/>
      <c r="B661" s="717"/>
      <c r="C661" s="712"/>
      <c r="D661" s="713"/>
      <c r="E661" s="713"/>
      <c r="F661" s="713"/>
      <c r="G661" s="713"/>
      <c r="H661" s="713"/>
      <c r="I661" s="713"/>
      <c r="J661" s="713"/>
      <c r="K661" s="714"/>
      <c r="L661" s="718">
        <v>0.38900000000000001</v>
      </c>
    </row>
    <row r="662" spans="1:12" hidden="1">
      <c r="A662" s="712"/>
      <c r="B662" s="722"/>
      <c r="C662" s="712"/>
      <c r="D662" s="713"/>
      <c r="E662" s="713"/>
      <c r="F662" s="713"/>
      <c r="G662" s="713"/>
      <c r="H662" s="713"/>
      <c r="I662" s="713"/>
      <c r="J662" s="713"/>
      <c r="K662" s="714"/>
      <c r="L662" s="718"/>
    </row>
    <row r="663" spans="1:12" hidden="1">
      <c r="A663" s="712"/>
      <c r="B663" s="722"/>
      <c r="C663" s="712"/>
      <c r="D663" s="713"/>
      <c r="E663" s="713"/>
      <c r="F663" s="713"/>
      <c r="G663" s="713"/>
      <c r="H663" s="713"/>
      <c r="I663" s="713"/>
      <c r="J663" s="713"/>
      <c r="K663" s="714"/>
      <c r="L663" s="718"/>
    </row>
    <row r="664" spans="1:12" hidden="1">
      <c r="A664" s="712"/>
      <c r="B664" s="722"/>
      <c r="C664" s="712"/>
      <c r="D664" s="713"/>
      <c r="E664" s="713"/>
      <c r="F664" s="713"/>
      <c r="G664" s="713"/>
      <c r="H664" s="713"/>
      <c r="I664" s="713"/>
      <c r="J664" s="713"/>
      <c r="K664" s="714"/>
      <c r="L664" s="718"/>
    </row>
    <row r="665" spans="1:12" hidden="1">
      <c r="A665" s="712"/>
      <c r="B665" s="722"/>
      <c r="C665" s="712"/>
      <c r="D665" s="713"/>
      <c r="E665" s="713"/>
      <c r="F665" s="713"/>
      <c r="G665" s="713"/>
      <c r="H665" s="713"/>
      <c r="I665" s="713"/>
      <c r="J665" s="713"/>
      <c r="K665" s="714"/>
      <c r="L665" s="718"/>
    </row>
    <row r="666" spans="1:12" hidden="1">
      <c r="A666" s="712"/>
      <c r="B666" s="722"/>
      <c r="C666" s="712"/>
      <c r="D666" s="713"/>
      <c r="E666" s="713"/>
      <c r="F666" s="713"/>
      <c r="G666" s="713"/>
      <c r="H666" s="713"/>
      <c r="I666" s="713"/>
      <c r="J666" s="713"/>
      <c r="K666" s="714"/>
      <c r="L666" s="718"/>
    </row>
    <row r="667" spans="1:12" hidden="1">
      <c r="A667" s="712"/>
      <c r="B667" s="722"/>
      <c r="C667" s="712"/>
      <c r="D667" s="713"/>
      <c r="E667" s="713"/>
      <c r="F667" s="713"/>
      <c r="G667" s="713"/>
      <c r="H667" s="713"/>
      <c r="I667" s="713"/>
      <c r="J667" s="713"/>
      <c r="K667" s="714"/>
      <c r="L667" s="718"/>
    </row>
    <row r="668" spans="1:12" hidden="1">
      <c r="A668" s="712"/>
      <c r="B668" s="722"/>
      <c r="C668" s="712"/>
      <c r="D668" s="713"/>
      <c r="E668" s="713"/>
      <c r="F668" s="713"/>
      <c r="G668" s="713"/>
      <c r="H668" s="713"/>
      <c r="I668" s="713"/>
      <c r="J668" s="713"/>
      <c r="K668" s="714"/>
      <c r="L668" s="718"/>
    </row>
    <row r="669" spans="1:12" hidden="1">
      <c r="A669" s="712"/>
      <c r="B669" s="717"/>
      <c r="C669" s="712"/>
      <c r="D669" s="713"/>
      <c r="E669" s="713"/>
      <c r="F669" s="713"/>
      <c r="G669" s="713"/>
      <c r="H669" s="713"/>
      <c r="I669" s="713"/>
      <c r="J669" s="720"/>
      <c r="K669" s="714"/>
      <c r="L669" s="718">
        <v>1.3029999999999999</v>
      </c>
    </row>
    <row r="670" spans="1:12" hidden="1">
      <c r="A670" s="712"/>
      <c r="B670" s="719"/>
      <c r="C670" s="712"/>
      <c r="D670" s="713"/>
      <c r="E670" s="713"/>
      <c r="F670" s="713"/>
      <c r="G670" s="713"/>
      <c r="H670" s="713"/>
      <c r="I670" s="713"/>
      <c r="J670" s="720"/>
      <c r="K670" s="714"/>
      <c r="L670" s="718"/>
    </row>
    <row r="671" spans="1:12" hidden="1">
      <c r="A671" s="712"/>
      <c r="B671" s="717"/>
      <c r="C671" s="712"/>
      <c r="D671" s="713"/>
      <c r="E671" s="713"/>
      <c r="F671" s="713"/>
      <c r="G671" s="713"/>
      <c r="H671" s="713"/>
      <c r="I671" s="713"/>
      <c r="J671" s="713"/>
      <c r="K671" s="714"/>
      <c r="L671" s="718">
        <v>4.3999999999999997E-2</v>
      </c>
    </row>
    <row r="672" spans="1:12" hidden="1">
      <c r="A672" s="712"/>
      <c r="B672" s="719"/>
      <c r="C672" s="712"/>
      <c r="D672" s="713"/>
      <c r="E672" s="713"/>
      <c r="F672" s="713"/>
      <c r="G672" s="713"/>
      <c r="H672" s="713"/>
      <c r="I672" s="713"/>
      <c r="J672" s="713"/>
      <c r="K672" s="714"/>
      <c r="L672" s="718"/>
    </row>
    <row r="673" spans="1:12" hidden="1">
      <c r="A673" s="712"/>
      <c r="B673" s="717"/>
      <c r="C673" s="712"/>
      <c r="D673" s="713"/>
      <c r="E673" s="713"/>
      <c r="F673" s="713"/>
      <c r="G673" s="713"/>
      <c r="H673" s="713"/>
      <c r="I673" s="713"/>
      <c r="J673" s="713"/>
      <c r="K673" s="714"/>
      <c r="L673" s="718">
        <v>4.24</v>
      </c>
    </row>
    <row r="674" spans="1:12" hidden="1">
      <c r="A674" s="712"/>
      <c r="B674" s="717"/>
      <c r="C674" s="712"/>
      <c r="D674" s="713"/>
      <c r="E674" s="713"/>
      <c r="F674" s="713"/>
      <c r="G674" s="713"/>
      <c r="H674" s="713"/>
      <c r="I674" s="713"/>
      <c r="J674" s="713"/>
      <c r="K674" s="714"/>
      <c r="L674" s="718"/>
    </row>
    <row r="675" spans="1:12" hidden="1">
      <c r="A675" s="712"/>
      <c r="B675" s="717"/>
      <c r="C675" s="712"/>
      <c r="D675" s="713"/>
      <c r="E675" s="713"/>
      <c r="F675" s="713"/>
      <c r="G675" s="713"/>
      <c r="H675" s="713"/>
      <c r="I675" s="713"/>
      <c r="J675" s="713"/>
      <c r="K675" s="714"/>
      <c r="L675" s="718">
        <v>0.75</v>
      </c>
    </row>
    <row r="676" spans="1:12" hidden="1">
      <c r="A676" s="712"/>
      <c r="B676" s="719"/>
      <c r="C676" s="712"/>
      <c r="D676" s="713"/>
      <c r="E676" s="713"/>
      <c r="F676" s="713"/>
      <c r="G676" s="713"/>
      <c r="H676" s="713"/>
      <c r="I676" s="713"/>
      <c r="J676" s="713"/>
      <c r="K676" s="714"/>
      <c r="L676" s="718"/>
    </row>
    <row r="677" spans="1:12" hidden="1">
      <c r="A677" s="712"/>
      <c r="B677" s="717"/>
      <c r="C677" s="712"/>
      <c r="D677" s="713"/>
      <c r="E677" s="713"/>
      <c r="F677" s="713"/>
      <c r="G677" s="713"/>
      <c r="H677" s="713"/>
      <c r="I677" s="713"/>
      <c r="J677" s="713"/>
      <c r="K677" s="714"/>
      <c r="L677" s="718">
        <v>112.2</v>
      </c>
    </row>
    <row r="678" spans="1:12" hidden="1">
      <c r="A678" s="712"/>
      <c r="B678" s="719"/>
      <c r="C678" s="712"/>
      <c r="D678" s="713"/>
      <c r="E678" s="713"/>
      <c r="F678" s="713"/>
      <c r="G678" s="713"/>
      <c r="H678" s="713"/>
      <c r="I678" s="713"/>
      <c r="J678" s="713"/>
      <c r="K678" s="714"/>
      <c r="L678" s="718"/>
    </row>
    <row r="679" spans="1:12" hidden="1">
      <c r="A679" s="712"/>
      <c r="B679" s="719"/>
      <c r="C679" s="712"/>
      <c r="D679" s="713"/>
      <c r="E679" s="713"/>
      <c r="F679" s="713"/>
      <c r="G679" s="713"/>
      <c r="H679" s="713"/>
      <c r="I679" s="713"/>
      <c r="J679" s="713"/>
      <c r="K679" s="714"/>
      <c r="L679" s="718"/>
    </row>
    <row r="680" spans="1:12" hidden="1">
      <c r="A680" s="712"/>
      <c r="B680" s="719"/>
      <c r="C680" s="712"/>
      <c r="D680" s="713"/>
      <c r="E680" s="713"/>
      <c r="F680" s="713"/>
      <c r="G680" s="713"/>
      <c r="H680" s="713"/>
      <c r="I680" s="713"/>
      <c r="J680" s="713"/>
      <c r="K680" s="714"/>
      <c r="L680" s="718"/>
    </row>
    <row r="681" spans="1:12" hidden="1">
      <c r="A681" s="712"/>
      <c r="B681" s="719"/>
      <c r="C681" s="712"/>
      <c r="D681" s="713"/>
      <c r="E681" s="713"/>
      <c r="F681" s="713"/>
      <c r="G681" s="713"/>
      <c r="H681" s="713"/>
      <c r="I681" s="713"/>
      <c r="J681" s="713"/>
      <c r="K681" s="714"/>
      <c r="L681" s="718"/>
    </row>
    <row r="682" spans="1:12" hidden="1">
      <c r="A682" s="712"/>
      <c r="B682" s="717"/>
      <c r="C682" s="712"/>
      <c r="D682" s="713"/>
      <c r="E682" s="713"/>
      <c r="F682" s="713"/>
      <c r="G682" s="713"/>
      <c r="H682" s="713"/>
      <c r="I682" s="713"/>
      <c r="J682" s="713"/>
      <c r="K682" s="714"/>
      <c r="L682" s="718">
        <v>171.18</v>
      </c>
    </row>
    <row r="683" spans="1:12" hidden="1">
      <c r="A683" s="712"/>
      <c r="B683" s="717"/>
      <c r="C683" s="712"/>
      <c r="D683" s="713"/>
      <c r="E683" s="713"/>
      <c r="F683" s="713"/>
      <c r="G683" s="713"/>
      <c r="H683" s="713"/>
      <c r="I683" s="713"/>
      <c r="J683" s="713"/>
      <c r="K683" s="714"/>
      <c r="L683" s="718">
        <v>30.79</v>
      </c>
    </row>
    <row r="684" spans="1:12" hidden="1">
      <c r="A684" s="712"/>
      <c r="B684" s="717"/>
      <c r="C684" s="712"/>
      <c r="D684" s="713"/>
      <c r="E684" s="713"/>
      <c r="F684" s="713"/>
      <c r="G684" s="713"/>
      <c r="H684" s="713"/>
      <c r="I684" s="713"/>
      <c r="J684" s="713"/>
      <c r="K684" s="714"/>
      <c r="L684" s="718">
        <v>201.97</v>
      </c>
    </row>
    <row r="685" spans="1:12" hidden="1">
      <c r="A685" s="712"/>
      <c r="B685" s="717"/>
      <c r="C685" s="712"/>
      <c r="D685" s="713"/>
      <c r="E685" s="713"/>
      <c r="F685" s="713"/>
      <c r="G685" s="713"/>
      <c r="H685" s="713"/>
      <c r="I685" s="713"/>
      <c r="J685" s="713"/>
      <c r="K685" s="714"/>
      <c r="L685" s="718">
        <v>69.38</v>
      </c>
    </row>
    <row r="686" spans="1:12" hidden="1">
      <c r="A686" s="712"/>
      <c r="B686" s="719"/>
      <c r="C686" s="712"/>
      <c r="D686" s="713"/>
      <c r="E686" s="713"/>
      <c r="F686" s="713"/>
      <c r="G686" s="713"/>
      <c r="H686" s="713"/>
      <c r="I686" s="713"/>
      <c r="J686" s="713"/>
      <c r="K686" s="714"/>
      <c r="L686" s="718"/>
    </row>
    <row r="687" spans="1:12" hidden="1">
      <c r="A687" s="712"/>
      <c r="B687" s="719"/>
      <c r="C687" s="712"/>
      <c r="D687" s="713"/>
      <c r="E687" s="713"/>
      <c r="F687" s="713"/>
      <c r="G687" s="713"/>
      <c r="H687" s="713"/>
      <c r="I687" s="713"/>
      <c r="J687" s="713"/>
      <c r="K687" s="714"/>
      <c r="L687" s="718"/>
    </row>
    <row r="688" spans="1:12" hidden="1">
      <c r="A688" s="712"/>
      <c r="B688" s="719"/>
      <c r="C688" s="712"/>
      <c r="D688" s="713"/>
      <c r="E688" s="713"/>
      <c r="F688" s="713"/>
      <c r="G688" s="713"/>
      <c r="H688" s="713"/>
      <c r="I688" s="713"/>
      <c r="J688" s="713"/>
      <c r="K688" s="714"/>
      <c r="L688" s="718"/>
    </row>
    <row r="689" spans="1:12" hidden="1">
      <c r="A689" s="712"/>
      <c r="B689" s="719"/>
      <c r="C689" s="712"/>
      <c r="D689" s="713"/>
      <c r="E689" s="713"/>
      <c r="F689" s="713"/>
      <c r="G689" s="713"/>
      <c r="H689" s="713"/>
      <c r="I689" s="713"/>
      <c r="J689" s="713"/>
      <c r="K689" s="714"/>
      <c r="L689" s="718"/>
    </row>
    <row r="690" spans="1:12" hidden="1">
      <c r="A690" s="712"/>
      <c r="B690" s="719"/>
      <c r="C690" s="712"/>
      <c r="D690" s="713"/>
      <c r="E690" s="713"/>
      <c r="F690" s="713"/>
      <c r="G690" s="713"/>
      <c r="H690" s="713"/>
      <c r="I690" s="713"/>
      <c r="J690" s="713"/>
      <c r="K690" s="714"/>
      <c r="L690" s="718"/>
    </row>
    <row r="691" spans="1:12" hidden="1">
      <c r="A691" s="712"/>
      <c r="B691" s="719"/>
      <c r="C691" s="712"/>
      <c r="D691" s="713"/>
      <c r="E691" s="713"/>
      <c r="F691" s="713"/>
      <c r="G691" s="713"/>
      <c r="H691" s="713"/>
      <c r="I691" s="713"/>
      <c r="J691" s="713"/>
      <c r="K691" s="714"/>
      <c r="L691" s="718"/>
    </row>
    <row r="692" spans="1:12">
      <c r="A692" s="712"/>
      <c r="B692" s="717"/>
      <c r="C692" s="712"/>
      <c r="D692" s="713"/>
      <c r="E692" s="713"/>
      <c r="F692" s="713"/>
      <c r="G692" s="713"/>
      <c r="H692" s="713"/>
      <c r="I692" s="713"/>
      <c r="J692" s="720"/>
      <c r="K692" s="714"/>
      <c r="L692" s="718">
        <v>0.58099999999999996</v>
      </c>
    </row>
    <row r="693" spans="1:12" hidden="1">
      <c r="A693" s="712"/>
      <c r="B693" s="717"/>
      <c r="C693" s="712"/>
      <c r="D693" s="713"/>
      <c r="E693" s="713"/>
      <c r="F693" s="713"/>
      <c r="G693" s="713"/>
      <c r="H693" s="713"/>
      <c r="I693" s="713"/>
      <c r="J693" s="713"/>
      <c r="K693" s="714"/>
      <c r="L693" s="718">
        <v>0.106</v>
      </c>
    </row>
    <row r="694" spans="1:12" hidden="1">
      <c r="A694" s="712"/>
      <c r="B694" s="717"/>
      <c r="C694" s="712"/>
      <c r="D694" s="713"/>
      <c r="E694" s="713"/>
      <c r="F694" s="713"/>
      <c r="G694" s="713"/>
      <c r="H694" s="713"/>
      <c r="I694" s="713"/>
      <c r="J694" s="713"/>
      <c r="K694" s="714"/>
      <c r="L694" s="718">
        <v>2.4E-2</v>
      </c>
    </row>
    <row r="695" spans="1:12" hidden="1">
      <c r="A695" s="712"/>
      <c r="B695" s="719"/>
      <c r="C695" s="712"/>
      <c r="D695" s="713"/>
      <c r="E695" s="713"/>
      <c r="F695" s="713"/>
      <c r="G695" s="713"/>
      <c r="H695" s="713"/>
      <c r="I695" s="713"/>
      <c r="J695" s="713"/>
      <c r="K695" s="714"/>
      <c r="L695" s="718"/>
    </row>
    <row r="696" spans="1:12" hidden="1">
      <c r="A696" s="712"/>
      <c r="B696" s="717"/>
      <c r="C696" s="712"/>
      <c r="D696" s="713"/>
      <c r="E696" s="713"/>
      <c r="F696" s="713"/>
      <c r="G696" s="713"/>
      <c r="H696" s="713"/>
      <c r="I696" s="713"/>
      <c r="J696" s="713"/>
      <c r="K696" s="714"/>
      <c r="L696" s="718">
        <v>9.9000000000000005E-2</v>
      </c>
    </row>
    <row r="697" spans="1:12" hidden="1">
      <c r="A697" s="712"/>
      <c r="B697" s="717"/>
      <c r="C697" s="712"/>
      <c r="D697" s="713"/>
      <c r="E697" s="713"/>
      <c r="F697" s="713"/>
      <c r="G697" s="713"/>
      <c r="H697" s="713"/>
      <c r="I697" s="713"/>
      <c r="J697" s="713"/>
      <c r="K697" s="714"/>
      <c r="L697" s="718"/>
    </row>
    <row r="698" spans="1:12">
      <c r="A698" s="712"/>
      <c r="B698" s="717"/>
      <c r="C698" s="712"/>
      <c r="D698" s="713"/>
      <c r="E698" s="713"/>
      <c r="F698" s="713"/>
      <c r="G698" s="713"/>
      <c r="H698" s="713"/>
      <c r="I698" s="713"/>
      <c r="J698" s="720"/>
      <c r="K698" s="714"/>
      <c r="L698" s="718">
        <v>1.3839999999999999</v>
      </c>
    </row>
    <row r="699" spans="1:12">
      <c r="A699" s="712"/>
      <c r="B699" s="719"/>
      <c r="C699" s="712"/>
      <c r="D699" s="713"/>
      <c r="E699" s="713"/>
      <c r="F699" s="713"/>
      <c r="G699" s="713"/>
      <c r="H699" s="713"/>
      <c r="I699" s="720"/>
      <c r="J699" s="713"/>
      <c r="K699" s="714"/>
      <c r="L699" s="718"/>
    </row>
    <row r="700" spans="1:12">
      <c r="A700" s="712"/>
      <c r="B700" s="719"/>
      <c r="C700" s="712"/>
      <c r="D700" s="713"/>
      <c r="E700" s="713"/>
      <c r="F700" s="713"/>
      <c r="G700" s="713"/>
      <c r="H700" s="713"/>
      <c r="I700" s="720"/>
      <c r="J700" s="713"/>
      <c r="K700" s="714"/>
      <c r="L700" s="718"/>
    </row>
    <row r="701" spans="1:12">
      <c r="A701" s="712"/>
      <c r="B701" s="719"/>
      <c r="C701" s="712"/>
      <c r="D701" s="713"/>
      <c r="E701" s="713"/>
      <c r="F701" s="713"/>
      <c r="G701" s="713"/>
      <c r="H701" s="713"/>
      <c r="I701" s="720"/>
      <c r="J701" s="713"/>
      <c r="K701" s="714"/>
      <c r="L701" s="718"/>
    </row>
    <row r="702" spans="1:12">
      <c r="A702" s="712"/>
      <c r="B702" s="719"/>
      <c r="C702" s="712"/>
      <c r="D702" s="713"/>
      <c r="E702" s="713"/>
      <c r="F702" s="713"/>
      <c r="G702" s="713"/>
      <c r="H702" s="713"/>
      <c r="I702" s="720"/>
      <c r="J702" s="713"/>
      <c r="K702" s="714"/>
      <c r="L702" s="718"/>
    </row>
    <row r="703" spans="1:12" hidden="1">
      <c r="A703" s="712"/>
      <c r="B703" s="717"/>
      <c r="C703" s="712"/>
      <c r="D703" s="713"/>
      <c r="E703" s="713"/>
      <c r="F703" s="713"/>
      <c r="G703" s="713"/>
      <c r="H703" s="713"/>
      <c r="I703" s="713"/>
      <c r="J703" s="720"/>
      <c r="K703" s="714"/>
      <c r="L703" s="718">
        <v>0.16500000000000001</v>
      </c>
    </row>
    <row r="704" spans="1:12" hidden="1">
      <c r="A704" s="712"/>
      <c r="B704" s="722"/>
      <c r="C704" s="712"/>
      <c r="D704" s="713"/>
      <c r="E704" s="713"/>
      <c r="F704" s="713"/>
      <c r="G704" s="713"/>
      <c r="H704" s="713"/>
      <c r="I704" s="720"/>
      <c r="J704" s="713"/>
      <c r="K704" s="714"/>
      <c r="L704" s="718"/>
    </row>
    <row r="705" spans="1:12" hidden="1">
      <c r="A705" s="712"/>
      <c r="B705" s="722"/>
      <c r="C705" s="712"/>
      <c r="D705" s="713"/>
      <c r="E705" s="713"/>
      <c r="F705" s="713"/>
      <c r="G705" s="713"/>
      <c r="H705" s="713"/>
      <c r="I705" s="720"/>
      <c r="J705" s="713"/>
      <c r="K705" s="714"/>
      <c r="L705" s="718"/>
    </row>
    <row r="706" spans="1:12" hidden="1">
      <c r="A706" s="712"/>
      <c r="B706" s="722"/>
      <c r="C706" s="712"/>
      <c r="D706" s="713"/>
      <c r="E706" s="713"/>
      <c r="F706" s="713"/>
      <c r="G706" s="713"/>
      <c r="H706" s="713"/>
      <c r="I706" s="720"/>
      <c r="J706" s="713"/>
      <c r="K706" s="714"/>
      <c r="L706" s="718"/>
    </row>
    <row r="707" spans="1:12" hidden="1">
      <c r="A707" s="712"/>
      <c r="B707" s="722"/>
      <c r="C707" s="712"/>
      <c r="D707" s="713"/>
      <c r="E707" s="713"/>
      <c r="F707" s="713"/>
      <c r="G707" s="713"/>
      <c r="H707" s="713"/>
      <c r="I707" s="720"/>
      <c r="J707" s="713"/>
      <c r="K707" s="714"/>
      <c r="L707" s="718"/>
    </row>
    <row r="708" spans="1:12" hidden="1">
      <c r="A708" s="712"/>
      <c r="B708" s="722"/>
      <c r="C708" s="712"/>
      <c r="D708" s="713"/>
      <c r="E708" s="713"/>
      <c r="F708" s="713"/>
      <c r="G708" s="713"/>
      <c r="H708" s="713"/>
      <c r="I708" s="720"/>
      <c r="J708" s="713"/>
      <c r="K708" s="714"/>
      <c r="L708" s="718"/>
    </row>
    <row r="709" spans="1:12" hidden="1">
      <c r="A709" s="712"/>
      <c r="B709" s="734"/>
      <c r="C709" s="712"/>
      <c r="D709" s="713"/>
      <c r="E709" s="713"/>
      <c r="F709" s="713"/>
      <c r="G709" s="713"/>
      <c r="H709" s="713"/>
      <c r="I709" s="721"/>
      <c r="J709" s="713"/>
      <c r="K709" s="714"/>
      <c r="L709" s="718"/>
    </row>
    <row r="710" spans="1:12" hidden="1">
      <c r="A710" s="712"/>
      <c r="B710" s="717"/>
      <c r="C710" s="712"/>
      <c r="D710" s="713"/>
      <c r="E710" s="713"/>
      <c r="F710" s="713"/>
      <c r="G710" s="713"/>
      <c r="H710" s="713"/>
      <c r="I710" s="713"/>
      <c r="J710" s="713"/>
      <c r="K710" s="714"/>
      <c r="L710" s="718">
        <v>8.6999999999999994E-2</v>
      </c>
    </row>
    <row r="711" spans="1:12" hidden="1">
      <c r="A711" s="712"/>
      <c r="B711" s="717"/>
      <c r="C711" s="712"/>
      <c r="D711" s="713"/>
      <c r="E711" s="713"/>
      <c r="F711" s="713"/>
      <c r="G711" s="713"/>
      <c r="H711" s="713"/>
      <c r="I711" s="713"/>
      <c r="J711" s="713"/>
      <c r="K711" s="714"/>
      <c r="L711" s="718"/>
    </row>
    <row r="712" spans="1:12" hidden="1">
      <c r="A712" s="712"/>
      <c r="B712" s="717"/>
      <c r="C712" s="712"/>
      <c r="D712" s="713"/>
      <c r="E712" s="713"/>
      <c r="F712" s="713"/>
      <c r="G712" s="713"/>
      <c r="H712" s="713"/>
      <c r="I712" s="713"/>
      <c r="J712" s="713"/>
      <c r="K712" s="714"/>
      <c r="L712" s="718">
        <v>0.159</v>
      </c>
    </row>
    <row r="713" spans="1:12" hidden="1">
      <c r="A713" s="712"/>
      <c r="B713" s="717"/>
      <c r="C713" s="712"/>
      <c r="D713" s="713"/>
      <c r="E713" s="713"/>
      <c r="F713" s="713"/>
      <c r="G713" s="713"/>
      <c r="H713" s="713"/>
      <c r="I713" s="713"/>
      <c r="J713" s="713"/>
      <c r="K713" s="714"/>
      <c r="L713" s="718"/>
    </row>
    <row r="714" spans="1:12">
      <c r="A714" s="712"/>
      <c r="B714" s="717"/>
      <c r="C714" s="712"/>
      <c r="D714" s="713"/>
      <c r="E714" s="713"/>
      <c r="F714" s="713"/>
      <c r="G714" s="713"/>
      <c r="H714" s="713"/>
      <c r="I714" s="720"/>
      <c r="J714" s="713"/>
      <c r="K714" s="714"/>
      <c r="L714" s="718">
        <v>1.1870000000000001</v>
      </c>
    </row>
    <row r="715" spans="1:12" hidden="1">
      <c r="A715" s="712"/>
      <c r="B715" s="717"/>
      <c r="C715" s="712"/>
      <c r="D715" s="713"/>
      <c r="E715" s="713"/>
      <c r="F715" s="713"/>
      <c r="G715" s="713"/>
      <c r="H715" s="713"/>
      <c r="I715" s="713"/>
      <c r="J715" s="713"/>
      <c r="K715" s="714"/>
      <c r="L715" s="718">
        <v>9.9000000000000005E-2</v>
      </c>
    </row>
    <row r="716" spans="1:12" hidden="1">
      <c r="A716" s="712"/>
      <c r="B716" s="717"/>
      <c r="C716" s="712"/>
      <c r="D716" s="713"/>
      <c r="E716" s="713"/>
      <c r="F716" s="713"/>
      <c r="G716" s="713"/>
      <c r="H716" s="713"/>
      <c r="I716" s="713"/>
      <c r="J716" s="713"/>
      <c r="K716" s="714"/>
      <c r="L716" s="718">
        <v>0.221</v>
      </c>
    </row>
    <row r="717" spans="1:12" hidden="1">
      <c r="A717" s="712"/>
      <c r="B717" s="719"/>
      <c r="C717" s="712"/>
      <c r="D717" s="713"/>
      <c r="E717" s="713"/>
      <c r="F717" s="713"/>
      <c r="G717" s="713"/>
      <c r="H717" s="713"/>
      <c r="I717" s="713"/>
      <c r="J717" s="713"/>
      <c r="K717" s="714"/>
      <c r="L717" s="718"/>
    </row>
    <row r="718" spans="1:12" hidden="1">
      <c r="A718" s="712"/>
      <c r="B718" s="717"/>
      <c r="C718" s="712"/>
      <c r="D718" s="713"/>
      <c r="E718" s="713"/>
      <c r="F718" s="713"/>
      <c r="G718" s="713"/>
      <c r="H718" s="713"/>
      <c r="I718" s="713"/>
      <c r="J718" s="713"/>
      <c r="K718" s="714"/>
      <c r="L718" s="718">
        <v>3.2440000000000002</v>
      </c>
    </row>
    <row r="719" spans="1:12">
      <c r="A719" s="709"/>
      <c r="B719" s="725"/>
      <c r="C719" s="712"/>
      <c r="D719" s="713"/>
      <c r="E719" s="713"/>
      <c r="F719" s="713"/>
      <c r="G719" s="713"/>
      <c r="H719" s="713"/>
      <c r="I719" s="713"/>
      <c r="J719" s="713"/>
      <c r="K719" s="714"/>
      <c r="L719" s="718"/>
    </row>
    <row r="720" spans="1:12" hidden="1">
      <c r="A720" s="712"/>
      <c r="B720" s="717"/>
      <c r="C720" s="712"/>
      <c r="D720" s="713"/>
      <c r="E720" s="713"/>
      <c r="F720" s="713"/>
      <c r="G720" s="713"/>
      <c r="H720" s="713"/>
      <c r="I720" s="713"/>
      <c r="J720" s="720"/>
      <c r="K720" s="714"/>
      <c r="L720" s="718">
        <v>1.4233</v>
      </c>
    </row>
    <row r="721" spans="1:12" hidden="1">
      <c r="A721" s="712"/>
      <c r="B721" s="717"/>
      <c r="C721" s="712"/>
      <c r="D721" s="713"/>
      <c r="E721" s="713"/>
      <c r="F721" s="713"/>
      <c r="G721" s="713"/>
      <c r="H721" s="713"/>
      <c r="I721" s="713"/>
      <c r="J721" s="720"/>
      <c r="K721" s="714"/>
      <c r="L721" s="718">
        <v>37.320999999999998</v>
      </c>
    </row>
    <row r="722" spans="1:12" hidden="1">
      <c r="A722" s="712"/>
      <c r="B722" s="717"/>
      <c r="C722" s="712"/>
      <c r="D722" s="713"/>
      <c r="E722" s="713"/>
      <c r="F722" s="713"/>
      <c r="G722" s="713"/>
      <c r="H722" s="713"/>
      <c r="I722" s="713"/>
      <c r="J722" s="713"/>
      <c r="K722" s="714"/>
      <c r="L722" s="718">
        <v>5.5289999999999999</v>
      </c>
    </row>
    <row r="723" spans="1:12" hidden="1">
      <c r="A723" s="712"/>
      <c r="B723" s="717"/>
      <c r="C723" s="712"/>
      <c r="D723" s="713"/>
      <c r="E723" s="713"/>
      <c r="F723" s="713"/>
      <c r="G723" s="713"/>
      <c r="H723" s="713"/>
      <c r="I723" s="713"/>
      <c r="J723" s="713"/>
      <c r="K723" s="714"/>
      <c r="L723" s="718">
        <v>117.49</v>
      </c>
    </row>
    <row r="724" spans="1:12" hidden="1">
      <c r="A724" s="712"/>
      <c r="B724" s="722"/>
      <c r="C724" s="712"/>
      <c r="D724" s="713"/>
      <c r="E724" s="713"/>
      <c r="F724" s="713"/>
      <c r="G724" s="713"/>
      <c r="H724" s="713"/>
      <c r="I724" s="713"/>
      <c r="J724" s="713"/>
      <c r="K724" s="714"/>
      <c r="L724" s="718"/>
    </row>
    <row r="725" spans="1:12" hidden="1">
      <c r="A725" s="712"/>
      <c r="B725" s="722"/>
      <c r="C725" s="712"/>
      <c r="D725" s="713"/>
      <c r="E725" s="713"/>
      <c r="F725" s="713"/>
      <c r="G725" s="713"/>
      <c r="H725" s="713"/>
      <c r="I725" s="713"/>
      <c r="J725" s="713"/>
      <c r="K725" s="714"/>
      <c r="L725" s="718"/>
    </row>
    <row r="726" spans="1:12" hidden="1">
      <c r="A726" s="712"/>
      <c r="B726" s="722"/>
      <c r="C726" s="712"/>
      <c r="D726" s="713"/>
      <c r="E726" s="713"/>
      <c r="F726" s="713"/>
      <c r="G726" s="713"/>
      <c r="H726" s="713"/>
      <c r="I726" s="713"/>
      <c r="J726" s="713"/>
      <c r="K726" s="714"/>
      <c r="L726" s="718"/>
    </row>
    <row r="727" spans="1:12" hidden="1">
      <c r="A727" s="712"/>
      <c r="B727" s="717"/>
      <c r="C727" s="712"/>
      <c r="D727" s="713"/>
      <c r="E727" s="713"/>
      <c r="F727" s="713"/>
      <c r="G727" s="713"/>
      <c r="H727" s="713"/>
      <c r="I727" s="713"/>
      <c r="J727" s="713"/>
      <c r="K727" s="714"/>
      <c r="L727" s="718">
        <v>5.5289999999999999</v>
      </c>
    </row>
    <row r="728" spans="1:12" hidden="1">
      <c r="A728" s="712"/>
      <c r="B728" s="717"/>
      <c r="C728" s="712"/>
      <c r="D728" s="713"/>
      <c r="E728" s="713"/>
      <c r="F728" s="713"/>
      <c r="G728" s="713"/>
      <c r="H728" s="713"/>
      <c r="I728" s="713"/>
      <c r="J728" s="713"/>
      <c r="K728" s="714"/>
      <c r="L728" s="718">
        <v>15.675000000000001</v>
      </c>
    </row>
    <row r="729" spans="1:12" hidden="1">
      <c r="A729" s="712"/>
      <c r="B729" s="717"/>
      <c r="C729" s="712"/>
      <c r="D729" s="713"/>
      <c r="E729" s="713"/>
      <c r="F729" s="713"/>
      <c r="G729" s="713"/>
      <c r="H729" s="713"/>
      <c r="I729" s="713"/>
      <c r="J729" s="713"/>
      <c r="K729" s="714"/>
      <c r="L729" s="718">
        <v>22.216999999999999</v>
      </c>
    </row>
    <row r="730" spans="1:12" hidden="1">
      <c r="A730" s="712"/>
      <c r="B730" s="722"/>
      <c r="C730" s="712"/>
      <c r="D730" s="713"/>
      <c r="E730" s="713"/>
      <c r="F730" s="713"/>
      <c r="G730" s="713"/>
      <c r="H730" s="713"/>
      <c r="I730" s="720"/>
      <c r="J730" s="713"/>
      <c r="K730" s="714"/>
      <c r="L730" s="718"/>
    </row>
    <row r="731" spans="1:12" hidden="1">
      <c r="A731" s="712"/>
      <c r="B731" s="722"/>
      <c r="C731" s="712"/>
      <c r="D731" s="713"/>
      <c r="E731" s="713"/>
      <c r="F731" s="713"/>
      <c r="G731" s="713"/>
      <c r="H731" s="713"/>
      <c r="I731" s="720"/>
      <c r="J731" s="713"/>
      <c r="K731" s="714"/>
      <c r="L731" s="718"/>
    </row>
    <row r="732" spans="1:12" hidden="1">
      <c r="A732" s="712"/>
      <c r="B732" s="722"/>
      <c r="C732" s="712"/>
      <c r="D732" s="713"/>
      <c r="E732" s="713"/>
      <c r="F732" s="713"/>
      <c r="G732" s="713"/>
      <c r="H732" s="713"/>
      <c r="I732" s="720"/>
      <c r="J732" s="713"/>
      <c r="K732" s="714"/>
      <c r="L732" s="718"/>
    </row>
    <row r="733" spans="1:12" hidden="1">
      <c r="A733" s="712"/>
      <c r="B733" s="722"/>
      <c r="C733" s="712"/>
      <c r="D733" s="713"/>
      <c r="E733" s="713"/>
      <c r="F733" s="713"/>
      <c r="G733" s="713"/>
      <c r="H733" s="713"/>
      <c r="I733" s="720"/>
      <c r="J733" s="713"/>
      <c r="K733" s="714"/>
      <c r="L733" s="718"/>
    </row>
    <row r="734" spans="1:12" hidden="1">
      <c r="A734" s="712"/>
      <c r="B734" s="722"/>
      <c r="C734" s="712"/>
      <c r="D734" s="713"/>
      <c r="E734" s="713"/>
      <c r="F734" s="713"/>
      <c r="G734" s="713"/>
      <c r="H734" s="713"/>
      <c r="I734" s="720"/>
      <c r="J734" s="713"/>
      <c r="K734" s="714"/>
      <c r="L734" s="718"/>
    </row>
    <row r="735" spans="1:12" hidden="1">
      <c r="A735" s="712"/>
      <c r="B735" s="717"/>
      <c r="C735" s="712"/>
      <c r="D735" s="713"/>
      <c r="E735" s="713"/>
      <c r="F735" s="713"/>
      <c r="G735" s="713"/>
      <c r="H735" s="713"/>
      <c r="I735" s="713"/>
      <c r="J735" s="720"/>
      <c r="K735" s="714"/>
      <c r="L735" s="718">
        <v>5.4820000000000002</v>
      </c>
    </row>
    <row r="736" spans="1:12" hidden="1">
      <c r="A736" s="712"/>
      <c r="B736" s="722"/>
      <c r="C736" s="712"/>
      <c r="D736" s="713"/>
      <c r="E736" s="713"/>
      <c r="F736" s="713"/>
      <c r="G736" s="713"/>
      <c r="H736" s="713"/>
      <c r="I736" s="720"/>
      <c r="J736" s="713"/>
      <c r="K736" s="714"/>
      <c r="L736" s="718"/>
    </row>
    <row r="737" spans="1:12" hidden="1">
      <c r="A737" s="712"/>
      <c r="B737" s="722"/>
      <c r="C737" s="712"/>
      <c r="D737" s="713"/>
      <c r="E737" s="713"/>
      <c r="F737" s="713"/>
      <c r="G737" s="713"/>
      <c r="H737" s="713"/>
      <c r="I737" s="720"/>
      <c r="J737" s="713"/>
      <c r="K737" s="714"/>
      <c r="L737" s="718"/>
    </row>
    <row r="738" spans="1:12" hidden="1">
      <c r="A738" s="712"/>
      <c r="B738" s="722"/>
      <c r="C738" s="712"/>
      <c r="D738" s="713"/>
      <c r="E738" s="713"/>
      <c r="F738" s="713"/>
      <c r="G738" s="713"/>
      <c r="H738" s="713"/>
      <c r="I738" s="720"/>
      <c r="J738" s="713"/>
      <c r="K738" s="714"/>
      <c r="L738" s="718"/>
    </row>
    <row r="739" spans="1:12" hidden="1">
      <c r="A739" s="712"/>
      <c r="B739" s="717"/>
      <c r="C739" s="712"/>
      <c r="D739" s="713"/>
      <c r="E739" s="713"/>
      <c r="F739" s="713"/>
      <c r="G739" s="713"/>
      <c r="H739" s="713"/>
      <c r="I739" s="713"/>
      <c r="J739" s="713"/>
      <c r="K739" s="714"/>
      <c r="L739" s="718">
        <v>0.121</v>
      </c>
    </row>
    <row r="740" spans="1:12" hidden="1">
      <c r="A740" s="712"/>
      <c r="B740" s="719"/>
      <c r="C740" s="712"/>
      <c r="D740" s="713"/>
      <c r="E740" s="713"/>
      <c r="F740" s="713"/>
      <c r="G740" s="713"/>
      <c r="H740" s="713"/>
      <c r="I740" s="713"/>
      <c r="J740" s="713"/>
      <c r="K740" s="714"/>
      <c r="L740" s="718"/>
    </row>
    <row r="741" spans="1:12" hidden="1">
      <c r="A741" s="712"/>
      <c r="B741" s="719"/>
      <c r="C741" s="712"/>
      <c r="D741" s="713"/>
      <c r="E741" s="713"/>
      <c r="F741" s="713"/>
      <c r="G741" s="713"/>
      <c r="H741" s="713"/>
      <c r="I741" s="713"/>
      <c r="J741" s="713"/>
      <c r="K741" s="714"/>
      <c r="L741" s="718"/>
    </row>
    <row r="742" spans="1:12" hidden="1">
      <c r="A742" s="712"/>
      <c r="B742" s="717"/>
      <c r="C742" s="712"/>
      <c r="D742" s="713"/>
      <c r="E742" s="713"/>
      <c r="F742" s="713"/>
      <c r="G742" s="713"/>
      <c r="H742" s="713"/>
      <c r="I742" s="713"/>
      <c r="J742" s="713"/>
      <c r="K742" s="714"/>
      <c r="L742" s="718">
        <v>2.0009999999999999</v>
      </c>
    </row>
    <row r="743" spans="1:12" hidden="1">
      <c r="A743" s="712"/>
      <c r="B743" s="719"/>
      <c r="C743" s="712"/>
      <c r="D743" s="713"/>
      <c r="E743" s="713"/>
      <c r="F743" s="713"/>
      <c r="G743" s="713"/>
      <c r="H743" s="713"/>
      <c r="I743" s="720"/>
      <c r="J743" s="713"/>
      <c r="K743" s="714"/>
      <c r="L743" s="718"/>
    </row>
    <row r="744" spans="1:12" hidden="1">
      <c r="A744" s="712"/>
      <c r="B744" s="719"/>
      <c r="C744" s="712"/>
      <c r="D744" s="713"/>
      <c r="E744" s="713"/>
      <c r="F744" s="713"/>
      <c r="G744" s="713"/>
      <c r="H744" s="713"/>
      <c r="I744" s="720"/>
      <c r="J744" s="713"/>
      <c r="K744" s="714"/>
      <c r="L744" s="718"/>
    </row>
    <row r="745" spans="1:12" hidden="1">
      <c r="A745" s="712"/>
      <c r="B745" s="719"/>
      <c r="C745" s="712"/>
      <c r="D745" s="713"/>
      <c r="E745" s="713"/>
      <c r="F745" s="713"/>
      <c r="G745" s="713"/>
      <c r="H745" s="713"/>
      <c r="I745" s="720"/>
      <c r="J745" s="713"/>
      <c r="K745" s="714"/>
      <c r="L745" s="718"/>
    </row>
    <row r="746" spans="1:12" hidden="1">
      <c r="A746" s="712"/>
      <c r="B746" s="719"/>
      <c r="C746" s="712"/>
      <c r="D746" s="713"/>
      <c r="E746" s="713"/>
      <c r="F746" s="713"/>
      <c r="G746" s="713"/>
      <c r="H746" s="713"/>
      <c r="I746" s="720"/>
      <c r="J746" s="713"/>
      <c r="K746" s="714"/>
      <c r="L746" s="718"/>
    </row>
    <row r="747" spans="1:12" hidden="1">
      <c r="A747" s="712"/>
      <c r="B747" s="717"/>
      <c r="C747" s="712"/>
      <c r="D747" s="713"/>
      <c r="E747" s="713"/>
      <c r="F747" s="713"/>
      <c r="G747" s="713"/>
      <c r="H747" s="713"/>
      <c r="I747" s="713"/>
      <c r="J747" s="720"/>
      <c r="K747" s="714"/>
      <c r="L747" s="718">
        <v>0.36199999999999999</v>
      </c>
    </row>
    <row r="748" spans="1:12" hidden="1">
      <c r="A748" s="712"/>
      <c r="B748" s="717"/>
      <c r="C748" s="712"/>
      <c r="D748" s="713"/>
      <c r="E748" s="713"/>
      <c r="F748" s="713"/>
      <c r="G748" s="713"/>
      <c r="H748" s="713"/>
      <c r="I748" s="720"/>
      <c r="J748" s="713"/>
      <c r="K748" s="714"/>
      <c r="L748" s="718"/>
    </row>
    <row r="749" spans="1:12" hidden="1">
      <c r="A749" s="712"/>
      <c r="B749" s="717"/>
      <c r="C749" s="712"/>
      <c r="D749" s="713"/>
      <c r="E749" s="713"/>
      <c r="F749" s="713"/>
      <c r="G749" s="713"/>
      <c r="H749" s="713"/>
      <c r="I749" s="720"/>
      <c r="J749" s="713"/>
      <c r="K749" s="714"/>
      <c r="L749" s="718"/>
    </row>
    <row r="750" spans="1:12" hidden="1">
      <c r="A750" s="712"/>
      <c r="B750" s="719"/>
      <c r="C750" s="712"/>
      <c r="D750" s="713"/>
      <c r="E750" s="713"/>
      <c r="F750" s="713"/>
      <c r="G750" s="713"/>
      <c r="H750" s="713"/>
      <c r="I750" s="720"/>
      <c r="J750" s="713"/>
      <c r="K750" s="714"/>
      <c r="L750" s="718"/>
    </row>
    <row r="751" spans="1:12" hidden="1">
      <c r="A751" s="712"/>
      <c r="B751" s="719"/>
      <c r="C751" s="712"/>
      <c r="D751" s="713"/>
      <c r="E751" s="713"/>
      <c r="F751" s="713"/>
      <c r="G751" s="713"/>
      <c r="H751" s="713"/>
      <c r="I751" s="720"/>
      <c r="J751" s="713"/>
      <c r="K751" s="714"/>
      <c r="L751" s="718"/>
    </row>
    <row r="752" spans="1:12" hidden="1">
      <c r="A752" s="712"/>
      <c r="B752" s="717"/>
      <c r="C752" s="712"/>
      <c r="D752" s="713"/>
      <c r="E752" s="713"/>
      <c r="F752" s="713"/>
      <c r="G752" s="713"/>
      <c r="H752" s="713"/>
      <c r="I752" s="713"/>
      <c r="J752" s="713"/>
      <c r="K752" s="714"/>
      <c r="L752" s="718">
        <v>1.0999999999999999E-2</v>
      </c>
    </row>
    <row r="753" spans="1:12" hidden="1">
      <c r="A753" s="712"/>
      <c r="B753" s="717"/>
      <c r="C753" s="712"/>
      <c r="D753" s="713"/>
      <c r="E753" s="713"/>
      <c r="F753" s="713"/>
      <c r="G753" s="713"/>
      <c r="H753" s="713"/>
      <c r="I753" s="713"/>
      <c r="J753" s="713"/>
      <c r="K753" s="714"/>
      <c r="L753" s="718"/>
    </row>
    <row r="754" spans="1:12" hidden="1">
      <c r="A754" s="712"/>
      <c r="B754" s="717"/>
      <c r="C754" s="712"/>
      <c r="D754" s="713"/>
      <c r="E754" s="713"/>
      <c r="F754" s="713"/>
      <c r="G754" s="713"/>
      <c r="H754" s="713"/>
      <c r="I754" s="713"/>
      <c r="J754" s="713"/>
      <c r="K754" s="714"/>
      <c r="L754" s="718">
        <v>1.266</v>
      </c>
    </row>
    <row r="755" spans="1:12" hidden="1">
      <c r="A755" s="712"/>
      <c r="B755" s="719"/>
      <c r="C755" s="712"/>
      <c r="D755" s="713"/>
      <c r="E755" s="713"/>
      <c r="F755" s="713"/>
      <c r="G755" s="713"/>
      <c r="H755" s="713"/>
      <c r="I755" s="713"/>
      <c r="J755" s="713"/>
      <c r="K755" s="714"/>
      <c r="L755" s="718"/>
    </row>
    <row r="756" spans="1:12" hidden="1">
      <c r="A756" s="712"/>
      <c r="B756" s="717"/>
      <c r="C756" s="712"/>
      <c r="D756" s="713"/>
      <c r="E756" s="713"/>
      <c r="F756" s="713"/>
      <c r="G756" s="713"/>
      <c r="H756" s="713"/>
      <c r="I756" s="713"/>
      <c r="J756" s="713"/>
      <c r="K756" s="714"/>
      <c r="L756" s="718">
        <v>3.7999999999999999E-2</v>
      </c>
    </row>
    <row r="757" spans="1:12" hidden="1">
      <c r="A757" s="712"/>
      <c r="B757" s="719"/>
      <c r="C757" s="712"/>
      <c r="D757" s="713"/>
      <c r="E757" s="713"/>
      <c r="F757" s="713"/>
      <c r="G757" s="713"/>
      <c r="H757" s="713"/>
      <c r="I757" s="713"/>
      <c r="J757" s="713"/>
      <c r="K757" s="714"/>
      <c r="L757" s="718"/>
    </row>
    <row r="758" spans="1:12" hidden="1">
      <c r="A758" s="712"/>
      <c r="B758" s="717"/>
      <c r="C758" s="712"/>
      <c r="D758" s="713"/>
      <c r="E758" s="713"/>
      <c r="F758" s="713"/>
      <c r="G758" s="713"/>
      <c r="H758" s="713"/>
      <c r="I758" s="713"/>
      <c r="J758" s="713"/>
      <c r="K758" s="714"/>
      <c r="L758" s="718">
        <v>2.5979999999999999</v>
      </c>
    </row>
    <row r="759" spans="1:12" hidden="1">
      <c r="A759" s="712"/>
      <c r="B759" s="717"/>
      <c r="C759" s="712"/>
      <c r="D759" s="713"/>
      <c r="E759" s="713"/>
      <c r="F759" s="713"/>
      <c r="G759" s="713"/>
      <c r="H759" s="713"/>
      <c r="I759" s="713"/>
      <c r="J759" s="713"/>
      <c r="K759" s="714"/>
      <c r="L759" s="718"/>
    </row>
    <row r="760" spans="1:12" hidden="1">
      <c r="A760" s="712"/>
      <c r="B760" s="717"/>
      <c r="C760" s="712"/>
      <c r="D760" s="713"/>
      <c r="E760" s="713"/>
      <c r="F760" s="713"/>
      <c r="G760" s="713"/>
      <c r="H760" s="713"/>
      <c r="I760" s="713"/>
      <c r="J760" s="713"/>
      <c r="K760" s="714"/>
      <c r="L760" s="718">
        <v>0.78600000000000003</v>
      </c>
    </row>
    <row r="761" spans="1:12" hidden="1">
      <c r="A761" s="712"/>
      <c r="B761" s="717"/>
      <c r="C761" s="712"/>
      <c r="D761" s="713"/>
      <c r="E761" s="713"/>
      <c r="F761" s="713"/>
      <c r="G761" s="713"/>
      <c r="H761" s="713"/>
      <c r="I761" s="713"/>
      <c r="J761" s="713"/>
      <c r="K761" s="714"/>
      <c r="L761" s="718"/>
    </row>
    <row r="762" spans="1:12" hidden="1">
      <c r="A762" s="712"/>
      <c r="B762" s="717"/>
      <c r="C762" s="712"/>
      <c r="D762" s="713"/>
      <c r="E762" s="713"/>
      <c r="F762" s="713"/>
      <c r="G762" s="713"/>
      <c r="H762" s="713"/>
      <c r="I762" s="713"/>
      <c r="J762" s="713"/>
      <c r="K762" s="714"/>
      <c r="L762" s="718">
        <v>75.599999999999994</v>
      </c>
    </row>
    <row r="763" spans="1:12" hidden="1">
      <c r="A763" s="712"/>
      <c r="B763" s="717"/>
      <c r="C763" s="712"/>
      <c r="D763" s="713"/>
      <c r="E763" s="713"/>
      <c r="F763" s="713"/>
      <c r="G763" s="713"/>
      <c r="H763" s="713"/>
      <c r="I763" s="713"/>
      <c r="J763" s="713"/>
      <c r="K763" s="714"/>
      <c r="L763" s="718">
        <v>124.39400000000001</v>
      </c>
    </row>
    <row r="764" spans="1:12" hidden="1">
      <c r="A764" s="712"/>
      <c r="B764" s="717"/>
      <c r="C764" s="712"/>
      <c r="D764" s="713"/>
      <c r="E764" s="713"/>
      <c r="F764" s="713"/>
      <c r="G764" s="713"/>
      <c r="H764" s="713"/>
      <c r="I764" s="713"/>
      <c r="J764" s="713"/>
      <c r="K764" s="714"/>
      <c r="L764" s="718">
        <v>36.723999999999997</v>
      </c>
    </row>
    <row r="765" spans="1:12" hidden="1">
      <c r="A765" s="712"/>
      <c r="B765" s="717"/>
      <c r="C765" s="712"/>
      <c r="D765" s="713"/>
      <c r="E765" s="713"/>
      <c r="F765" s="713"/>
      <c r="G765" s="713"/>
      <c r="H765" s="713"/>
      <c r="I765" s="713"/>
      <c r="J765" s="713"/>
      <c r="K765" s="714"/>
      <c r="L765" s="718">
        <v>161.11799999999999</v>
      </c>
    </row>
    <row r="766" spans="1:12" hidden="1">
      <c r="A766" s="712"/>
      <c r="B766" s="717"/>
      <c r="C766" s="712"/>
      <c r="D766" s="713"/>
      <c r="E766" s="713"/>
      <c r="F766" s="713"/>
      <c r="G766" s="713"/>
      <c r="H766" s="713"/>
      <c r="I766" s="713"/>
      <c r="J766" s="713"/>
      <c r="K766" s="714"/>
      <c r="L766" s="718">
        <v>1</v>
      </c>
    </row>
    <row r="767" spans="1:12" hidden="1">
      <c r="A767" s="712"/>
      <c r="B767" s="717"/>
      <c r="C767" s="712"/>
      <c r="D767" s="713"/>
      <c r="E767" s="713"/>
      <c r="F767" s="713"/>
      <c r="G767" s="713"/>
      <c r="H767" s="713"/>
      <c r="I767" s="713"/>
      <c r="J767" s="713"/>
      <c r="K767" s="714"/>
      <c r="L767" s="718">
        <v>58.613</v>
      </c>
    </row>
    <row r="768" spans="1:12" hidden="1">
      <c r="A768" s="712"/>
      <c r="B768" s="719"/>
      <c r="C768" s="712"/>
      <c r="D768" s="713"/>
      <c r="E768" s="713"/>
      <c r="F768" s="713"/>
      <c r="G768" s="713"/>
      <c r="H768" s="713"/>
      <c r="I768" s="713"/>
      <c r="J768" s="713"/>
      <c r="K768" s="714"/>
      <c r="L768" s="718"/>
    </row>
    <row r="769" spans="1:12" hidden="1">
      <c r="A769" s="712"/>
      <c r="B769" s="719"/>
      <c r="C769" s="712"/>
      <c r="D769" s="713"/>
      <c r="E769" s="713"/>
      <c r="F769" s="713"/>
      <c r="G769" s="713"/>
      <c r="H769" s="713"/>
      <c r="I769" s="713"/>
      <c r="J769" s="713"/>
      <c r="K769" s="714"/>
      <c r="L769" s="718"/>
    </row>
    <row r="770" spans="1:12" hidden="1">
      <c r="A770" s="712"/>
      <c r="B770" s="719"/>
      <c r="C770" s="712"/>
      <c r="D770" s="713"/>
      <c r="E770" s="713"/>
      <c r="F770" s="713"/>
      <c r="G770" s="713"/>
      <c r="H770" s="713"/>
      <c r="I770" s="713"/>
      <c r="J770" s="713"/>
      <c r="K770" s="714"/>
      <c r="L770" s="718"/>
    </row>
    <row r="771" spans="1:12" hidden="1">
      <c r="A771" s="712"/>
      <c r="B771" s="719"/>
      <c r="C771" s="712"/>
      <c r="D771" s="713"/>
      <c r="E771" s="713"/>
      <c r="F771" s="713"/>
      <c r="G771" s="713"/>
      <c r="H771" s="713"/>
      <c r="I771" s="713"/>
      <c r="J771" s="713"/>
      <c r="K771" s="714"/>
      <c r="L771" s="718"/>
    </row>
    <row r="772" spans="1:12">
      <c r="A772" s="712"/>
      <c r="B772" s="717"/>
      <c r="C772" s="712"/>
      <c r="D772" s="713"/>
      <c r="E772" s="713"/>
      <c r="F772" s="713"/>
      <c r="G772" s="713"/>
      <c r="H772" s="713"/>
      <c r="I772" s="720"/>
      <c r="J772" s="713"/>
      <c r="K772" s="714"/>
      <c r="L772" s="718">
        <v>0.95799999999999996</v>
      </c>
    </row>
    <row r="773" spans="1:12" hidden="1">
      <c r="A773" s="712"/>
      <c r="B773" s="717"/>
      <c r="C773" s="712"/>
      <c r="D773" s="713"/>
      <c r="E773" s="713"/>
      <c r="F773" s="713"/>
      <c r="G773" s="713"/>
      <c r="H773" s="713"/>
      <c r="I773" s="713"/>
      <c r="J773" s="713"/>
      <c r="K773" s="714"/>
      <c r="L773" s="718">
        <v>0.17399999999999999</v>
      </c>
    </row>
    <row r="774" spans="1:12" hidden="1">
      <c r="A774" s="712"/>
      <c r="B774" s="717"/>
      <c r="C774" s="712"/>
      <c r="D774" s="713"/>
      <c r="E774" s="713"/>
      <c r="F774" s="713"/>
      <c r="G774" s="713"/>
      <c r="H774" s="713"/>
      <c r="I774" s="713"/>
      <c r="J774" s="713"/>
      <c r="K774" s="714"/>
      <c r="L774" s="718">
        <v>3.7999999999999999E-2</v>
      </c>
    </row>
    <row r="775" spans="1:12" hidden="1">
      <c r="A775" s="712"/>
      <c r="B775" s="717"/>
      <c r="C775" s="712"/>
      <c r="D775" s="713"/>
      <c r="E775" s="713"/>
      <c r="F775" s="713"/>
      <c r="G775" s="713"/>
      <c r="H775" s="713"/>
      <c r="I775" s="713"/>
      <c r="J775" s="713"/>
      <c r="K775" s="714"/>
      <c r="L775" s="718"/>
    </row>
    <row r="776" spans="1:12" hidden="1">
      <c r="A776" s="712"/>
      <c r="B776" s="717"/>
      <c r="C776" s="712"/>
      <c r="D776" s="713"/>
      <c r="E776" s="713"/>
      <c r="F776" s="713"/>
      <c r="G776" s="713"/>
      <c r="H776" s="713"/>
      <c r="I776" s="713"/>
      <c r="J776" s="713"/>
      <c r="K776" s="714"/>
      <c r="L776" s="718">
        <v>0.16300000000000001</v>
      </c>
    </row>
    <row r="777" spans="1:12" hidden="1">
      <c r="A777" s="712"/>
      <c r="B777" s="717"/>
      <c r="C777" s="712"/>
      <c r="D777" s="713"/>
      <c r="E777" s="713"/>
      <c r="F777" s="713"/>
      <c r="G777" s="713"/>
      <c r="H777" s="713"/>
      <c r="I777" s="713"/>
      <c r="J777" s="713"/>
      <c r="K777" s="714"/>
      <c r="L777" s="718"/>
    </row>
    <row r="778" spans="1:12">
      <c r="A778" s="712"/>
      <c r="B778" s="717"/>
      <c r="C778" s="712"/>
      <c r="D778" s="713"/>
      <c r="E778" s="713"/>
      <c r="F778" s="713"/>
      <c r="G778" s="713"/>
      <c r="H778" s="713"/>
      <c r="I778" s="713"/>
      <c r="J778" s="720"/>
      <c r="K778" s="714"/>
      <c r="L778" s="718">
        <v>3.669</v>
      </c>
    </row>
    <row r="779" spans="1:12">
      <c r="A779" s="712"/>
      <c r="B779" s="717"/>
      <c r="C779" s="712"/>
      <c r="D779" s="713"/>
      <c r="E779" s="713"/>
      <c r="F779" s="713"/>
      <c r="G779" s="713"/>
      <c r="H779" s="713"/>
      <c r="I779" s="720"/>
      <c r="J779" s="713"/>
      <c r="K779" s="714"/>
      <c r="L779" s="718"/>
    </row>
    <row r="780" spans="1:12">
      <c r="A780" s="712"/>
      <c r="B780" s="717"/>
      <c r="C780" s="712"/>
      <c r="D780" s="713"/>
      <c r="E780" s="713"/>
      <c r="F780" s="713"/>
      <c r="G780" s="713"/>
      <c r="H780" s="713"/>
      <c r="I780" s="720"/>
      <c r="J780" s="713"/>
      <c r="K780" s="714"/>
      <c r="L780" s="718"/>
    </row>
    <row r="781" spans="1:12">
      <c r="A781" s="712"/>
      <c r="B781" s="717"/>
      <c r="C781" s="712"/>
      <c r="D781" s="713"/>
      <c r="E781" s="713"/>
      <c r="F781" s="713"/>
      <c r="G781" s="713"/>
      <c r="H781" s="713"/>
      <c r="I781" s="720"/>
      <c r="J781" s="713"/>
      <c r="K781" s="714"/>
      <c r="L781" s="718"/>
    </row>
    <row r="782" spans="1:12" ht="17.45" customHeight="1">
      <c r="A782" s="712"/>
      <c r="B782" s="717"/>
      <c r="C782" s="712"/>
      <c r="D782" s="713"/>
      <c r="E782" s="713"/>
      <c r="F782" s="713"/>
      <c r="G782" s="713"/>
      <c r="H782" s="713"/>
      <c r="I782" s="720"/>
      <c r="J782" s="713"/>
      <c r="K782" s="714"/>
      <c r="L782" s="718"/>
    </row>
    <row r="783" spans="1:12" ht="17.45" customHeight="1">
      <c r="A783" s="712"/>
      <c r="B783" s="717"/>
      <c r="C783" s="712"/>
      <c r="D783" s="713"/>
      <c r="E783" s="713"/>
      <c r="F783" s="713"/>
      <c r="G783" s="713"/>
      <c r="H783" s="713"/>
      <c r="I783" s="720"/>
      <c r="J783" s="713"/>
      <c r="K783" s="714"/>
      <c r="L783" s="718"/>
    </row>
    <row r="784" spans="1:12" hidden="1">
      <c r="A784" s="712"/>
      <c r="B784" s="717"/>
      <c r="C784" s="712"/>
      <c r="D784" s="713"/>
      <c r="E784" s="713"/>
      <c r="F784" s="713"/>
      <c r="G784" s="713"/>
      <c r="H784" s="713"/>
      <c r="I784" s="713"/>
      <c r="J784" s="720"/>
      <c r="K784" s="714"/>
      <c r="L784" s="718">
        <v>0.38400000000000001</v>
      </c>
    </row>
    <row r="785" spans="1:12" hidden="1">
      <c r="A785" s="712"/>
      <c r="B785" s="717"/>
      <c r="C785" s="712"/>
      <c r="D785" s="713"/>
      <c r="E785" s="713"/>
      <c r="F785" s="713"/>
      <c r="G785" s="713"/>
      <c r="H785" s="713"/>
      <c r="I785" s="720"/>
      <c r="J785" s="713"/>
      <c r="K785" s="714"/>
      <c r="L785" s="718"/>
    </row>
    <row r="786" spans="1:12" hidden="1">
      <c r="A786" s="712"/>
      <c r="B786" s="717"/>
      <c r="C786" s="712"/>
      <c r="D786" s="713"/>
      <c r="E786" s="713"/>
      <c r="F786" s="713"/>
      <c r="G786" s="713"/>
      <c r="H786" s="713"/>
      <c r="I786" s="720"/>
      <c r="J786" s="713"/>
      <c r="K786" s="714"/>
      <c r="L786" s="718"/>
    </row>
    <row r="787" spans="1:12" hidden="1">
      <c r="A787" s="712"/>
      <c r="B787" s="717"/>
      <c r="C787" s="712"/>
      <c r="D787" s="713"/>
      <c r="E787" s="713"/>
      <c r="F787" s="713"/>
      <c r="G787" s="713"/>
      <c r="H787" s="713"/>
      <c r="I787" s="720"/>
      <c r="J787" s="713"/>
      <c r="K787" s="714"/>
      <c r="L787" s="718"/>
    </row>
    <row r="788" spans="1:12" hidden="1">
      <c r="A788" s="712"/>
      <c r="B788" s="717"/>
      <c r="C788" s="712"/>
      <c r="D788" s="713"/>
      <c r="E788" s="713"/>
      <c r="F788" s="713"/>
      <c r="G788" s="713"/>
      <c r="H788" s="713"/>
      <c r="I788" s="720"/>
      <c r="J788" s="713"/>
      <c r="K788" s="714"/>
      <c r="L788" s="718"/>
    </row>
    <row r="789" spans="1:12" hidden="1">
      <c r="A789" s="712"/>
      <c r="B789" s="717"/>
      <c r="C789" s="712"/>
      <c r="D789" s="713"/>
      <c r="E789" s="713"/>
      <c r="F789" s="713"/>
      <c r="G789" s="713"/>
      <c r="H789" s="713"/>
      <c r="I789" s="720"/>
      <c r="J789" s="713"/>
      <c r="K789" s="714"/>
      <c r="L789" s="718"/>
    </row>
    <row r="790" spans="1:12" hidden="1">
      <c r="A790" s="712"/>
      <c r="B790" s="717"/>
      <c r="C790" s="712"/>
      <c r="D790" s="713"/>
      <c r="E790" s="713"/>
      <c r="F790" s="713"/>
      <c r="G790" s="713"/>
      <c r="H790" s="713"/>
      <c r="I790" s="720"/>
      <c r="J790" s="713"/>
      <c r="K790" s="714"/>
      <c r="L790" s="718"/>
    </row>
    <row r="791" spans="1:12" hidden="1">
      <c r="A791" s="712"/>
      <c r="B791" s="717"/>
      <c r="C791" s="712"/>
      <c r="D791" s="713"/>
      <c r="E791" s="713"/>
      <c r="F791" s="713"/>
      <c r="G791" s="713"/>
      <c r="H791" s="713"/>
      <c r="I791" s="713"/>
      <c r="J791" s="713"/>
      <c r="K791" s="714"/>
      <c r="L791" s="718">
        <v>0.11799999999999999</v>
      </c>
    </row>
    <row r="792" spans="1:12" hidden="1">
      <c r="A792" s="712"/>
      <c r="B792" s="717"/>
      <c r="C792" s="712"/>
      <c r="D792" s="713"/>
      <c r="E792" s="713"/>
      <c r="F792" s="713"/>
      <c r="G792" s="713"/>
      <c r="H792" s="713"/>
      <c r="I792" s="713"/>
      <c r="J792" s="713"/>
      <c r="K792" s="714"/>
      <c r="L792" s="718"/>
    </row>
    <row r="793" spans="1:12" hidden="1">
      <c r="A793" s="712"/>
      <c r="B793" s="717"/>
      <c r="C793" s="712"/>
      <c r="D793" s="713"/>
      <c r="E793" s="713"/>
      <c r="F793" s="713"/>
      <c r="G793" s="713"/>
      <c r="H793" s="713"/>
      <c r="I793" s="713"/>
      <c r="J793" s="713"/>
      <c r="K793" s="714"/>
      <c r="L793" s="718">
        <v>0.503</v>
      </c>
    </row>
    <row r="794" spans="1:12" hidden="1">
      <c r="A794" s="712"/>
      <c r="B794" s="717"/>
      <c r="C794" s="712"/>
      <c r="D794" s="713"/>
      <c r="E794" s="713"/>
      <c r="F794" s="713"/>
      <c r="G794" s="713"/>
      <c r="H794" s="713"/>
      <c r="I794" s="713"/>
      <c r="J794" s="713"/>
      <c r="K794" s="714"/>
      <c r="L794" s="718"/>
    </row>
    <row r="795" spans="1:12">
      <c r="A795" s="712"/>
      <c r="B795" s="717"/>
      <c r="C795" s="712"/>
      <c r="D795" s="713"/>
      <c r="E795" s="713"/>
      <c r="F795" s="713"/>
      <c r="G795" s="713"/>
      <c r="H795" s="713"/>
      <c r="I795" s="720"/>
      <c r="J795" s="713"/>
      <c r="K795" s="714"/>
      <c r="L795" s="718">
        <v>4.5640000000000001</v>
      </c>
    </row>
    <row r="796" spans="1:12">
      <c r="A796" s="712"/>
      <c r="B796" s="717"/>
      <c r="C796" s="712"/>
      <c r="D796" s="713"/>
      <c r="E796" s="713"/>
      <c r="F796" s="713"/>
      <c r="G796" s="713"/>
      <c r="H796" s="713"/>
      <c r="I796" s="713"/>
      <c r="J796" s="713"/>
      <c r="K796" s="714"/>
      <c r="L796" s="718">
        <v>0.38</v>
      </c>
    </row>
    <row r="797" spans="1:12" hidden="1">
      <c r="A797" s="712"/>
      <c r="B797" s="717"/>
      <c r="C797" s="712"/>
      <c r="D797" s="713"/>
      <c r="E797" s="713"/>
      <c r="F797" s="713"/>
      <c r="G797" s="713"/>
      <c r="H797" s="713"/>
      <c r="I797" s="713"/>
      <c r="J797" s="713"/>
      <c r="K797" s="714"/>
      <c r="L797" s="718">
        <v>0.753</v>
      </c>
    </row>
    <row r="798" spans="1:12" hidden="1">
      <c r="A798" s="712"/>
      <c r="B798" s="717"/>
      <c r="C798" s="712"/>
      <c r="D798" s="713"/>
      <c r="E798" s="713"/>
      <c r="F798" s="713"/>
      <c r="G798" s="713"/>
      <c r="H798" s="713"/>
      <c r="I798" s="713"/>
      <c r="J798" s="713"/>
      <c r="K798" s="714"/>
      <c r="L798" s="718"/>
    </row>
    <row r="799" spans="1:12">
      <c r="A799" s="712"/>
      <c r="B799" s="717"/>
      <c r="C799" s="712"/>
      <c r="D799" s="713"/>
      <c r="E799" s="713"/>
      <c r="F799" s="713"/>
      <c r="G799" s="713"/>
      <c r="H799" s="713"/>
      <c r="I799" s="713"/>
      <c r="J799" s="720"/>
      <c r="K799" s="714"/>
      <c r="L799" s="718">
        <v>15.727</v>
      </c>
    </row>
    <row r="800" spans="1:12">
      <c r="A800" s="712"/>
      <c r="B800" s="717"/>
      <c r="C800" s="712"/>
      <c r="D800" s="713"/>
      <c r="E800" s="713"/>
      <c r="F800" s="713"/>
      <c r="G800" s="713"/>
      <c r="H800" s="713"/>
      <c r="I800" s="720"/>
      <c r="J800" s="713"/>
      <c r="K800" s="714"/>
      <c r="L800" s="718"/>
    </row>
    <row r="801" spans="1:12">
      <c r="A801" s="712"/>
      <c r="B801" s="719"/>
      <c r="C801" s="712"/>
      <c r="D801" s="713"/>
      <c r="E801" s="713"/>
      <c r="F801" s="713"/>
      <c r="G801" s="713"/>
      <c r="H801" s="713"/>
      <c r="I801" s="720"/>
      <c r="J801" s="713"/>
      <c r="K801" s="714"/>
      <c r="L801" s="718"/>
    </row>
    <row r="802" spans="1:12">
      <c r="A802" s="712"/>
      <c r="B802" s="719"/>
      <c r="C802" s="712"/>
      <c r="D802" s="713"/>
      <c r="E802" s="713"/>
      <c r="F802" s="713"/>
      <c r="G802" s="713"/>
      <c r="H802" s="713"/>
      <c r="I802" s="720"/>
      <c r="J802" s="713"/>
      <c r="K802" s="714"/>
      <c r="L802" s="718"/>
    </row>
    <row r="803" spans="1:12">
      <c r="A803" s="712"/>
      <c r="B803" s="719"/>
      <c r="C803" s="712"/>
      <c r="D803" s="713"/>
      <c r="E803" s="713"/>
      <c r="F803" s="713"/>
      <c r="G803" s="713"/>
      <c r="H803" s="713"/>
      <c r="I803" s="720"/>
      <c r="J803" s="713"/>
      <c r="K803" s="714"/>
      <c r="L803" s="718"/>
    </row>
    <row r="804" spans="1:12">
      <c r="A804" s="712"/>
      <c r="B804" s="717"/>
      <c r="C804" s="712"/>
      <c r="D804" s="713"/>
      <c r="E804" s="713"/>
      <c r="F804" s="713"/>
      <c r="G804" s="713"/>
      <c r="H804" s="713"/>
      <c r="I804" s="720"/>
      <c r="J804" s="713"/>
      <c r="K804" s="714"/>
      <c r="L804" s="718"/>
    </row>
    <row r="805" spans="1:12">
      <c r="A805" s="709"/>
      <c r="B805" s="710"/>
      <c r="C805" s="712"/>
      <c r="D805" s="713"/>
      <c r="E805" s="713"/>
      <c r="F805" s="713"/>
      <c r="G805" s="713"/>
      <c r="H805" s="713"/>
      <c r="I805" s="720"/>
      <c r="J805" s="713"/>
      <c r="K805" s="714"/>
      <c r="L805" s="718"/>
    </row>
    <row r="806" spans="1:12" hidden="1">
      <c r="A806" s="712"/>
      <c r="B806" s="717"/>
      <c r="C806" s="712"/>
      <c r="D806" s="713"/>
      <c r="E806" s="713"/>
      <c r="F806" s="713"/>
      <c r="G806" s="713"/>
      <c r="H806" s="713"/>
      <c r="I806" s="720"/>
      <c r="J806" s="713"/>
      <c r="K806" s="714"/>
      <c r="L806" s="718"/>
    </row>
    <row r="807" spans="1:12" hidden="1">
      <c r="A807" s="712"/>
      <c r="B807" s="717"/>
      <c r="C807" s="712"/>
      <c r="D807" s="713"/>
      <c r="E807" s="713"/>
      <c r="F807" s="713"/>
      <c r="G807" s="713"/>
      <c r="H807" s="713"/>
      <c r="I807" s="720"/>
      <c r="J807" s="713"/>
      <c r="K807" s="714"/>
      <c r="L807" s="718"/>
    </row>
    <row r="808" spans="1:12" hidden="1">
      <c r="A808" s="712"/>
      <c r="B808" s="717"/>
      <c r="C808" s="712"/>
      <c r="D808" s="713"/>
      <c r="E808" s="713"/>
      <c r="F808" s="713"/>
      <c r="G808" s="713"/>
      <c r="H808" s="713"/>
      <c r="I808" s="720"/>
      <c r="J808" s="713"/>
      <c r="K808" s="714"/>
      <c r="L808" s="718"/>
    </row>
    <row r="809" spans="1:12" hidden="1">
      <c r="A809" s="712"/>
      <c r="B809" s="717"/>
      <c r="C809" s="712"/>
      <c r="D809" s="713"/>
      <c r="E809" s="713"/>
      <c r="F809" s="713"/>
      <c r="G809" s="713"/>
      <c r="H809" s="713"/>
      <c r="I809" s="720"/>
      <c r="J809" s="713"/>
      <c r="K809" s="714"/>
      <c r="L809" s="718"/>
    </row>
    <row r="810" spans="1:12" hidden="1">
      <c r="A810" s="712"/>
      <c r="B810" s="717"/>
      <c r="C810" s="712"/>
      <c r="D810" s="713"/>
      <c r="E810" s="713"/>
      <c r="F810" s="713"/>
      <c r="G810" s="713"/>
      <c r="H810" s="713"/>
      <c r="I810" s="720"/>
      <c r="J810" s="713"/>
      <c r="K810" s="714"/>
      <c r="L810" s="718"/>
    </row>
    <row r="811" spans="1:12" hidden="1">
      <c r="A811" s="712"/>
      <c r="B811" s="717"/>
      <c r="C811" s="712"/>
      <c r="D811" s="713"/>
      <c r="E811" s="713"/>
      <c r="F811" s="713"/>
      <c r="G811" s="713"/>
      <c r="H811" s="713"/>
      <c r="I811" s="720"/>
      <c r="J811" s="713"/>
      <c r="K811" s="714"/>
      <c r="L811" s="718"/>
    </row>
    <row r="812" spans="1:12" hidden="1">
      <c r="A812" s="712"/>
      <c r="B812" s="717"/>
      <c r="C812" s="712"/>
      <c r="D812" s="713"/>
      <c r="E812" s="713"/>
      <c r="F812" s="713"/>
      <c r="G812" s="713"/>
      <c r="H812" s="713"/>
      <c r="I812" s="720"/>
      <c r="J812" s="713"/>
      <c r="K812" s="714"/>
      <c r="L812" s="718"/>
    </row>
    <row r="813" spans="1:12" hidden="1">
      <c r="A813" s="712"/>
      <c r="B813" s="717"/>
      <c r="C813" s="712"/>
      <c r="D813" s="713"/>
      <c r="E813" s="713"/>
      <c r="F813" s="713"/>
      <c r="G813" s="713"/>
      <c r="H813" s="713"/>
      <c r="I813" s="720"/>
      <c r="J813" s="713"/>
      <c r="K813" s="714"/>
      <c r="L813" s="718"/>
    </row>
    <row r="814" spans="1:12" hidden="1">
      <c r="A814" s="712"/>
      <c r="B814" s="717"/>
      <c r="C814" s="712"/>
      <c r="D814" s="713"/>
      <c r="E814" s="713"/>
      <c r="F814" s="713"/>
      <c r="G814" s="713"/>
      <c r="H814" s="713"/>
      <c r="I814" s="720"/>
      <c r="J814" s="713"/>
      <c r="K814" s="714"/>
      <c r="L814" s="718"/>
    </row>
    <row r="815" spans="1:12" hidden="1">
      <c r="A815" s="712"/>
      <c r="B815" s="717"/>
      <c r="C815" s="712"/>
      <c r="D815" s="713"/>
      <c r="E815" s="713"/>
      <c r="F815" s="713"/>
      <c r="G815" s="713"/>
      <c r="H815" s="713"/>
      <c r="I815" s="720"/>
      <c r="J815" s="713"/>
      <c r="K815" s="714"/>
      <c r="L815" s="718"/>
    </row>
    <row r="816" spans="1:12" hidden="1">
      <c r="A816" s="712"/>
      <c r="B816" s="717"/>
      <c r="C816" s="712"/>
      <c r="D816" s="713"/>
      <c r="E816" s="713"/>
      <c r="F816" s="713"/>
      <c r="G816" s="713"/>
      <c r="H816" s="713"/>
      <c r="I816" s="720"/>
      <c r="J816" s="713"/>
      <c r="K816" s="714"/>
      <c r="L816" s="718"/>
    </row>
    <row r="817" spans="1:14" hidden="1">
      <c r="A817" s="712"/>
      <c r="B817" s="717"/>
      <c r="C817" s="712"/>
      <c r="D817" s="713"/>
      <c r="E817" s="713"/>
      <c r="F817" s="713"/>
      <c r="G817" s="713"/>
      <c r="H817" s="713"/>
      <c r="I817" s="720"/>
      <c r="J817" s="713"/>
      <c r="K817" s="714"/>
      <c r="L817" s="718"/>
    </row>
    <row r="818" spans="1:14" hidden="1">
      <c r="A818" s="712"/>
      <c r="B818" s="717"/>
      <c r="C818" s="712"/>
      <c r="D818" s="713"/>
      <c r="E818" s="713"/>
      <c r="F818" s="713"/>
      <c r="G818" s="713"/>
      <c r="H818" s="713"/>
      <c r="I818" s="720"/>
      <c r="J818" s="713"/>
      <c r="K818" s="714"/>
      <c r="L818" s="718"/>
    </row>
    <row r="819" spans="1:14" hidden="1">
      <c r="A819" s="712"/>
      <c r="B819" s="717"/>
      <c r="C819" s="712"/>
      <c r="D819" s="713"/>
      <c r="E819" s="713"/>
      <c r="F819" s="713"/>
      <c r="G819" s="713"/>
      <c r="H819" s="713"/>
      <c r="I819" s="720"/>
      <c r="J819" s="713"/>
      <c r="K819" s="714"/>
      <c r="L819" s="718"/>
    </row>
    <row r="820" spans="1:14" hidden="1">
      <c r="A820" s="712"/>
      <c r="B820" s="717"/>
      <c r="C820" s="712"/>
      <c r="D820" s="713"/>
      <c r="E820" s="713"/>
      <c r="F820" s="713"/>
      <c r="G820" s="713"/>
      <c r="H820" s="713"/>
      <c r="I820" s="720"/>
      <c r="J820" s="713"/>
      <c r="K820" s="714"/>
      <c r="L820" s="718"/>
    </row>
    <row r="821" spans="1:14" hidden="1">
      <c r="A821" s="712"/>
      <c r="B821" s="717"/>
      <c r="C821" s="712"/>
      <c r="D821" s="713"/>
      <c r="E821" s="713"/>
      <c r="F821" s="713"/>
      <c r="G821" s="713"/>
      <c r="H821" s="713"/>
      <c r="I821" s="720"/>
      <c r="J821" s="713"/>
      <c r="K821" s="714"/>
      <c r="L821" s="718"/>
    </row>
    <row r="822" spans="1:14" hidden="1">
      <c r="A822" s="712"/>
      <c r="B822" s="717"/>
      <c r="C822" s="712"/>
      <c r="D822" s="713"/>
      <c r="E822" s="713"/>
      <c r="F822" s="713"/>
      <c r="G822" s="713"/>
      <c r="H822" s="713"/>
      <c r="I822" s="720"/>
      <c r="J822" s="713"/>
      <c r="K822" s="714"/>
      <c r="L822" s="718"/>
    </row>
    <row r="823" spans="1:14" hidden="1">
      <c r="A823" s="712"/>
      <c r="B823" s="717"/>
      <c r="C823" s="712"/>
      <c r="D823" s="713"/>
      <c r="E823" s="713"/>
      <c r="F823" s="713"/>
      <c r="G823" s="713"/>
      <c r="H823" s="713"/>
      <c r="I823" s="720"/>
      <c r="J823" s="713"/>
      <c r="K823" s="714"/>
      <c r="L823" s="718"/>
    </row>
    <row r="824" spans="1:14" hidden="1">
      <c r="A824" s="712"/>
      <c r="B824" s="717"/>
      <c r="C824" s="712"/>
      <c r="D824" s="713"/>
      <c r="E824" s="713"/>
      <c r="F824" s="713"/>
      <c r="G824" s="713"/>
      <c r="H824" s="713"/>
      <c r="I824" s="720"/>
      <c r="J824" s="713"/>
      <c r="K824" s="714"/>
      <c r="L824" s="718"/>
    </row>
    <row r="825" spans="1:14" hidden="1">
      <c r="A825" s="712"/>
      <c r="B825" s="717"/>
      <c r="C825" s="712"/>
      <c r="D825" s="713"/>
      <c r="E825" s="713"/>
      <c r="F825" s="713"/>
      <c r="G825" s="713"/>
      <c r="H825" s="713"/>
      <c r="I825" s="720"/>
      <c r="J825" s="713"/>
      <c r="K825" s="714"/>
      <c r="L825" s="718"/>
    </row>
    <row r="826" spans="1:14" hidden="1">
      <c r="A826" s="712"/>
      <c r="B826" s="717"/>
      <c r="C826" s="712"/>
      <c r="D826" s="713"/>
      <c r="E826" s="713"/>
      <c r="F826" s="713"/>
      <c r="G826" s="713"/>
      <c r="H826" s="713"/>
      <c r="I826" s="720"/>
      <c r="J826" s="713"/>
      <c r="K826" s="714"/>
      <c r="L826" s="718"/>
    </row>
    <row r="827" spans="1:14" hidden="1">
      <c r="A827" s="712"/>
      <c r="B827" s="717"/>
      <c r="C827" s="712"/>
      <c r="D827" s="713"/>
      <c r="E827" s="713"/>
      <c r="F827" s="713"/>
      <c r="G827" s="713"/>
      <c r="H827" s="713"/>
      <c r="I827" s="720"/>
      <c r="J827" s="713"/>
      <c r="K827" s="714"/>
      <c r="L827" s="718"/>
    </row>
    <row r="828" spans="1:14" hidden="1">
      <c r="A828" s="712"/>
      <c r="B828" s="717"/>
      <c r="C828" s="712"/>
      <c r="D828" s="713"/>
      <c r="E828" s="713"/>
      <c r="F828" s="713"/>
      <c r="G828" s="713"/>
      <c r="H828" s="713"/>
      <c r="I828" s="720"/>
      <c r="J828" s="713"/>
      <c r="K828" s="714"/>
      <c r="L828" s="718"/>
    </row>
    <row r="829" spans="1:14" hidden="1">
      <c r="A829" s="712"/>
      <c r="B829" s="717"/>
      <c r="C829" s="712"/>
      <c r="D829" s="713"/>
      <c r="E829" s="713"/>
      <c r="F829" s="713"/>
      <c r="G829" s="713"/>
      <c r="H829" s="713"/>
      <c r="I829" s="720"/>
      <c r="J829" s="713"/>
      <c r="K829" s="714"/>
      <c r="L829" s="718"/>
    </row>
    <row r="830" spans="1:14">
      <c r="A830" s="712"/>
      <c r="B830" s="717"/>
      <c r="C830" s="712"/>
      <c r="D830" s="713"/>
      <c r="E830" s="713"/>
      <c r="F830" s="713"/>
      <c r="G830" s="713"/>
      <c r="H830" s="713"/>
      <c r="I830" s="720"/>
      <c r="J830" s="720"/>
      <c r="K830" s="714"/>
      <c r="L830" s="718"/>
      <c r="M830" s="707" t="s">
        <v>1783</v>
      </c>
      <c r="N830" s="707">
        <v>117.75</v>
      </c>
    </row>
    <row r="831" spans="1:14">
      <c r="A831" s="712"/>
      <c r="B831" s="719"/>
      <c r="C831" s="712"/>
      <c r="D831" s="713"/>
      <c r="E831" s="713"/>
      <c r="F831" s="713"/>
      <c r="G831" s="713"/>
      <c r="H831" s="713"/>
      <c r="I831" s="720"/>
      <c r="J831" s="713"/>
      <c r="K831" s="714"/>
      <c r="L831" s="718"/>
      <c r="M831" s="707" t="s">
        <v>1784</v>
      </c>
    </row>
    <row r="832" spans="1:14">
      <c r="A832" s="712"/>
      <c r="B832" s="719"/>
      <c r="C832" s="712"/>
      <c r="D832" s="713"/>
      <c r="E832" s="713"/>
      <c r="F832" s="713"/>
      <c r="G832" s="713"/>
      <c r="H832" s="713"/>
      <c r="I832" s="720"/>
      <c r="J832" s="713"/>
      <c r="K832" s="714"/>
      <c r="L832" s="718"/>
    </row>
    <row r="833" spans="1:14">
      <c r="A833" s="712"/>
      <c r="B833" s="717"/>
      <c r="C833" s="712"/>
      <c r="D833" s="713"/>
      <c r="E833" s="713"/>
      <c r="F833" s="713"/>
      <c r="G833" s="713"/>
      <c r="H833" s="713"/>
      <c r="I833" s="720"/>
      <c r="J833" s="720"/>
      <c r="K833" s="714"/>
      <c r="L833" s="718"/>
    </row>
    <row r="834" spans="1:14">
      <c r="A834" s="712"/>
      <c r="B834" s="717"/>
      <c r="C834" s="712"/>
      <c r="D834" s="713"/>
      <c r="E834" s="713"/>
      <c r="F834" s="713"/>
      <c r="G834" s="713"/>
      <c r="H834" s="713"/>
      <c r="I834" s="720"/>
      <c r="J834" s="713"/>
      <c r="K834" s="714"/>
      <c r="L834" s="718"/>
    </row>
    <row r="835" spans="1:14">
      <c r="A835" s="712"/>
      <c r="B835" s="717"/>
      <c r="C835" s="712"/>
      <c r="D835" s="713"/>
      <c r="E835" s="713"/>
      <c r="F835" s="713"/>
      <c r="G835" s="713"/>
      <c r="H835" s="713"/>
      <c r="I835" s="720"/>
      <c r="J835" s="720"/>
      <c r="K835" s="714"/>
      <c r="L835" s="718"/>
    </row>
    <row r="836" spans="1:14">
      <c r="A836" s="712"/>
      <c r="B836" s="719"/>
      <c r="C836" s="712"/>
      <c r="D836" s="713"/>
      <c r="E836" s="713"/>
      <c r="F836" s="713"/>
      <c r="G836" s="713"/>
      <c r="H836" s="713"/>
      <c r="I836" s="720"/>
      <c r="J836" s="713"/>
      <c r="K836" s="714"/>
      <c r="L836" s="718"/>
    </row>
    <row r="837" spans="1:14">
      <c r="A837" s="712"/>
      <c r="B837" s="719"/>
      <c r="C837" s="712"/>
      <c r="D837" s="713"/>
      <c r="E837" s="713"/>
      <c r="F837" s="713"/>
      <c r="G837" s="713"/>
      <c r="H837" s="713"/>
      <c r="I837" s="720"/>
      <c r="J837" s="713"/>
      <c r="K837" s="714"/>
      <c r="L837" s="718"/>
    </row>
    <row r="838" spans="1:14">
      <c r="A838" s="712"/>
      <c r="B838" s="717"/>
      <c r="C838" s="712"/>
      <c r="D838" s="713"/>
      <c r="E838" s="713"/>
      <c r="F838" s="713"/>
      <c r="G838" s="713"/>
      <c r="H838" s="713"/>
      <c r="I838" s="720"/>
      <c r="J838" s="720"/>
      <c r="K838" s="714"/>
      <c r="L838" s="718"/>
    </row>
    <row r="839" spans="1:14">
      <c r="A839" s="712"/>
      <c r="B839" s="719"/>
      <c r="C839" s="712"/>
      <c r="D839" s="713"/>
      <c r="E839" s="713"/>
      <c r="F839" s="713"/>
      <c r="G839" s="713"/>
      <c r="H839" s="713"/>
      <c r="I839" s="720"/>
      <c r="J839" s="713"/>
      <c r="K839" s="714"/>
      <c r="L839" s="718"/>
    </row>
    <row r="840" spans="1:14">
      <c r="A840" s="712"/>
      <c r="B840" s="719"/>
      <c r="C840" s="712"/>
      <c r="D840" s="713"/>
      <c r="E840" s="713"/>
      <c r="F840" s="713"/>
      <c r="G840" s="713"/>
      <c r="H840" s="713"/>
      <c r="I840" s="720"/>
      <c r="J840" s="713"/>
      <c r="K840" s="714"/>
      <c r="L840" s="718"/>
    </row>
    <row r="841" spans="1:14">
      <c r="A841" s="712"/>
      <c r="B841" s="717"/>
      <c r="C841" s="712"/>
      <c r="D841" s="713"/>
      <c r="E841" s="713"/>
      <c r="F841" s="713"/>
      <c r="G841" s="713"/>
      <c r="H841" s="713"/>
      <c r="I841" s="720"/>
      <c r="J841" s="720"/>
      <c r="K841" s="714"/>
      <c r="L841" s="718"/>
      <c r="N841" s="707">
        <f>78.3*100+19.8*100</f>
        <v>9810</v>
      </c>
    </row>
    <row r="842" spans="1:14">
      <c r="A842" s="712"/>
      <c r="B842" s="719"/>
      <c r="C842" s="712"/>
      <c r="D842" s="713"/>
      <c r="E842" s="713"/>
      <c r="F842" s="713"/>
      <c r="G842" s="713"/>
      <c r="H842" s="713"/>
      <c r="I842" s="720"/>
      <c r="J842" s="713"/>
      <c r="K842" s="714"/>
      <c r="L842" s="718"/>
    </row>
    <row r="843" spans="1:14">
      <c r="A843" s="712"/>
      <c r="B843" s="719"/>
      <c r="C843" s="712"/>
      <c r="D843" s="713"/>
      <c r="E843" s="713"/>
      <c r="F843" s="713"/>
      <c r="G843" s="713"/>
      <c r="H843" s="713"/>
      <c r="I843" s="720"/>
      <c r="J843" s="713"/>
      <c r="K843" s="714"/>
      <c r="L843" s="718"/>
    </row>
    <row r="844" spans="1:14">
      <c r="A844" s="712"/>
      <c r="B844" s="719"/>
      <c r="C844" s="712"/>
      <c r="D844" s="713"/>
      <c r="E844" s="713"/>
      <c r="F844" s="713"/>
      <c r="G844" s="713"/>
      <c r="H844" s="713"/>
      <c r="I844" s="720"/>
      <c r="J844" s="713"/>
      <c r="K844" s="714"/>
      <c r="L844" s="718"/>
    </row>
    <row r="845" spans="1:14">
      <c r="A845" s="712"/>
      <c r="B845" s="717"/>
      <c r="C845" s="712"/>
      <c r="D845" s="713"/>
      <c r="E845" s="713"/>
      <c r="F845" s="713"/>
      <c r="G845" s="713"/>
      <c r="H845" s="713"/>
      <c r="I845" s="720"/>
      <c r="J845" s="720"/>
      <c r="K845" s="714"/>
      <c r="L845" s="718"/>
    </row>
    <row r="846" spans="1:14">
      <c r="A846" s="712"/>
      <c r="B846" s="719"/>
      <c r="C846" s="712"/>
      <c r="D846" s="713"/>
      <c r="E846" s="713"/>
      <c r="F846" s="713"/>
      <c r="G846" s="713"/>
      <c r="H846" s="713"/>
      <c r="I846" s="720"/>
      <c r="J846" s="713"/>
      <c r="K846" s="714"/>
      <c r="L846" s="718"/>
    </row>
    <row r="847" spans="1:14">
      <c r="A847" s="712"/>
      <c r="B847" s="719"/>
      <c r="C847" s="712"/>
      <c r="D847" s="713"/>
      <c r="E847" s="713"/>
      <c r="F847" s="713"/>
      <c r="G847" s="713"/>
      <c r="H847" s="713"/>
      <c r="I847" s="720"/>
      <c r="J847" s="713"/>
      <c r="K847" s="714"/>
      <c r="L847" s="718"/>
    </row>
    <row r="848" spans="1:14">
      <c r="A848" s="712"/>
      <c r="B848" s="717"/>
      <c r="C848" s="712"/>
      <c r="D848" s="713"/>
      <c r="E848" s="713"/>
      <c r="F848" s="713"/>
      <c r="G848" s="713"/>
      <c r="H848" s="713"/>
      <c r="I848" s="720"/>
      <c r="J848" s="713"/>
      <c r="K848" s="714"/>
      <c r="L848" s="718"/>
    </row>
    <row r="849" spans="1:12">
      <c r="A849" s="712"/>
      <c r="B849" s="719"/>
      <c r="C849" s="712"/>
      <c r="D849" s="713"/>
      <c r="E849" s="713"/>
      <c r="F849" s="713"/>
      <c r="G849" s="713"/>
      <c r="H849" s="713"/>
      <c r="I849" s="720"/>
      <c r="J849" s="713"/>
      <c r="K849" s="714"/>
      <c r="L849" s="718"/>
    </row>
    <row r="850" spans="1:12">
      <c r="A850" s="712"/>
      <c r="B850" s="717"/>
      <c r="C850" s="712"/>
      <c r="D850" s="713"/>
      <c r="E850" s="713"/>
      <c r="F850" s="713"/>
      <c r="G850" s="713"/>
      <c r="H850" s="713"/>
      <c r="I850" s="720"/>
      <c r="J850" s="713"/>
      <c r="K850" s="714"/>
      <c r="L850" s="718"/>
    </row>
    <row r="851" spans="1:12">
      <c r="A851" s="712"/>
      <c r="B851" s="717"/>
      <c r="C851" s="712"/>
      <c r="D851" s="713"/>
      <c r="E851" s="713"/>
      <c r="F851" s="713"/>
      <c r="G851" s="713"/>
      <c r="H851" s="713"/>
      <c r="I851" s="720"/>
      <c r="J851" s="713"/>
      <c r="K851" s="714"/>
      <c r="L851" s="718"/>
    </row>
    <row r="852" spans="1:12">
      <c r="A852" s="712"/>
      <c r="B852" s="717"/>
      <c r="C852" s="712"/>
      <c r="D852" s="713"/>
      <c r="E852" s="713"/>
      <c r="F852" s="713"/>
      <c r="G852" s="713"/>
      <c r="H852" s="713"/>
      <c r="I852" s="720"/>
      <c r="J852" s="713"/>
      <c r="K852" s="714"/>
      <c r="L852" s="718"/>
    </row>
    <row r="853" spans="1:12">
      <c r="A853" s="712"/>
      <c r="B853" s="717"/>
      <c r="C853" s="712"/>
      <c r="D853" s="713"/>
      <c r="E853" s="713"/>
      <c r="F853" s="713"/>
      <c r="G853" s="713"/>
      <c r="H853" s="713"/>
      <c r="I853" s="720"/>
      <c r="J853" s="713"/>
      <c r="K853" s="714"/>
      <c r="L853" s="718"/>
    </row>
    <row r="854" spans="1:12">
      <c r="A854" s="712"/>
      <c r="B854" s="719"/>
      <c r="C854" s="712"/>
      <c r="D854" s="713"/>
      <c r="E854" s="713"/>
      <c r="F854" s="713"/>
      <c r="G854" s="713"/>
      <c r="H854" s="713"/>
      <c r="I854" s="720"/>
      <c r="J854" s="720"/>
      <c r="K854" s="714"/>
      <c r="L854" s="718"/>
    </row>
    <row r="855" spans="1:12">
      <c r="A855" s="712"/>
      <c r="B855" s="719"/>
      <c r="C855" s="712"/>
      <c r="D855" s="713"/>
      <c r="E855" s="713"/>
      <c r="F855" s="713"/>
      <c r="G855" s="713"/>
      <c r="H855" s="713"/>
      <c r="I855" s="720"/>
      <c r="J855" s="713"/>
      <c r="K855" s="714"/>
      <c r="L855" s="718"/>
    </row>
    <row r="856" spans="1:12">
      <c r="A856" s="712"/>
      <c r="B856" s="719"/>
      <c r="C856" s="712"/>
      <c r="D856" s="713"/>
      <c r="E856" s="713"/>
      <c r="F856" s="713"/>
      <c r="G856" s="713"/>
      <c r="H856" s="713"/>
      <c r="I856" s="720"/>
      <c r="J856" s="713"/>
      <c r="K856" s="714"/>
      <c r="L856" s="718"/>
    </row>
    <row r="857" spans="1:12">
      <c r="A857" s="712"/>
      <c r="B857" s="719"/>
      <c r="C857" s="712"/>
      <c r="D857" s="713"/>
      <c r="E857" s="713"/>
      <c r="F857" s="713"/>
      <c r="G857" s="713"/>
      <c r="H857" s="713"/>
      <c r="I857" s="720"/>
      <c r="J857" s="713"/>
      <c r="K857" s="714"/>
      <c r="L857" s="718"/>
    </row>
    <row r="858" spans="1:12">
      <c r="A858" s="712"/>
      <c r="B858" s="719"/>
      <c r="C858" s="712"/>
      <c r="D858" s="713"/>
      <c r="E858" s="713"/>
      <c r="F858" s="713"/>
      <c r="G858" s="713"/>
      <c r="H858" s="713"/>
      <c r="I858" s="720"/>
      <c r="J858" s="713"/>
      <c r="K858" s="714"/>
      <c r="L858" s="718"/>
    </row>
    <row r="859" spans="1:12">
      <c r="A859" s="712"/>
      <c r="B859" s="717"/>
      <c r="C859" s="712"/>
      <c r="D859" s="713"/>
      <c r="E859" s="713"/>
      <c r="F859" s="713"/>
      <c r="G859" s="713"/>
      <c r="H859" s="713"/>
      <c r="I859" s="720"/>
      <c r="J859" s="713"/>
      <c r="K859" s="714"/>
      <c r="L859" s="718"/>
    </row>
    <row r="860" spans="1:12">
      <c r="A860" s="712"/>
      <c r="B860" s="719"/>
      <c r="C860" s="712"/>
      <c r="D860" s="713"/>
      <c r="E860" s="713"/>
      <c r="F860" s="713"/>
      <c r="G860" s="713"/>
      <c r="H860" s="713"/>
      <c r="I860" s="720"/>
      <c r="J860" s="713"/>
      <c r="K860" s="714"/>
      <c r="L860" s="718"/>
    </row>
    <row r="861" spans="1:12">
      <c r="A861" s="712"/>
      <c r="B861" s="717"/>
      <c r="C861" s="712"/>
      <c r="D861" s="713"/>
      <c r="E861" s="713"/>
      <c r="F861" s="713"/>
      <c r="G861" s="713"/>
      <c r="H861" s="713"/>
      <c r="I861" s="720"/>
      <c r="J861" s="713"/>
      <c r="K861" s="714"/>
      <c r="L861" s="718"/>
    </row>
    <row r="862" spans="1:12">
      <c r="A862" s="712"/>
      <c r="B862" s="717"/>
      <c r="C862" s="712"/>
      <c r="D862" s="713"/>
      <c r="E862" s="713"/>
      <c r="F862" s="713"/>
      <c r="G862" s="713"/>
      <c r="H862" s="713"/>
      <c r="I862" s="720"/>
      <c r="J862" s="713"/>
      <c r="K862" s="714"/>
      <c r="L862" s="718"/>
    </row>
    <row r="863" spans="1:12">
      <c r="A863" s="712"/>
      <c r="B863" s="717"/>
      <c r="C863" s="712"/>
      <c r="D863" s="713"/>
      <c r="E863" s="713"/>
      <c r="F863" s="713"/>
      <c r="G863" s="713"/>
      <c r="H863" s="713"/>
      <c r="I863" s="720"/>
      <c r="J863" s="720"/>
      <c r="K863" s="714"/>
      <c r="L863" s="718"/>
    </row>
    <row r="864" spans="1:12">
      <c r="A864" s="712"/>
      <c r="B864" s="719"/>
      <c r="C864" s="712"/>
      <c r="D864" s="713"/>
      <c r="E864" s="713"/>
      <c r="F864" s="713"/>
      <c r="G864" s="713"/>
      <c r="H864" s="713"/>
      <c r="I864" s="720"/>
      <c r="K864" s="714"/>
      <c r="L864" s="718"/>
    </row>
    <row r="865" spans="1:12">
      <c r="A865" s="712"/>
      <c r="B865" s="717"/>
      <c r="C865" s="712"/>
      <c r="D865" s="713"/>
      <c r="E865" s="713"/>
      <c r="F865" s="713"/>
      <c r="G865" s="713"/>
      <c r="H865" s="713"/>
      <c r="I865" s="720"/>
      <c r="J865" s="713"/>
      <c r="K865" s="714"/>
      <c r="L865" s="718"/>
    </row>
    <row r="866" spans="1:12">
      <c r="A866" s="712"/>
      <c r="B866" s="719"/>
      <c r="C866" s="712"/>
      <c r="D866" s="713"/>
      <c r="E866" s="713"/>
      <c r="F866" s="713"/>
      <c r="G866" s="713"/>
      <c r="H866" s="713"/>
      <c r="I866" s="720"/>
      <c r="J866" s="713"/>
      <c r="K866" s="714"/>
      <c r="L866" s="718"/>
    </row>
    <row r="867" spans="1:12">
      <c r="A867" s="712"/>
      <c r="B867" s="717"/>
      <c r="C867" s="712"/>
      <c r="D867" s="713"/>
      <c r="E867" s="713"/>
      <c r="F867" s="713"/>
      <c r="G867" s="713"/>
      <c r="H867" s="713"/>
      <c r="I867" s="720"/>
      <c r="J867" s="713"/>
      <c r="K867" s="714"/>
      <c r="L867" s="718"/>
    </row>
    <row r="868" spans="1:12">
      <c r="A868" s="712"/>
      <c r="B868" s="717"/>
      <c r="C868" s="712"/>
      <c r="D868" s="713"/>
      <c r="E868" s="713"/>
      <c r="F868" s="713"/>
      <c r="G868" s="713"/>
      <c r="H868" s="713"/>
      <c r="I868" s="720"/>
      <c r="J868" s="720"/>
      <c r="K868" s="714"/>
      <c r="L868" s="718"/>
    </row>
    <row r="869" spans="1:12">
      <c r="A869" s="712"/>
      <c r="B869" s="719"/>
      <c r="C869" s="712"/>
      <c r="D869" s="713"/>
      <c r="E869" s="713"/>
      <c r="F869" s="713"/>
      <c r="G869" s="713"/>
      <c r="H869" s="713"/>
      <c r="I869" s="720"/>
      <c r="J869" s="713"/>
      <c r="K869" s="714"/>
      <c r="L869" s="718"/>
    </row>
    <row r="870" spans="1:12">
      <c r="A870" s="712"/>
      <c r="B870" s="719"/>
      <c r="C870" s="712"/>
      <c r="D870" s="713"/>
      <c r="E870" s="713"/>
      <c r="F870" s="713"/>
      <c r="G870" s="713"/>
      <c r="H870" s="713"/>
      <c r="I870" s="720"/>
      <c r="J870" s="713"/>
      <c r="K870" s="714"/>
      <c r="L870" s="718"/>
    </row>
    <row r="871" spans="1:12">
      <c r="A871" s="712"/>
      <c r="B871" s="717"/>
      <c r="C871" s="712"/>
      <c r="D871" s="713"/>
      <c r="E871" s="713"/>
      <c r="F871" s="713"/>
      <c r="G871" s="713"/>
      <c r="H871" s="713"/>
      <c r="I871" s="720"/>
      <c r="J871" s="720"/>
      <c r="K871" s="714"/>
      <c r="L871" s="718"/>
    </row>
    <row r="872" spans="1:12">
      <c r="A872" s="712"/>
      <c r="B872" s="719"/>
      <c r="C872" s="712"/>
      <c r="D872" s="713"/>
      <c r="E872" s="713"/>
      <c r="F872" s="713"/>
      <c r="G872" s="713"/>
      <c r="H872" s="713"/>
      <c r="I872" s="720"/>
      <c r="J872" s="713"/>
      <c r="K872" s="714"/>
      <c r="L872" s="718"/>
    </row>
    <row r="873" spans="1:12">
      <c r="A873" s="712"/>
      <c r="B873" s="719"/>
      <c r="C873" s="712"/>
      <c r="D873" s="713"/>
      <c r="E873" s="713"/>
      <c r="F873" s="713"/>
      <c r="G873" s="713"/>
      <c r="H873" s="713"/>
      <c r="I873" s="720"/>
      <c r="J873" s="713"/>
      <c r="K873" s="714"/>
      <c r="L873" s="718"/>
    </row>
    <row r="874" spans="1:12">
      <c r="A874" s="712"/>
      <c r="B874" s="717"/>
      <c r="C874" s="712"/>
      <c r="D874" s="713"/>
      <c r="E874" s="713"/>
      <c r="F874" s="713"/>
      <c r="G874" s="713"/>
      <c r="H874" s="713"/>
      <c r="I874" s="720"/>
      <c r="J874" s="720"/>
      <c r="K874" s="714"/>
      <c r="L874" s="718"/>
    </row>
    <row r="875" spans="1:12" ht="18" customHeight="1">
      <c r="A875" s="712"/>
      <c r="B875" s="736"/>
      <c r="C875" s="712"/>
      <c r="D875" s="713"/>
      <c r="E875" s="713"/>
      <c r="F875" s="713"/>
      <c r="G875" s="713"/>
      <c r="H875" s="713"/>
      <c r="I875" s="720"/>
      <c r="J875" s="713"/>
      <c r="K875" s="714"/>
      <c r="L875" s="718"/>
    </row>
    <row r="876" spans="1:12">
      <c r="A876" s="712"/>
      <c r="B876" s="717"/>
      <c r="C876" s="712"/>
      <c r="D876" s="713"/>
      <c r="E876" s="713"/>
      <c r="F876" s="713"/>
      <c r="G876" s="713"/>
      <c r="H876" s="713"/>
      <c r="I876" s="720"/>
      <c r="J876" s="720"/>
      <c r="K876" s="714"/>
      <c r="L876" s="718"/>
    </row>
    <row r="877" spans="1:12">
      <c r="A877" s="712"/>
      <c r="B877" s="717"/>
      <c r="C877" s="712"/>
      <c r="D877" s="713"/>
      <c r="E877" s="713"/>
      <c r="F877" s="713"/>
      <c r="G877" s="713"/>
      <c r="H877" s="713"/>
      <c r="I877" s="720"/>
      <c r="J877" s="713"/>
      <c r="K877" s="714"/>
      <c r="L877" s="718"/>
    </row>
    <row r="878" spans="1:12">
      <c r="A878" s="712"/>
      <c r="B878" s="717"/>
      <c r="C878" s="712"/>
      <c r="D878" s="713"/>
      <c r="E878" s="713"/>
      <c r="F878" s="713"/>
      <c r="G878" s="713"/>
      <c r="H878" s="713"/>
      <c r="I878" s="720"/>
      <c r="J878" s="713"/>
      <c r="K878" s="714"/>
      <c r="L878" s="718"/>
    </row>
    <row r="879" spans="1:12">
      <c r="A879" s="712"/>
      <c r="B879" s="717"/>
      <c r="C879" s="712"/>
      <c r="D879" s="713"/>
      <c r="E879" s="713"/>
      <c r="F879" s="713"/>
      <c r="G879" s="713"/>
      <c r="H879" s="713"/>
      <c r="I879" s="720"/>
      <c r="J879" s="720"/>
      <c r="K879" s="714"/>
      <c r="L879" s="718"/>
    </row>
    <row r="880" spans="1:12" ht="19.149999999999999" customHeight="1">
      <c r="A880" s="712"/>
      <c r="B880" s="719"/>
      <c r="C880" s="712"/>
      <c r="D880" s="713"/>
      <c r="E880" s="713"/>
      <c r="F880" s="713"/>
      <c r="G880" s="713"/>
      <c r="H880" s="713"/>
      <c r="I880" s="720"/>
      <c r="J880" s="713"/>
      <c r="K880" s="714"/>
      <c r="L880" s="718"/>
    </row>
    <row r="881" spans="1:12">
      <c r="A881" s="712"/>
      <c r="B881" s="717"/>
      <c r="C881" s="712"/>
      <c r="D881" s="713"/>
      <c r="E881" s="713"/>
      <c r="F881" s="713"/>
      <c r="G881" s="713"/>
      <c r="H881" s="713"/>
      <c r="I881" s="720"/>
      <c r="J881" s="720"/>
      <c r="K881" s="714"/>
      <c r="L881" s="718"/>
    </row>
    <row r="882" spans="1:12">
      <c r="A882" s="712"/>
      <c r="B882" s="719"/>
      <c r="C882" s="712"/>
      <c r="D882" s="713"/>
      <c r="E882" s="713"/>
      <c r="F882" s="713"/>
      <c r="G882" s="713"/>
      <c r="H882" s="713"/>
      <c r="I882" s="720"/>
      <c r="J882" s="713"/>
      <c r="K882" s="714"/>
      <c r="L882" s="718"/>
    </row>
    <row r="883" spans="1:12">
      <c r="A883" s="712"/>
      <c r="B883" s="719"/>
      <c r="C883" s="712"/>
      <c r="D883" s="713"/>
      <c r="E883" s="713"/>
      <c r="F883" s="713"/>
      <c r="G883" s="713"/>
      <c r="H883" s="713"/>
      <c r="I883" s="720"/>
      <c r="J883" s="713"/>
      <c r="K883" s="714"/>
      <c r="L883" s="718"/>
    </row>
    <row r="884" spans="1:12">
      <c r="A884" s="712"/>
      <c r="B884" s="717"/>
      <c r="C884" s="712"/>
      <c r="D884" s="713"/>
      <c r="E884" s="713"/>
      <c r="F884" s="713"/>
      <c r="G884" s="713"/>
      <c r="H884" s="713"/>
      <c r="I884" s="720"/>
      <c r="J884" s="720"/>
      <c r="K884" s="714"/>
      <c r="L884" s="718"/>
    </row>
    <row r="885" spans="1:12">
      <c r="A885" s="712"/>
      <c r="B885" s="719"/>
      <c r="C885" s="712"/>
      <c r="D885" s="713"/>
      <c r="E885" s="713"/>
      <c r="F885" s="713"/>
      <c r="G885" s="713"/>
      <c r="H885" s="713"/>
      <c r="I885" s="720"/>
      <c r="J885" s="713"/>
      <c r="K885" s="714"/>
      <c r="L885" s="718"/>
    </row>
    <row r="886" spans="1:12">
      <c r="A886" s="712"/>
      <c r="B886" s="719"/>
      <c r="C886" s="712"/>
      <c r="D886" s="713"/>
      <c r="E886" s="713"/>
      <c r="F886" s="713"/>
      <c r="G886" s="713"/>
      <c r="H886" s="713"/>
      <c r="I886" s="720"/>
      <c r="J886" s="713"/>
      <c r="K886" s="714"/>
      <c r="L886" s="718"/>
    </row>
    <row r="887" spans="1:12">
      <c r="A887" s="729"/>
      <c r="B887" s="741"/>
      <c r="C887" s="712"/>
      <c r="D887" s="713"/>
      <c r="E887" s="713"/>
      <c r="F887" s="713"/>
      <c r="G887" s="713"/>
      <c r="H887" s="713"/>
      <c r="I887" s="720"/>
      <c r="J887" s="720"/>
      <c r="K887" s="714"/>
      <c r="L887" s="718"/>
    </row>
    <row r="888" spans="1:12">
      <c r="A888" s="729"/>
      <c r="B888" s="739"/>
      <c r="C888" s="712"/>
      <c r="D888" s="713"/>
      <c r="E888" s="713"/>
      <c r="F888" s="713"/>
      <c r="G888" s="713"/>
      <c r="H888" s="713"/>
      <c r="I888" s="720"/>
      <c r="J888" s="713"/>
      <c r="K888" s="714"/>
      <c r="L888" s="718"/>
    </row>
    <row r="889" spans="1:12">
      <c r="A889" s="712"/>
      <c r="B889" s="717"/>
      <c r="C889" s="712"/>
      <c r="D889" s="713"/>
      <c r="E889" s="713"/>
      <c r="F889" s="713"/>
      <c r="G889" s="713"/>
      <c r="H889" s="713"/>
      <c r="I889" s="720"/>
      <c r="J889" s="720"/>
      <c r="K889" s="714"/>
      <c r="L889" s="718"/>
    </row>
    <row r="890" spans="1:12">
      <c r="A890" s="712"/>
      <c r="B890" s="717"/>
      <c r="C890" s="712"/>
      <c r="D890" s="713"/>
      <c r="E890" s="713"/>
      <c r="F890" s="713"/>
      <c r="G890" s="713"/>
      <c r="H890" s="713"/>
      <c r="I890" s="720"/>
      <c r="J890" s="720"/>
      <c r="K890" s="714"/>
      <c r="L890" s="718"/>
    </row>
    <row r="891" spans="1:12">
      <c r="A891" s="712"/>
      <c r="B891" s="717"/>
      <c r="C891" s="712"/>
      <c r="D891" s="713"/>
      <c r="E891" s="713"/>
      <c r="F891" s="713"/>
      <c r="G891" s="713"/>
      <c r="H891" s="713"/>
      <c r="I891" s="720"/>
      <c r="J891" s="713"/>
      <c r="K891" s="714"/>
      <c r="L891" s="718"/>
    </row>
    <row r="892" spans="1:12">
      <c r="A892" s="712"/>
      <c r="B892" s="717"/>
      <c r="C892" s="712"/>
      <c r="D892" s="713"/>
      <c r="E892" s="713"/>
      <c r="F892" s="713"/>
      <c r="G892" s="713"/>
      <c r="H892" s="713"/>
      <c r="I892" s="720"/>
      <c r="J892" s="713"/>
      <c r="K892" s="714"/>
      <c r="L892" s="718"/>
    </row>
    <row r="893" spans="1:12">
      <c r="A893" s="712"/>
      <c r="B893" s="717"/>
      <c r="C893" s="712"/>
      <c r="D893" s="713"/>
      <c r="E893" s="713"/>
      <c r="F893" s="713"/>
      <c r="G893" s="713"/>
      <c r="H893" s="713"/>
      <c r="I893" s="707"/>
      <c r="J893" s="720"/>
      <c r="K893" s="714"/>
      <c r="L893" s="718"/>
    </row>
    <row r="894" spans="1:12">
      <c r="A894" s="712"/>
      <c r="B894" s="719"/>
      <c r="C894" s="712"/>
      <c r="D894" s="713"/>
      <c r="E894" s="713"/>
      <c r="F894" s="713"/>
      <c r="G894" s="713"/>
      <c r="H894" s="713"/>
      <c r="I894" s="720"/>
      <c r="J894" s="713"/>
      <c r="K894" s="714"/>
      <c r="L894" s="718"/>
    </row>
    <row r="895" spans="1:12">
      <c r="A895" s="712"/>
      <c r="B895" s="717"/>
      <c r="C895" s="712"/>
      <c r="D895" s="713"/>
      <c r="E895" s="713"/>
      <c r="F895" s="713"/>
      <c r="G895" s="713"/>
      <c r="H895" s="713"/>
      <c r="I895" s="720"/>
      <c r="J895" s="713"/>
      <c r="K895" s="714"/>
      <c r="L895" s="718"/>
    </row>
    <row r="896" spans="1:12">
      <c r="A896" s="712"/>
      <c r="B896" s="719"/>
      <c r="C896" s="712"/>
      <c r="D896" s="713"/>
      <c r="E896" s="713"/>
      <c r="F896" s="713"/>
      <c r="G896" s="713"/>
      <c r="H896" s="713"/>
      <c r="I896" s="720"/>
      <c r="J896" s="713"/>
      <c r="K896" s="714"/>
      <c r="L896" s="718"/>
    </row>
    <row r="897" spans="1:12">
      <c r="A897" s="712"/>
      <c r="B897" s="717"/>
      <c r="C897" s="712"/>
      <c r="D897" s="713"/>
      <c r="E897" s="713"/>
      <c r="F897" s="713"/>
      <c r="G897" s="713"/>
      <c r="H897" s="713"/>
      <c r="I897" s="720"/>
      <c r="J897" s="720"/>
      <c r="K897" s="714"/>
      <c r="L897" s="718"/>
    </row>
    <row r="898" spans="1:12">
      <c r="A898" s="712"/>
      <c r="B898" s="717"/>
      <c r="C898" s="712"/>
      <c r="D898" s="713"/>
      <c r="E898" s="713"/>
      <c r="F898" s="713"/>
      <c r="G898" s="713"/>
      <c r="H898" s="713"/>
      <c r="I898" s="720"/>
      <c r="J898" s="713"/>
      <c r="K898" s="714"/>
      <c r="L898" s="718"/>
    </row>
    <row r="899" spans="1:12" ht="8.25" customHeight="1">
      <c r="B899" s="742"/>
    </row>
    <row r="900" spans="1:12">
      <c r="B900" s="743" t="s">
        <v>1785</v>
      </c>
      <c r="F900" s="940" t="s">
        <v>1786</v>
      </c>
      <c r="G900" s="940"/>
      <c r="H900" s="940"/>
      <c r="I900" s="940"/>
      <c r="J900" s="940"/>
      <c r="K900" s="940"/>
    </row>
    <row r="901" spans="1:12">
      <c r="B901" s="743"/>
      <c r="F901" s="743"/>
      <c r="G901" s="743"/>
      <c r="H901" s="743"/>
      <c r="I901" s="743"/>
      <c r="J901" s="743"/>
      <c r="K901" s="743"/>
    </row>
    <row r="902" spans="1:12">
      <c r="B902" s="743"/>
      <c r="F902" s="743"/>
      <c r="G902" s="743"/>
      <c r="H902" s="743"/>
      <c r="I902" s="743"/>
      <c r="J902" s="743"/>
      <c r="K902" s="743"/>
    </row>
    <row r="903" spans="1:12">
      <c r="B903" s="743"/>
      <c r="F903" s="743"/>
      <c r="G903" s="743"/>
      <c r="H903" s="743"/>
      <c r="I903" s="743"/>
      <c r="J903" s="743"/>
      <c r="K903" s="743"/>
    </row>
    <row r="904" spans="1:12">
      <c r="B904" s="743"/>
      <c r="F904" s="743"/>
      <c r="G904" s="743"/>
      <c r="H904" s="743"/>
      <c r="I904" s="743"/>
      <c r="J904" s="743"/>
      <c r="K904" s="743"/>
    </row>
    <row r="905" spans="1:12">
      <c r="B905" s="743"/>
      <c r="F905" s="743"/>
      <c r="G905" s="743"/>
      <c r="H905" s="743"/>
      <c r="I905" s="743"/>
      <c r="J905" s="743"/>
      <c r="K905" s="743"/>
    </row>
    <row r="909" spans="1:12" ht="21" customHeight="1">
      <c r="B909" s="743" t="s">
        <v>1787</v>
      </c>
      <c r="F909" s="940" t="s">
        <v>1788</v>
      </c>
      <c r="G909" s="940"/>
      <c r="H909" s="940"/>
      <c r="I909" s="940"/>
      <c r="J909" s="940"/>
      <c r="K909" s="940"/>
    </row>
    <row r="916" spans="3:6">
      <c r="E916" s="740">
        <v>10</v>
      </c>
      <c r="F916" s="740">
        <v>18</v>
      </c>
    </row>
    <row r="918" spans="3:6">
      <c r="C918" s="740" t="s">
        <v>1789</v>
      </c>
      <c r="D918" s="740">
        <v>194</v>
      </c>
      <c r="E918" s="740">
        <v>336.8</v>
      </c>
      <c r="F918" s="740">
        <v>299</v>
      </c>
    </row>
    <row r="919" spans="3:6">
      <c r="C919" s="740" t="s">
        <v>1790</v>
      </c>
      <c r="D919" s="740">
        <v>106.31</v>
      </c>
      <c r="E919" s="740">
        <f>D919*E918/D918</f>
        <v>184.56292783505154</v>
      </c>
      <c r="F919" s="740">
        <f>D919*F918/D918</f>
        <v>163.8489175257732</v>
      </c>
    </row>
  </sheetData>
  <mergeCells count="13">
    <mergeCell ref="J4:J5"/>
    <mergeCell ref="K4:K5"/>
    <mergeCell ref="F900:K900"/>
    <mergeCell ref="F909:K909"/>
    <mergeCell ref="A1:K1"/>
    <mergeCell ref="A2:K2"/>
    <mergeCell ref="A3:K3"/>
    <mergeCell ref="A4:A5"/>
    <mergeCell ref="B4:B5"/>
    <mergeCell ref="C4:C5"/>
    <mergeCell ref="D4:D5"/>
    <mergeCell ref="E4:H4"/>
    <mergeCell ref="I4:I5"/>
  </mergeCells>
  <conditionalFormatting sqref="C6:D6 C9:C18 C392:C408 C433:C456 C293:C381 C505:C552 C580:C778 L9:L898 C784:C841 C845:C898 C8:D8 D7 C20:C27 C29:C35 C37:C43 C45:C50 C52:C57 C59:C66 C68:C76 C78:C84 C86:C92 C94:C98 C100:C107 C109:C114 C116:C122 C124:C129 C131:C138 C141:C148 C150:C155 C157:C162 C164:C169 C172:C179 C181:C185 C187:C193 C195:C200 C202:C209 C211:C217 C219:C290">
    <cfRule type="cellIs" dxfId="202" priority="157" stopIfTrue="1" operator="lessThan">
      <formula>0</formula>
    </cfRule>
    <cfRule type="cellIs" dxfId="201" priority="158" stopIfTrue="1" operator="lessThan">
      <formula>0</formula>
    </cfRule>
    <cfRule type="cellIs" dxfId="200" priority="159" stopIfTrue="1" operator="lessThan">
      <formula>0</formula>
    </cfRule>
  </conditionalFormatting>
  <conditionalFormatting sqref="J111:J114">
    <cfRule type="cellIs" dxfId="199" priority="154" stopIfTrue="1" operator="lessThan">
      <formula>0</formula>
    </cfRule>
    <cfRule type="cellIs" dxfId="198" priority="155" stopIfTrue="1" operator="lessThan">
      <formula>0</formula>
    </cfRule>
    <cfRule type="cellIs" dxfId="197" priority="156" stopIfTrue="1" operator="lessThan">
      <formula>0</formula>
    </cfRule>
  </conditionalFormatting>
  <conditionalFormatting sqref="J122">
    <cfRule type="cellIs" dxfId="196" priority="151" stopIfTrue="1" operator="lessThan">
      <formula>0</formula>
    </cfRule>
    <cfRule type="cellIs" dxfId="195" priority="152" stopIfTrue="1" operator="lessThan">
      <formula>0</formula>
    </cfRule>
    <cfRule type="cellIs" dxfId="194" priority="153" stopIfTrue="1" operator="lessThan">
      <formula>0</formula>
    </cfRule>
  </conditionalFormatting>
  <conditionalFormatting sqref="J129">
    <cfRule type="cellIs" dxfId="193" priority="148" stopIfTrue="1" operator="lessThan">
      <formula>0</formula>
    </cfRule>
    <cfRule type="cellIs" dxfId="192" priority="149" stopIfTrue="1" operator="lessThan">
      <formula>0</formula>
    </cfRule>
    <cfRule type="cellIs" dxfId="191" priority="150" stopIfTrue="1" operator="lessThan">
      <formula>0</formula>
    </cfRule>
  </conditionalFormatting>
  <conditionalFormatting sqref="J132">
    <cfRule type="cellIs" dxfId="190" priority="145" stopIfTrue="1" operator="lessThan">
      <formula>0</formula>
    </cfRule>
    <cfRule type="cellIs" dxfId="189" priority="146" stopIfTrue="1" operator="lessThan">
      <formula>0</formula>
    </cfRule>
    <cfRule type="cellIs" dxfId="188" priority="147" stopIfTrue="1" operator="lessThan">
      <formula>0</formula>
    </cfRule>
  </conditionalFormatting>
  <conditionalFormatting sqref="J137">
    <cfRule type="cellIs" dxfId="187" priority="142" stopIfTrue="1" operator="lessThan">
      <formula>0</formula>
    </cfRule>
    <cfRule type="cellIs" dxfId="186" priority="143" stopIfTrue="1" operator="lessThan">
      <formula>0</formula>
    </cfRule>
    <cfRule type="cellIs" dxfId="185" priority="144" stopIfTrue="1" operator="lessThan">
      <formula>0</formula>
    </cfRule>
  </conditionalFormatting>
  <conditionalFormatting sqref="J141:J143">
    <cfRule type="cellIs" dxfId="184" priority="139" stopIfTrue="1" operator="lessThan">
      <formula>0</formula>
    </cfRule>
    <cfRule type="cellIs" dxfId="183" priority="140" stopIfTrue="1" operator="lessThan">
      <formula>0</formula>
    </cfRule>
    <cfRule type="cellIs" dxfId="182" priority="141" stopIfTrue="1" operator="lessThan">
      <formula>0</formula>
    </cfRule>
  </conditionalFormatting>
  <conditionalFormatting sqref="J162">
    <cfRule type="cellIs" dxfId="181" priority="136" stopIfTrue="1" operator="lessThan">
      <formula>0</formula>
    </cfRule>
    <cfRule type="cellIs" dxfId="180" priority="137" stopIfTrue="1" operator="lessThan">
      <formula>0</formula>
    </cfRule>
    <cfRule type="cellIs" dxfId="179" priority="138" stopIfTrue="1" operator="lessThan">
      <formula>0</formula>
    </cfRule>
  </conditionalFormatting>
  <conditionalFormatting sqref="J164">
    <cfRule type="cellIs" dxfId="178" priority="133" stopIfTrue="1" operator="lessThan">
      <formula>0</formula>
    </cfRule>
    <cfRule type="cellIs" dxfId="177" priority="134" stopIfTrue="1" operator="lessThan">
      <formula>0</formula>
    </cfRule>
    <cfRule type="cellIs" dxfId="176" priority="135" stopIfTrue="1" operator="lessThan">
      <formula>0</formula>
    </cfRule>
  </conditionalFormatting>
  <conditionalFormatting sqref="J169:J171">
    <cfRule type="cellIs" dxfId="175" priority="130" stopIfTrue="1" operator="lessThan">
      <formula>0</formula>
    </cfRule>
    <cfRule type="cellIs" dxfId="174" priority="131" stopIfTrue="1" operator="lessThan">
      <formula>0</formula>
    </cfRule>
    <cfRule type="cellIs" dxfId="173" priority="132" stopIfTrue="1" operator="lessThan">
      <formula>0</formula>
    </cfRule>
  </conditionalFormatting>
  <conditionalFormatting sqref="J178">
    <cfRule type="cellIs" dxfId="172" priority="127" stopIfTrue="1" operator="lessThan">
      <formula>0</formula>
    </cfRule>
    <cfRule type="cellIs" dxfId="171" priority="128" stopIfTrue="1" operator="lessThan">
      <formula>0</formula>
    </cfRule>
    <cfRule type="cellIs" dxfId="170" priority="129" stopIfTrue="1" operator="lessThan">
      <formula>0</formula>
    </cfRule>
  </conditionalFormatting>
  <conditionalFormatting sqref="J182">
    <cfRule type="cellIs" dxfId="169" priority="124" stopIfTrue="1" operator="lessThan">
      <formula>0</formula>
    </cfRule>
    <cfRule type="cellIs" dxfId="168" priority="125" stopIfTrue="1" operator="lessThan">
      <formula>0</formula>
    </cfRule>
    <cfRule type="cellIs" dxfId="167" priority="126" stopIfTrue="1" operator="lessThan">
      <formula>0</formula>
    </cfRule>
  </conditionalFormatting>
  <conditionalFormatting sqref="J187">
    <cfRule type="cellIs" dxfId="166" priority="121" stopIfTrue="1" operator="lessThan">
      <formula>0</formula>
    </cfRule>
    <cfRule type="cellIs" dxfId="165" priority="122" stopIfTrue="1" operator="lessThan">
      <formula>0</formula>
    </cfRule>
    <cfRule type="cellIs" dxfId="164" priority="123" stopIfTrue="1" operator="lessThan">
      <formula>0</formula>
    </cfRule>
  </conditionalFormatting>
  <conditionalFormatting sqref="J189">
    <cfRule type="cellIs" dxfId="163" priority="118" stopIfTrue="1" operator="lessThan">
      <formula>0</formula>
    </cfRule>
    <cfRule type="cellIs" dxfId="162" priority="119" stopIfTrue="1" operator="lessThan">
      <formula>0</formula>
    </cfRule>
    <cfRule type="cellIs" dxfId="161" priority="120" stopIfTrue="1" operator="lessThan">
      <formula>0</formula>
    </cfRule>
  </conditionalFormatting>
  <conditionalFormatting sqref="J201">
    <cfRule type="cellIs" dxfId="160" priority="115" stopIfTrue="1" operator="lessThan">
      <formula>0</formula>
    </cfRule>
    <cfRule type="cellIs" dxfId="159" priority="116" stopIfTrue="1" operator="lessThan">
      <formula>0</formula>
    </cfRule>
    <cfRule type="cellIs" dxfId="158" priority="117" stopIfTrue="1" operator="lessThan">
      <formula>0</formula>
    </cfRule>
  </conditionalFormatting>
  <conditionalFormatting sqref="J205">
    <cfRule type="cellIs" dxfId="157" priority="112" stopIfTrue="1" operator="lessThan">
      <formula>0</formula>
    </cfRule>
    <cfRule type="cellIs" dxfId="156" priority="113" stopIfTrue="1" operator="lessThan">
      <formula>0</formula>
    </cfRule>
    <cfRule type="cellIs" dxfId="155" priority="114" stopIfTrue="1" operator="lessThan">
      <formula>0</formula>
    </cfRule>
  </conditionalFormatting>
  <conditionalFormatting sqref="C291:C292">
    <cfRule type="cellIs" dxfId="154" priority="109" stopIfTrue="1" operator="lessThan">
      <formula>0</formula>
    </cfRule>
    <cfRule type="cellIs" dxfId="153" priority="110" stopIfTrue="1" operator="lessThan">
      <formula>0</formula>
    </cfRule>
    <cfRule type="cellIs" dxfId="152" priority="111" stopIfTrue="1" operator="lessThan">
      <formula>0</formula>
    </cfRule>
  </conditionalFormatting>
  <conditionalFormatting sqref="C382:C391">
    <cfRule type="cellIs" dxfId="151" priority="106" stopIfTrue="1" operator="lessThan">
      <formula>0</formula>
    </cfRule>
    <cfRule type="cellIs" dxfId="150" priority="107" stopIfTrue="1" operator="lessThan">
      <formula>0</formula>
    </cfRule>
    <cfRule type="cellIs" dxfId="149" priority="108" stopIfTrue="1" operator="lessThan">
      <formula>0</formula>
    </cfRule>
  </conditionalFormatting>
  <conditionalFormatting sqref="C409:C432">
    <cfRule type="cellIs" dxfId="148" priority="103" stopIfTrue="1" operator="lessThan">
      <formula>0</formula>
    </cfRule>
    <cfRule type="cellIs" dxfId="147" priority="104" stopIfTrue="1" operator="lessThan">
      <formula>0</formula>
    </cfRule>
    <cfRule type="cellIs" dxfId="146" priority="105" stopIfTrue="1" operator="lessThan">
      <formula>0</formula>
    </cfRule>
  </conditionalFormatting>
  <conditionalFormatting sqref="C457">
    <cfRule type="cellIs" dxfId="145" priority="100" stopIfTrue="1" operator="lessThan">
      <formula>0</formula>
    </cfRule>
    <cfRule type="cellIs" dxfId="144" priority="101" stopIfTrue="1" operator="lessThan">
      <formula>0</formula>
    </cfRule>
    <cfRule type="cellIs" dxfId="143" priority="102" stopIfTrue="1" operator="lessThan">
      <formula>0</formula>
    </cfRule>
  </conditionalFormatting>
  <conditionalFormatting sqref="C458:C477 C489:C504">
    <cfRule type="cellIs" dxfId="142" priority="97" stopIfTrue="1" operator="lessThan">
      <formula>0</formula>
    </cfRule>
    <cfRule type="cellIs" dxfId="141" priority="98" stopIfTrue="1" operator="lessThan">
      <formula>0</formula>
    </cfRule>
    <cfRule type="cellIs" dxfId="140" priority="99" stopIfTrue="1" operator="lessThan">
      <formula>0</formula>
    </cfRule>
  </conditionalFormatting>
  <conditionalFormatting sqref="C478:C488">
    <cfRule type="cellIs" dxfId="139" priority="94" stopIfTrue="1" operator="lessThan">
      <formula>0</formula>
    </cfRule>
    <cfRule type="cellIs" dxfId="138" priority="95" stopIfTrue="1" operator="lessThan">
      <formula>0</formula>
    </cfRule>
    <cfRule type="cellIs" dxfId="137" priority="96" stopIfTrue="1" operator="lessThan">
      <formula>0</formula>
    </cfRule>
  </conditionalFormatting>
  <conditionalFormatting sqref="C564:C579">
    <cfRule type="cellIs" dxfId="136" priority="91" stopIfTrue="1" operator="lessThan">
      <formula>0</formula>
    </cfRule>
    <cfRule type="cellIs" dxfId="135" priority="92" stopIfTrue="1" operator="lessThan">
      <formula>0</formula>
    </cfRule>
    <cfRule type="cellIs" dxfId="134" priority="93" stopIfTrue="1" operator="lessThan">
      <formula>0</formula>
    </cfRule>
  </conditionalFormatting>
  <conditionalFormatting sqref="C553:C563">
    <cfRule type="cellIs" dxfId="133" priority="88" stopIfTrue="1" operator="lessThan">
      <formula>0</formula>
    </cfRule>
    <cfRule type="cellIs" dxfId="132" priority="89" stopIfTrue="1" operator="lessThan">
      <formula>0</formula>
    </cfRule>
    <cfRule type="cellIs" dxfId="131" priority="90" stopIfTrue="1" operator="lessThan">
      <formula>0</formula>
    </cfRule>
  </conditionalFormatting>
  <conditionalFormatting sqref="C779:C783">
    <cfRule type="cellIs" dxfId="130" priority="85" stopIfTrue="1" operator="lessThan">
      <formula>0</formula>
    </cfRule>
    <cfRule type="cellIs" dxfId="129" priority="86" stopIfTrue="1" operator="lessThan">
      <formula>0</formula>
    </cfRule>
    <cfRule type="cellIs" dxfId="128" priority="87" stopIfTrue="1" operator="lessThan">
      <formula>0</formula>
    </cfRule>
  </conditionalFormatting>
  <conditionalFormatting sqref="C842:C844">
    <cfRule type="cellIs" dxfId="127" priority="82" stopIfTrue="1" operator="lessThan">
      <formula>0</formula>
    </cfRule>
    <cfRule type="cellIs" dxfId="126" priority="83" stopIfTrue="1" operator="lessThan">
      <formula>0</formula>
    </cfRule>
    <cfRule type="cellIs" dxfId="125" priority="84" stopIfTrue="1" operator="lessThan">
      <formula>0</formula>
    </cfRule>
  </conditionalFormatting>
  <conditionalFormatting sqref="C7">
    <cfRule type="cellIs" dxfId="124" priority="79" stopIfTrue="1" operator="lessThan">
      <formula>0</formula>
    </cfRule>
    <cfRule type="cellIs" dxfId="123" priority="80" stopIfTrue="1" operator="lessThan">
      <formula>0</formula>
    </cfRule>
    <cfRule type="cellIs" dxfId="122" priority="81" stopIfTrue="1" operator="lessThan">
      <formula>0</formula>
    </cfRule>
  </conditionalFormatting>
  <conditionalFormatting sqref="C19">
    <cfRule type="cellIs" dxfId="121" priority="76" stopIfTrue="1" operator="lessThan">
      <formula>0</formula>
    </cfRule>
    <cfRule type="cellIs" dxfId="120" priority="77" stopIfTrue="1" operator="lessThan">
      <formula>0</formula>
    </cfRule>
    <cfRule type="cellIs" dxfId="119" priority="78" stopIfTrue="1" operator="lessThan">
      <formula>0</formula>
    </cfRule>
  </conditionalFormatting>
  <conditionalFormatting sqref="C28">
    <cfRule type="cellIs" dxfId="118" priority="73" stopIfTrue="1" operator="lessThan">
      <formula>0</formula>
    </cfRule>
    <cfRule type="cellIs" dxfId="117" priority="74" stopIfTrue="1" operator="lessThan">
      <formula>0</formula>
    </cfRule>
    <cfRule type="cellIs" dxfId="116" priority="75" stopIfTrue="1" operator="lessThan">
      <formula>0</formula>
    </cfRule>
  </conditionalFormatting>
  <conditionalFormatting sqref="C36">
    <cfRule type="cellIs" dxfId="115" priority="70" stopIfTrue="1" operator="lessThan">
      <formula>0</formula>
    </cfRule>
    <cfRule type="cellIs" dxfId="114" priority="71" stopIfTrue="1" operator="lessThan">
      <formula>0</formula>
    </cfRule>
    <cfRule type="cellIs" dxfId="113" priority="72" stopIfTrue="1" operator="lessThan">
      <formula>0</formula>
    </cfRule>
  </conditionalFormatting>
  <conditionalFormatting sqref="C44">
    <cfRule type="cellIs" dxfId="112" priority="67" stopIfTrue="1" operator="lessThan">
      <formula>0</formula>
    </cfRule>
    <cfRule type="cellIs" dxfId="111" priority="68" stopIfTrue="1" operator="lessThan">
      <formula>0</formula>
    </cfRule>
    <cfRule type="cellIs" dxfId="110" priority="69" stopIfTrue="1" operator="lessThan">
      <formula>0</formula>
    </cfRule>
  </conditionalFormatting>
  <conditionalFormatting sqref="C51">
    <cfRule type="cellIs" dxfId="109" priority="64" stopIfTrue="1" operator="lessThan">
      <formula>0</formula>
    </cfRule>
    <cfRule type="cellIs" dxfId="108" priority="65" stopIfTrue="1" operator="lessThan">
      <formula>0</formula>
    </cfRule>
    <cfRule type="cellIs" dxfId="107" priority="66" stopIfTrue="1" operator="lessThan">
      <formula>0</formula>
    </cfRule>
  </conditionalFormatting>
  <conditionalFormatting sqref="C58">
    <cfRule type="cellIs" dxfId="106" priority="61" stopIfTrue="1" operator="lessThan">
      <formula>0</formula>
    </cfRule>
    <cfRule type="cellIs" dxfId="105" priority="62" stopIfTrue="1" operator="lessThan">
      <formula>0</formula>
    </cfRule>
    <cfRule type="cellIs" dxfId="104" priority="63" stopIfTrue="1" operator="lessThan">
      <formula>0</formula>
    </cfRule>
  </conditionalFormatting>
  <conditionalFormatting sqref="C67">
    <cfRule type="cellIs" dxfId="103" priority="58" stopIfTrue="1" operator="lessThan">
      <formula>0</formula>
    </cfRule>
    <cfRule type="cellIs" dxfId="102" priority="59" stopIfTrue="1" operator="lessThan">
      <formula>0</formula>
    </cfRule>
    <cfRule type="cellIs" dxfId="101" priority="60" stopIfTrue="1" operator="lessThan">
      <formula>0</formula>
    </cfRule>
  </conditionalFormatting>
  <conditionalFormatting sqref="C77">
    <cfRule type="cellIs" dxfId="100" priority="55" stopIfTrue="1" operator="lessThan">
      <formula>0</formula>
    </cfRule>
    <cfRule type="cellIs" dxfId="99" priority="56" stopIfTrue="1" operator="lessThan">
      <formula>0</formula>
    </cfRule>
    <cfRule type="cellIs" dxfId="98" priority="57" stopIfTrue="1" operator="lessThan">
      <formula>0</formula>
    </cfRule>
  </conditionalFormatting>
  <conditionalFormatting sqref="C85">
    <cfRule type="cellIs" dxfId="97" priority="52" stopIfTrue="1" operator="lessThan">
      <formula>0</formula>
    </cfRule>
    <cfRule type="cellIs" dxfId="96" priority="53" stopIfTrue="1" operator="lessThan">
      <formula>0</formula>
    </cfRule>
    <cfRule type="cellIs" dxfId="95" priority="54" stopIfTrue="1" operator="lessThan">
      <formula>0</formula>
    </cfRule>
  </conditionalFormatting>
  <conditionalFormatting sqref="C93">
    <cfRule type="cellIs" dxfId="94" priority="49" stopIfTrue="1" operator="lessThan">
      <formula>0</formula>
    </cfRule>
    <cfRule type="cellIs" dxfId="93" priority="50" stopIfTrue="1" operator="lessThan">
      <formula>0</formula>
    </cfRule>
    <cfRule type="cellIs" dxfId="92" priority="51" stopIfTrue="1" operator="lessThan">
      <formula>0</formula>
    </cfRule>
  </conditionalFormatting>
  <conditionalFormatting sqref="C99">
    <cfRule type="cellIs" dxfId="91" priority="46" stopIfTrue="1" operator="lessThan">
      <formula>0</formula>
    </cfRule>
    <cfRule type="cellIs" dxfId="90" priority="47" stopIfTrue="1" operator="lessThan">
      <formula>0</formula>
    </cfRule>
    <cfRule type="cellIs" dxfId="89" priority="48" stopIfTrue="1" operator="lessThan">
      <formula>0</formula>
    </cfRule>
  </conditionalFormatting>
  <conditionalFormatting sqref="C108">
    <cfRule type="cellIs" dxfId="88" priority="43" stopIfTrue="1" operator="lessThan">
      <formula>0</formula>
    </cfRule>
    <cfRule type="cellIs" dxfId="87" priority="44" stopIfTrue="1" operator="lessThan">
      <formula>0</formula>
    </cfRule>
    <cfRule type="cellIs" dxfId="86" priority="45" stopIfTrue="1" operator="lessThan">
      <formula>0</formula>
    </cfRule>
  </conditionalFormatting>
  <conditionalFormatting sqref="C115">
    <cfRule type="cellIs" dxfId="85" priority="40" stopIfTrue="1" operator="lessThan">
      <formula>0</formula>
    </cfRule>
    <cfRule type="cellIs" dxfId="84" priority="41" stopIfTrue="1" operator="lessThan">
      <formula>0</formula>
    </cfRule>
    <cfRule type="cellIs" dxfId="83" priority="42" stopIfTrue="1" operator="lessThan">
      <formula>0</formula>
    </cfRule>
  </conditionalFormatting>
  <conditionalFormatting sqref="C123">
    <cfRule type="cellIs" dxfId="82" priority="37" stopIfTrue="1" operator="lessThan">
      <formula>0</formula>
    </cfRule>
    <cfRule type="cellIs" dxfId="81" priority="38" stopIfTrue="1" operator="lessThan">
      <formula>0</formula>
    </cfRule>
    <cfRule type="cellIs" dxfId="80" priority="39" stopIfTrue="1" operator="lessThan">
      <formula>0</formula>
    </cfRule>
  </conditionalFormatting>
  <conditionalFormatting sqref="C130">
    <cfRule type="cellIs" dxfId="79" priority="34" stopIfTrue="1" operator="lessThan">
      <formula>0</formula>
    </cfRule>
    <cfRule type="cellIs" dxfId="78" priority="35" stopIfTrue="1" operator="lessThan">
      <formula>0</formula>
    </cfRule>
    <cfRule type="cellIs" dxfId="77" priority="36" stopIfTrue="1" operator="lessThan">
      <formula>0</formula>
    </cfRule>
  </conditionalFormatting>
  <conditionalFormatting sqref="C139:C140">
    <cfRule type="cellIs" dxfId="76" priority="31" stopIfTrue="1" operator="lessThan">
      <formula>0</formula>
    </cfRule>
    <cfRule type="cellIs" dxfId="75" priority="32" stopIfTrue="1" operator="lessThan">
      <formula>0</formula>
    </cfRule>
    <cfRule type="cellIs" dxfId="74" priority="33" stopIfTrue="1" operator="lessThan">
      <formula>0</formula>
    </cfRule>
  </conditionalFormatting>
  <conditionalFormatting sqref="C149">
    <cfRule type="cellIs" dxfId="73" priority="28" stopIfTrue="1" operator="lessThan">
      <formula>0</formula>
    </cfRule>
    <cfRule type="cellIs" dxfId="72" priority="29" stopIfTrue="1" operator="lessThan">
      <formula>0</formula>
    </cfRule>
    <cfRule type="cellIs" dxfId="71" priority="30" stopIfTrue="1" operator="lessThan">
      <formula>0</formula>
    </cfRule>
  </conditionalFormatting>
  <conditionalFormatting sqref="C156">
    <cfRule type="cellIs" dxfId="70" priority="25" stopIfTrue="1" operator="lessThan">
      <formula>0</formula>
    </cfRule>
    <cfRule type="cellIs" dxfId="69" priority="26" stopIfTrue="1" operator="lessThan">
      <formula>0</formula>
    </cfRule>
    <cfRule type="cellIs" dxfId="68" priority="27" stopIfTrue="1" operator="lessThan">
      <formula>0</formula>
    </cfRule>
  </conditionalFormatting>
  <conditionalFormatting sqref="C163">
    <cfRule type="cellIs" dxfId="67" priority="22" stopIfTrue="1" operator="lessThan">
      <formula>0</formula>
    </cfRule>
    <cfRule type="cellIs" dxfId="66" priority="23" stopIfTrue="1" operator="lessThan">
      <formula>0</formula>
    </cfRule>
    <cfRule type="cellIs" dxfId="65" priority="24" stopIfTrue="1" operator="lessThan">
      <formula>0</formula>
    </cfRule>
  </conditionalFormatting>
  <conditionalFormatting sqref="C170:C171">
    <cfRule type="cellIs" dxfId="64" priority="19" stopIfTrue="1" operator="lessThan">
      <formula>0</formula>
    </cfRule>
    <cfRule type="cellIs" dxfId="63" priority="20" stopIfTrue="1" operator="lessThan">
      <formula>0</formula>
    </cfRule>
    <cfRule type="cellIs" dxfId="62" priority="21" stopIfTrue="1" operator="lessThan">
      <formula>0</formula>
    </cfRule>
  </conditionalFormatting>
  <conditionalFormatting sqref="C180">
    <cfRule type="cellIs" dxfId="61" priority="16" stopIfTrue="1" operator="lessThan">
      <formula>0</formula>
    </cfRule>
    <cfRule type="cellIs" dxfId="60" priority="17" stopIfTrue="1" operator="lessThan">
      <formula>0</formula>
    </cfRule>
    <cfRule type="cellIs" dxfId="59" priority="18" stopIfTrue="1" operator="lessThan">
      <formula>0</formula>
    </cfRule>
  </conditionalFormatting>
  <conditionalFormatting sqref="C186">
    <cfRule type="cellIs" dxfId="58" priority="13" stopIfTrue="1" operator="lessThan">
      <formula>0</formula>
    </cfRule>
    <cfRule type="cellIs" dxfId="57" priority="14" stopIfTrue="1" operator="lessThan">
      <formula>0</formula>
    </cfRule>
    <cfRule type="cellIs" dxfId="56" priority="15" stopIfTrue="1" operator="lessThan">
      <formula>0</formula>
    </cfRule>
  </conditionalFormatting>
  <conditionalFormatting sqref="C194">
    <cfRule type="cellIs" dxfId="55" priority="10" stopIfTrue="1" operator="lessThan">
      <formula>0</formula>
    </cfRule>
    <cfRule type="cellIs" dxfId="54" priority="11" stopIfTrue="1" operator="lessThan">
      <formula>0</formula>
    </cfRule>
    <cfRule type="cellIs" dxfId="53" priority="12" stopIfTrue="1" operator="lessThan">
      <formula>0</formula>
    </cfRule>
  </conditionalFormatting>
  <conditionalFormatting sqref="C201">
    <cfRule type="cellIs" dxfId="52" priority="7" stopIfTrue="1" operator="lessThan">
      <formula>0</formula>
    </cfRule>
    <cfRule type="cellIs" dxfId="51" priority="8" stopIfTrue="1" operator="lessThan">
      <formula>0</formula>
    </cfRule>
    <cfRule type="cellIs" dxfId="50" priority="9" stopIfTrue="1" operator="lessThan">
      <formula>0</formula>
    </cfRule>
  </conditionalFormatting>
  <conditionalFormatting sqref="C210">
    <cfRule type="cellIs" dxfId="49" priority="4" stopIfTrue="1" operator="lessThan">
      <formula>0</formula>
    </cfRule>
    <cfRule type="cellIs" dxfId="48" priority="5" stopIfTrue="1" operator="lessThan">
      <formula>0</formula>
    </cfRule>
    <cfRule type="cellIs" dxfId="47" priority="6" stopIfTrue="1" operator="lessThan">
      <formula>0</formula>
    </cfRule>
  </conditionalFormatting>
  <conditionalFormatting sqref="C218">
    <cfRule type="cellIs" dxfId="46" priority="1" stopIfTrue="1" operator="lessThan">
      <formula>0</formula>
    </cfRule>
    <cfRule type="cellIs" dxfId="45" priority="2" stopIfTrue="1" operator="lessThan">
      <formula>0</formula>
    </cfRule>
    <cfRule type="cellIs" dxfId="44" priority="3" stopIfTrue="1" operator="lessThan">
      <formula>0</formula>
    </cfRule>
  </conditionalFormatting>
  <dataValidations count="1">
    <dataValidation allowBlank="1" showInputMessage="1" showErrorMessage="1" prompt="Cột 1, 2, 3, 4, 5 link đầy đủ từ sheet QT sang" sqref="WVJ983256:WVJ983938 IX6:IX214 ST6:ST214 ACP6:ACP214 AML6:AML214 AWH6:AWH214 BGD6:BGD214 BPZ6:BPZ214 BZV6:BZV214 CJR6:CJR214 CTN6:CTN214 DDJ6:DDJ214 DNF6:DNF214 DXB6:DXB214 EGX6:EGX214 EQT6:EQT214 FAP6:FAP214 FKL6:FKL214 FUH6:FUH214 GED6:GED214 GNZ6:GNZ214 GXV6:GXV214 HHR6:HHR214 HRN6:HRN214 IBJ6:IBJ214 ILF6:ILF214 IVB6:IVB214 JEX6:JEX214 JOT6:JOT214 JYP6:JYP214 KIL6:KIL214 KSH6:KSH214 LCD6:LCD214 LLZ6:LLZ214 LVV6:LVV214 MFR6:MFR214 MPN6:MPN214 MZJ6:MZJ214 NJF6:NJF214 NTB6:NTB214 OCX6:OCX214 OMT6:OMT214 OWP6:OWP214 PGL6:PGL214 PQH6:PQH214 QAD6:QAD214 QJZ6:QJZ214 QTV6:QTV214 RDR6:RDR214 RNN6:RNN214 RXJ6:RXJ214 SHF6:SHF214 SRB6:SRB214 TAX6:TAX214 TKT6:TKT214 TUP6:TUP214 UEL6:UEL214 UOH6:UOH214 UYD6:UYD214 VHZ6:VHZ214 VRV6:VRV214 WBR6:WBR214 WLN6:WLN214 WVJ6:WVJ214 B65542:B65750 IX65542:IX65750 ST65542:ST65750 ACP65542:ACP65750 AML65542:AML65750 AWH65542:AWH65750 BGD65542:BGD65750 BPZ65542:BPZ65750 BZV65542:BZV65750 CJR65542:CJR65750 CTN65542:CTN65750 DDJ65542:DDJ65750 DNF65542:DNF65750 DXB65542:DXB65750 EGX65542:EGX65750 EQT65542:EQT65750 FAP65542:FAP65750 FKL65542:FKL65750 FUH65542:FUH65750 GED65542:GED65750 GNZ65542:GNZ65750 GXV65542:GXV65750 HHR65542:HHR65750 HRN65542:HRN65750 IBJ65542:IBJ65750 ILF65542:ILF65750 IVB65542:IVB65750 JEX65542:JEX65750 JOT65542:JOT65750 JYP65542:JYP65750 KIL65542:KIL65750 KSH65542:KSH65750 LCD65542:LCD65750 LLZ65542:LLZ65750 LVV65542:LVV65750 MFR65542:MFR65750 MPN65542:MPN65750 MZJ65542:MZJ65750 NJF65542:NJF65750 NTB65542:NTB65750 OCX65542:OCX65750 OMT65542:OMT65750 OWP65542:OWP65750 PGL65542:PGL65750 PQH65542:PQH65750 QAD65542:QAD65750 QJZ65542:QJZ65750 QTV65542:QTV65750 RDR65542:RDR65750 RNN65542:RNN65750 RXJ65542:RXJ65750 SHF65542:SHF65750 SRB65542:SRB65750 TAX65542:TAX65750 TKT65542:TKT65750 TUP65542:TUP65750 UEL65542:UEL65750 UOH65542:UOH65750 UYD65542:UYD65750 VHZ65542:VHZ65750 VRV65542:VRV65750 WBR65542:WBR65750 WLN65542:WLN65750 WVJ65542:WVJ65750 B131078:B131286 IX131078:IX131286 ST131078:ST131286 ACP131078:ACP131286 AML131078:AML131286 AWH131078:AWH131286 BGD131078:BGD131286 BPZ131078:BPZ131286 BZV131078:BZV131286 CJR131078:CJR131286 CTN131078:CTN131286 DDJ131078:DDJ131286 DNF131078:DNF131286 DXB131078:DXB131286 EGX131078:EGX131286 EQT131078:EQT131286 FAP131078:FAP131286 FKL131078:FKL131286 FUH131078:FUH131286 GED131078:GED131286 GNZ131078:GNZ131286 GXV131078:GXV131286 HHR131078:HHR131286 HRN131078:HRN131286 IBJ131078:IBJ131286 ILF131078:ILF131286 IVB131078:IVB131286 JEX131078:JEX131286 JOT131078:JOT131286 JYP131078:JYP131286 KIL131078:KIL131286 KSH131078:KSH131286 LCD131078:LCD131286 LLZ131078:LLZ131286 LVV131078:LVV131286 MFR131078:MFR131286 MPN131078:MPN131286 MZJ131078:MZJ131286 NJF131078:NJF131286 NTB131078:NTB131286 OCX131078:OCX131286 OMT131078:OMT131286 OWP131078:OWP131286 PGL131078:PGL131286 PQH131078:PQH131286 QAD131078:QAD131286 QJZ131078:QJZ131286 QTV131078:QTV131286 RDR131078:RDR131286 RNN131078:RNN131286 RXJ131078:RXJ131286 SHF131078:SHF131286 SRB131078:SRB131286 TAX131078:TAX131286 TKT131078:TKT131286 TUP131078:TUP131286 UEL131078:UEL131286 UOH131078:UOH131286 UYD131078:UYD131286 VHZ131078:VHZ131286 VRV131078:VRV131286 WBR131078:WBR131286 WLN131078:WLN131286 WVJ131078:WVJ131286 B196614:B196822 IX196614:IX196822 ST196614:ST196822 ACP196614:ACP196822 AML196614:AML196822 AWH196614:AWH196822 BGD196614:BGD196822 BPZ196614:BPZ196822 BZV196614:BZV196822 CJR196614:CJR196822 CTN196614:CTN196822 DDJ196614:DDJ196822 DNF196614:DNF196822 DXB196614:DXB196822 EGX196614:EGX196822 EQT196614:EQT196822 FAP196614:FAP196822 FKL196614:FKL196822 FUH196614:FUH196822 GED196614:GED196822 GNZ196614:GNZ196822 GXV196614:GXV196822 HHR196614:HHR196822 HRN196614:HRN196822 IBJ196614:IBJ196822 ILF196614:ILF196822 IVB196614:IVB196822 JEX196614:JEX196822 JOT196614:JOT196822 JYP196614:JYP196822 KIL196614:KIL196822 KSH196614:KSH196822 LCD196614:LCD196822 LLZ196614:LLZ196822 LVV196614:LVV196822 MFR196614:MFR196822 MPN196614:MPN196822 MZJ196614:MZJ196822 NJF196614:NJF196822 NTB196614:NTB196822 OCX196614:OCX196822 OMT196614:OMT196822 OWP196614:OWP196822 PGL196614:PGL196822 PQH196614:PQH196822 QAD196614:QAD196822 QJZ196614:QJZ196822 QTV196614:QTV196822 RDR196614:RDR196822 RNN196614:RNN196822 RXJ196614:RXJ196822 SHF196614:SHF196822 SRB196614:SRB196822 TAX196614:TAX196822 TKT196614:TKT196822 TUP196614:TUP196822 UEL196614:UEL196822 UOH196614:UOH196822 UYD196614:UYD196822 VHZ196614:VHZ196822 VRV196614:VRV196822 WBR196614:WBR196822 WLN196614:WLN196822 WVJ196614:WVJ196822 B262150:B262358 IX262150:IX262358 ST262150:ST262358 ACP262150:ACP262358 AML262150:AML262358 AWH262150:AWH262358 BGD262150:BGD262358 BPZ262150:BPZ262358 BZV262150:BZV262358 CJR262150:CJR262358 CTN262150:CTN262358 DDJ262150:DDJ262358 DNF262150:DNF262358 DXB262150:DXB262358 EGX262150:EGX262358 EQT262150:EQT262358 FAP262150:FAP262358 FKL262150:FKL262358 FUH262150:FUH262358 GED262150:GED262358 GNZ262150:GNZ262358 GXV262150:GXV262358 HHR262150:HHR262358 HRN262150:HRN262358 IBJ262150:IBJ262358 ILF262150:ILF262358 IVB262150:IVB262358 JEX262150:JEX262358 JOT262150:JOT262358 JYP262150:JYP262358 KIL262150:KIL262358 KSH262150:KSH262358 LCD262150:LCD262358 LLZ262150:LLZ262358 LVV262150:LVV262358 MFR262150:MFR262358 MPN262150:MPN262358 MZJ262150:MZJ262358 NJF262150:NJF262358 NTB262150:NTB262358 OCX262150:OCX262358 OMT262150:OMT262358 OWP262150:OWP262358 PGL262150:PGL262358 PQH262150:PQH262358 QAD262150:QAD262358 QJZ262150:QJZ262358 QTV262150:QTV262358 RDR262150:RDR262358 RNN262150:RNN262358 RXJ262150:RXJ262358 SHF262150:SHF262358 SRB262150:SRB262358 TAX262150:TAX262358 TKT262150:TKT262358 TUP262150:TUP262358 UEL262150:UEL262358 UOH262150:UOH262358 UYD262150:UYD262358 VHZ262150:VHZ262358 VRV262150:VRV262358 WBR262150:WBR262358 WLN262150:WLN262358 WVJ262150:WVJ262358 B327686:B327894 IX327686:IX327894 ST327686:ST327894 ACP327686:ACP327894 AML327686:AML327894 AWH327686:AWH327894 BGD327686:BGD327894 BPZ327686:BPZ327894 BZV327686:BZV327894 CJR327686:CJR327894 CTN327686:CTN327894 DDJ327686:DDJ327894 DNF327686:DNF327894 DXB327686:DXB327894 EGX327686:EGX327894 EQT327686:EQT327894 FAP327686:FAP327894 FKL327686:FKL327894 FUH327686:FUH327894 GED327686:GED327894 GNZ327686:GNZ327894 GXV327686:GXV327894 HHR327686:HHR327894 HRN327686:HRN327894 IBJ327686:IBJ327894 ILF327686:ILF327894 IVB327686:IVB327894 JEX327686:JEX327894 JOT327686:JOT327894 JYP327686:JYP327894 KIL327686:KIL327894 KSH327686:KSH327894 LCD327686:LCD327894 LLZ327686:LLZ327894 LVV327686:LVV327894 MFR327686:MFR327894 MPN327686:MPN327894 MZJ327686:MZJ327894 NJF327686:NJF327894 NTB327686:NTB327894 OCX327686:OCX327894 OMT327686:OMT327894 OWP327686:OWP327894 PGL327686:PGL327894 PQH327686:PQH327894 QAD327686:QAD327894 QJZ327686:QJZ327894 QTV327686:QTV327894 RDR327686:RDR327894 RNN327686:RNN327894 RXJ327686:RXJ327894 SHF327686:SHF327894 SRB327686:SRB327894 TAX327686:TAX327894 TKT327686:TKT327894 TUP327686:TUP327894 UEL327686:UEL327894 UOH327686:UOH327894 UYD327686:UYD327894 VHZ327686:VHZ327894 VRV327686:VRV327894 WBR327686:WBR327894 WLN327686:WLN327894 WVJ327686:WVJ327894 B393222:B393430 IX393222:IX393430 ST393222:ST393430 ACP393222:ACP393430 AML393222:AML393430 AWH393222:AWH393430 BGD393222:BGD393430 BPZ393222:BPZ393430 BZV393222:BZV393430 CJR393222:CJR393430 CTN393222:CTN393430 DDJ393222:DDJ393430 DNF393222:DNF393430 DXB393222:DXB393430 EGX393222:EGX393430 EQT393222:EQT393430 FAP393222:FAP393430 FKL393222:FKL393430 FUH393222:FUH393430 GED393222:GED393430 GNZ393222:GNZ393430 GXV393222:GXV393430 HHR393222:HHR393430 HRN393222:HRN393430 IBJ393222:IBJ393430 ILF393222:ILF393430 IVB393222:IVB393430 JEX393222:JEX393430 JOT393222:JOT393430 JYP393222:JYP393430 KIL393222:KIL393430 KSH393222:KSH393430 LCD393222:LCD393430 LLZ393222:LLZ393430 LVV393222:LVV393430 MFR393222:MFR393430 MPN393222:MPN393430 MZJ393222:MZJ393430 NJF393222:NJF393430 NTB393222:NTB393430 OCX393222:OCX393430 OMT393222:OMT393430 OWP393222:OWP393430 PGL393222:PGL393430 PQH393222:PQH393430 QAD393222:QAD393430 QJZ393222:QJZ393430 QTV393222:QTV393430 RDR393222:RDR393430 RNN393222:RNN393430 RXJ393222:RXJ393430 SHF393222:SHF393430 SRB393222:SRB393430 TAX393222:TAX393430 TKT393222:TKT393430 TUP393222:TUP393430 UEL393222:UEL393430 UOH393222:UOH393430 UYD393222:UYD393430 VHZ393222:VHZ393430 VRV393222:VRV393430 WBR393222:WBR393430 WLN393222:WLN393430 WVJ393222:WVJ393430 B458758:B458966 IX458758:IX458966 ST458758:ST458966 ACP458758:ACP458966 AML458758:AML458966 AWH458758:AWH458966 BGD458758:BGD458966 BPZ458758:BPZ458966 BZV458758:BZV458966 CJR458758:CJR458966 CTN458758:CTN458966 DDJ458758:DDJ458966 DNF458758:DNF458966 DXB458758:DXB458966 EGX458758:EGX458966 EQT458758:EQT458966 FAP458758:FAP458966 FKL458758:FKL458966 FUH458758:FUH458966 GED458758:GED458966 GNZ458758:GNZ458966 GXV458758:GXV458966 HHR458758:HHR458966 HRN458758:HRN458966 IBJ458758:IBJ458966 ILF458758:ILF458966 IVB458758:IVB458966 JEX458758:JEX458966 JOT458758:JOT458966 JYP458758:JYP458966 KIL458758:KIL458966 KSH458758:KSH458966 LCD458758:LCD458966 LLZ458758:LLZ458966 LVV458758:LVV458966 MFR458758:MFR458966 MPN458758:MPN458966 MZJ458758:MZJ458966 NJF458758:NJF458966 NTB458758:NTB458966 OCX458758:OCX458966 OMT458758:OMT458966 OWP458758:OWP458966 PGL458758:PGL458966 PQH458758:PQH458966 QAD458758:QAD458966 QJZ458758:QJZ458966 QTV458758:QTV458966 RDR458758:RDR458966 RNN458758:RNN458966 RXJ458758:RXJ458966 SHF458758:SHF458966 SRB458758:SRB458966 TAX458758:TAX458966 TKT458758:TKT458966 TUP458758:TUP458966 UEL458758:UEL458966 UOH458758:UOH458966 UYD458758:UYD458966 VHZ458758:VHZ458966 VRV458758:VRV458966 WBR458758:WBR458966 WLN458758:WLN458966 WVJ458758:WVJ458966 B524294:B524502 IX524294:IX524502 ST524294:ST524502 ACP524294:ACP524502 AML524294:AML524502 AWH524294:AWH524502 BGD524294:BGD524502 BPZ524294:BPZ524502 BZV524294:BZV524502 CJR524294:CJR524502 CTN524294:CTN524502 DDJ524294:DDJ524502 DNF524294:DNF524502 DXB524294:DXB524502 EGX524294:EGX524502 EQT524294:EQT524502 FAP524294:FAP524502 FKL524294:FKL524502 FUH524294:FUH524502 GED524294:GED524502 GNZ524294:GNZ524502 GXV524294:GXV524502 HHR524294:HHR524502 HRN524294:HRN524502 IBJ524294:IBJ524502 ILF524294:ILF524502 IVB524294:IVB524502 JEX524294:JEX524502 JOT524294:JOT524502 JYP524294:JYP524502 KIL524294:KIL524502 KSH524294:KSH524502 LCD524294:LCD524502 LLZ524294:LLZ524502 LVV524294:LVV524502 MFR524294:MFR524502 MPN524294:MPN524502 MZJ524294:MZJ524502 NJF524294:NJF524502 NTB524294:NTB524502 OCX524294:OCX524502 OMT524294:OMT524502 OWP524294:OWP524502 PGL524294:PGL524502 PQH524294:PQH524502 QAD524294:QAD524502 QJZ524294:QJZ524502 QTV524294:QTV524502 RDR524294:RDR524502 RNN524294:RNN524502 RXJ524294:RXJ524502 SHF524294:SHF524502 SRB524294:SRB524502 TAX524294:TAX524502 TKT524294:TKT524502 TUP524294:TUP524502 UEL524294:UEL524502 UOH524294:UOH524502 UYD524294:UYD524502 VHZ524294:VHZ524502 VRV524294:VRV524502 WBR524294:WBR524502 WLN524294:WLN524502 WVJ524294:WVJ524502 B589830:B590038 IX589830:IX590038 ST589830:ST590038 ACP589830:ACP590038 AML589830:AML590038 AWH589830:AWH590038 BGD589830:BGD590038 BPZ589830:BPZ590038 BZV589830:BZV590038 CJR589830:CJR590038 CTN589830:CTN590038 DDJ589830:DDJ590038 DNF589830:DNF590038 DXB589830:DXB590038 EGX589830:EGX590038 EQT589830:EQT590038 FAP589830:FAP590038 FKL589830:FKL590038 FUH589830:FUH590038 GED589830:GED590038 GNZ589830:GNZ590038 GXV589830:GXV590038 HHR589830:HHR590038 HRN589830:HRN590038 IBJ589830:IBJ590038 ILF589830:ILF590038 IVB589830:IVB590038 JEX589830:JEX590038 JOT589830:JOT590038 JYP589830:JYP590038 KIL589830:KIL590038 KSH589830:KSH590038 LCD589830:LCD590038 LLZ589830:LLZ590038 LVV589830:LVV590038 MFR589830:MFR590038 MPN589830:MPN590038 MZJ589830:MZJ590038 NJF589830:NJF590038 NTB589830:NTB590038 OCX589830:OCX590038 OMT589830:OMT590038 OWP589830:OWP590038 PGL589830:PGL590038 PQH589830:PQH590038 QAD589830:QAD590038 QJZ589830:QJZ590038 QTV589830:QTV590038 RDR589830:RDR590038 RNN589830:RNN590038 RXJ589830:RXJ590038 SHF589830:SHF590038 SRB589830:SRB590038 TAX589830:TAX590038 TKT589830:TKT590038 TUP589830:TUP590038 UEL589830:UEL590038 UOH589830:UOH590038 UYD589830:UYD590038 VHZ589830:VHZ590038 VRV589830:VRV590038 WBR589830:WBR590038 WLN589830:WLN590038 WVJ589830:WVJ590038 B655366:B655574 IX655366:IX655574 ST655366:ST655574 ACP655366:ACP655574 AML655366:AML655574 AWH655366:AWH655574 BGD655366:BGD655574 BPZ655366:BPZ655574 BZV655366:BZV655574 CJR655366:CJR655574 CTN655366:CTN655574 DDJ655366:DDJ655574 DNF655366:DNF655574 DXB655366:DXB655574 EGX655366:EGX655574 EQT655366:EQT655574 FAP655366:FAP655574 FKL655366:FKL655574 FUH655366:FUH655574 GED655366:GED655574 GNZ655366:GNZ655574 GXV655366:GXV655574 HHR655366:HHR655574 HRN655366:HRN655574 IBJ655366:IBJ655574 ILF655366:ILF655574 IVB655366:IVB655574 JEX655366:JEX655574 JOT655366:JOT655574 JYP655366:JYP655574 KIL655366:KIL655574 KSH655366:KSH655574 LCD655366:LCD655574 LLZ655366:LLZ655574 LVV655366:LVV655574 MFR655366:MFR655574 MPN655366:MPN655574 MZJ655366:MZJ655574 NJF655366:NJF655574 NTB655366:NTB655574 OCX655366:OCX655574 OMT655366:OMT655574 OWP655366:OWP655574 PGL655366:PGL655574 PQH655366:PQH655574 QAD655366:QAD655574 QJZ655366:QJZ655574 QTV655366:QTV655574 RDR655366:RDR655574 RNN655366:RNN655574 RXJ655366:RXJ655574 SHF655366:SHF655574 SRB655366:SRB655574 TAX655366:TAX655574 TKT655366:TKT655574 TUP655366:TUP655574 UEL655366:UEL655574 UOH655366:UOH655574 UYD655366:UYD655574 VHZ655366:VHZ655574 VRV655366:VRV655574 WBR655366:WBR655574 WLN655366:WLN655574 WVJ655366:WVJ655574 B720902:B721110 IX720902:IX721110 ST720902:ST721110 ACP720902:ACP721110 AML720902:AML721110 AWH720902:AWH721110 BGD720902:BGD721110 BPZ720902:BPZ721110 BZV720902:BZV721110 CJR720902:CJR721110 CTN720902:CTN721110 DDJ720902:DDJ721110 DNF720902:DNF721110 DXB720902:DXB721110 EGX720902:EGX721110 EQT720902:EQT721110 FAP720902:FAP721110 FKL720902:FKL721110 FUH720902:FUH721110 GED720902:GED721110 GNZ720902:GNZ721110 GXV720902:GXV721110 HHR720902:HHR721110 HRN720902:HRN721110 IBJ720902:IBJ721110 ILF720902:ILF721110 IVB720902:IVB721110 JEX720902:JEX721110 JOT720902:JOT721110 JYP720902:JYP721110 KIL720902:KIL721110 KSH720902:KSH721110 LCD720902:LCD721110 LLZ720902:LLZ721110 LVV720902:LVV721110 MFR720902:MFR721110 MPN720902:MPN721110 MZJ720902:MZJ721110 NJF720902:NJF721110 NTB720902:NTB721110 OCX720902:OCX721110 OMT720902:OMT721110 OWP720902:OWP721110 PGL720902:PGL721110 PQH720902:PQH721110 QAD720902:QAD721110 QJZ720902:QJZ721110 QTV720902:QTV721110 RDR720902:RDR721110 RNN720902:RNN721110 RXJ720902:RXJ721110 SHF720902:SHF721110 SRB720902:SRB721110 TAX720902:TAX721110 TKT720902:TKT721110 TUP720902:TUP721110 UEL720902:UEL721110 UOH720902:UOH721110 UYD720902:UYD721110 VHZ720902:VHZ721110 VRV720902:VRV721110 WBR720902:WBR721110 WLN720902:WLN721110 WVJ720902:WVJ721110 B786438:B786646 IX786438:IX786646 ST786438:ST786646 ACP786438:ACP786646 AML786438:AML786646 AWH786438:AWH786646 BGD786438:BGD786646 BPZ786438:BPZ786646 BZV786438:BZV786646 CJR786438:CJR786646 CTN786438:CTN786646 DDJ786438:DDJ786646 DNF786438:DNF786646 DXB786438:DXB786646 EGX786438:EGX786646 EQT786438:EQT786646 FAP786438:FAP786646 FKL786438:FKL786646 FUH786438:FUH786646 GED786438:GED786646 GNZ786438:GNZ786646 GXV786438:GXV786646 HHR786438:HHR786646 HRN786438:HRN786646 IBJ786438:IBJ786646 ILF786438:ILF786646 IVB786438:IVB786646 JEX786438:JEX786646 JOT786438:JOT786646 JYP786438:JYP786646 KIL786438:KIL786646 KSH786438:KSH786646 LCD786438:LCD786646 LLZ786438:LLZ786646 LVV786438:LVV786646 MFR786438:MFR786646 MPN786438:MPN786646 MZJ786438:MZJ786646 NJF786438:NJF786646 NTB786438:NTB786646 OCX786438:OCX786646 OMT786438:OMT786646 OWP786438:OWP786646 PGL786438:PGL786646 PQH786438:PQH786646 QAD786438:QAD786646 QJZ786438:QJZ786646 QTV786438:QTV786646 RDR786438:RDR786646 RNN786438:RNN786646 RXJ786438:RXJ786646 SHF786438:SHF786646 SRB786438:SRB786646 TAX786438:TAX786646 TKT786438:TKT786646 TUP786438:TUP786646 UEL786438:UEL786646 UOH786438:UOH786646 UYD786438:UYD786646 VHZ786438:VHZ786646 VRV786438:VRV786646 WBR786438:WBR786646 WLN786438:WLN786646 WVJ786438:WVJ786646 B851974:B852182 IX851974:IX852182 ST851974:ST852182 ACP851974:ACP852182 AML851974:AML852182 AWH851974:AWH852182 BGD851974:BGD852182 BPZ851974:BPZ852182 BZV851974:BZV852182 CJR851974:CJR852182 CTN851974:CTN852182 DDJ851974:DDJ852182 DNF851974:DNF852182 DXB851974:DXB852182 EGX851974:EGX852182 EQT851974:EQT852182 FAP851974:FAP852182 FKL851974:FKL852182 FUH851974:FUH852182 GED851974:GED852182 GNZ851974:GNZ852182 GXV851974:GXV852182 HHR851974:HHR852182 HRN851974:HRN852182 IBJ851974:IBJ852182 ILF851974:ILF852182 IVB851974:IVB852182 JEX851974:JEX852182 JOT851974:JOT852182 JYP851974:JYP852182 KIL851974:KIL852182 KSH851974:KSH852182 LCD851974:LCD852182 LLZ851974:LLZ852182 LVV851974:LVV852182 MFR851974:MFR852182 MPN851974:MPN852182 MZJ851974:MZJ852182 NJF851974:NJF852182 NTB851974:NTB852182 OCX851974:OCX852182 OMT851974:OMT852182 OWP851974:OWP852182 PGL851974:PGL852182 PQH851974:PQH852182 QAD851974:QAD852182 QJZ851974:QJZ852182 QTV851974:QTV852182 RDR851974:RDR852182 RNN851974:RNN852182 RXJ851974:RXJ852182 SHF851974:SHF852182 SRB851974:SRB852182 TAX851974:TAX852182 TKT851974:TKT852182 TUP851974:TUP852182 UEL851974:UEL852182 UOH851974:UOH852182 UYD851974:UYD852182 VHZ851974:VHZ852182 VRV851974:VRV852182 WBR851974:WBR852182 WLN851974:WLN852182 WVJ851974:WVJ852182 B917510:B917718 IX917510:IX917718 ST917510:ST917718 ACP917510:ACP917718 AML917510:AML917718 AWH917510:AWH917718 BGD917510:BGD917718 BPZ917510:BPZ917718 BZV917510:BZV917718 CJR917510:CJR917718 CTN917510:CTN917718 DDJ917510:DDJ917718 DNF917510:DNF917718 DXB917510:DXB917718 EGX917510:EGX917718 EQT917510:EQT917718 FAP917510:FAP917718 FKL917510:FKL917718 FUH917510:FUH917718 GED917510:GED917718 GNZ917510:GNZ917718 GXV917510:GXV917718 HHR917510:HHR917718 HRN917510:HRN917718 IBJ917510:IBJ917718 ILF917510:ILF917718 IVB917510:IVB917718 JEX917510:JEX917718 JOT917510:JOT917718 JYP917510:JYP917718 KIL917510:KIL917718 KSH917510:KSH917718 LCD917510:LCD917718 LLZ917510:LLZ917718 LVV917510:LVV917718 MFR917510:MFR917718 MPN917510:MPN917718 MZJ917510:MZJ917718 NJF917510:NJF917718 NTB917510:NTB917718 OCX917510:OCX917718 OMT917510:OMT917718 OWP917510:OWP917718 PGL917510:PGL917718 PQH917510:PQH917718 QAD917510:QAD917718 QJZ917510:QJZ917718 QTV917510:QTV917718 RDR917510:RDR917718 RNN917510:RNN917718 RXJ917510:RXJ917718 SHF917510:SHF917718 SRB917510:SRB917718 TAX917510:TAX917718 TKT917510:TKT917718 TUP917510:TUP917718 UEL917510:UEL917718 UOH917510:UOH917718 UYD917510:UYD917718 VHZ917510:VHZ917718 VRV917510:VRV917718 WBR917510:WBR917718 WLN917510:WLN917718 WVJ917510:WVJ917718 B983046:B983254 IX983046:IX983254 ST983046:ST983254 ACP983046:ACP983254 AML983046:AML983254 AWH983046:AWH983254 BGD983046:BGD983254 BPZ983046:BPZ983254 BZV983046:BZV983254 CJR983046:CJR983254 CTN983046:CTN983254 DDJ983046:DDJ983254 DNF983046:DNF983254 DXB983046:DXB983254 EGX983046:EGX983254 EQT983046:EQT983254 FAP983046:FAP983254 FKL983046:FKL983254 FUH983046:FUH983254 GED983046:GED983254 GNZ983046:GNZ983254 GXV983046:GXV983254 HHR983046:HHR983254 HRN983046:HRN983254 IBJ983046:IBJ983254 ILF983046:ILF983254 IVB983046:IVB983254 JEX983046:JEX983254 JOT983046:JOT983254 JYP983046:JYP983254 KIL983046:KIL983254 KSH983046:KSH983254 LCD983046:LCD983254 LLZ983046:LLZ983254 LVV983046:LVV983254 MFR983046:MFR983254 MPN983046:MPN983254 MZJ983046:MZJ983254 NJF983046:NJF983254 NTB983046:NTB983254 OCX983046:OCX983254 OMT983046:OMT983254 OWP983046:OWP983254 PGL983046:PGL983254 PQH983046:PQH983254 QAD983046:QAD983254 QJZ983046:QJZ983254 QTV983046:QTV983254 RDR983046:RDR983254 RNN983046:RNN983254 RXJ983046:RXJ983254 SHF983046:SHF983254 SRB983046:SRB983254 TAX983046:TAX983254 TKT983046:TKT983254 TUP983046:TUP983254 UEL983046:UEL983254 UOH983046:UOH983254 UYD983046:UYD983254 VHZ983046:VHZ983254 VRV983046:VRV983254 WBR983046:WBR983254 WLN983046:WLN983254 WVJ983046:WVJ983254 N298:N309 JJ298:JJ309 TF298:TF309 ADB298:ADB309 AMX298:AMX309 AWT298:AWT309 BGP298:BGP309 BQL298:BQL309 CAH298:CAH309 CKD298:CKD309 CTZ298:CTZ309 DDV298:DDV309 DNR298:DNR309 DXN298:DXN309 EHJ298:EHJ309 ERF298:ERF309 FBB298:FBB309 FKX298:FKX309 FUT298:FUT309 GEP298:GEP309 GOL298:GOL309 GYH298:GYH309 HID298:HID309 HRZ298:HRZ309 IBV298:IBV309 ILR298:ILR309 IVN298:IVN309 JFJ298:JFJ309 JPF298:JPF309 JZB298:JZB309 KIX298:KIX309 KST298:KST309 LCP298:LCP309 LML298:LML309 LWH298:LWH309 MGD298:MGD309 MPZ298:MPZ309 MZV298:MZV309 NJR298:NJR309 NTN298:NTN309 ODJ298:ODJ309 ONF298:ONF309 OXB298:OXB309 PGX298:PGX309 PQT298:PQT309 QAP298:QAP309 QKL298:QKL309 QUH298:QUH309 RED298:RED309 RNZ298:RNZ309 RXV298:RXV309 SHR298:SHR309 SRN298:SRN309 TBJ298:TBJ309 TLF298:TLF309 TVB298:TVB309 UEX298:UEX309 UOT298:UOT309 UYP298:UYP309 VIL298:VIL309 VSH298:VSH309 WCD298:WCD309 WLZ298:WLZ309 WVV298:WVV309 N65834:N65845 JJ65834:JJ65845 TF65834:TF65845 ADB65834:ADB65845 AMX65834:AMX65845 AWT65834:AWT65845 BGP65834:BGP65845 BQL65834:BQL65845 CAH65834:CAH65845 CKD65834:CKD65845 CTZ65834:CTZ65845 DDV65834:DDV65845 DNR65834:DNR65845 DXN65834:DXN65845 EHJ65834:EHJ65845 ERF65834:ERF65845 FBB65834:FBB65845 FKX65834:FKX65845 FUT65834:FUT65845 GEP65834:GEP65845 GOL65834:GOL65845 GYH65834:GYH65845 HID65834:HID65845 HRZ65834:HRZ65845 IBV65834:IBV65845 ILR65834:ILR65845 IVN65834:IVN65845 JFJ65834:JFJ65845 JPF65834:JPF65845 JZB65834:JZB65845 KIX65834:KIX65845 KST65834:KST65845 LCP65834:LCP65845 LML65834:LML65845 LWH65834:LWH65845 MGD65834:MGD65845 MPZ65834:MPZ65845 MZV65834:MZV65845 NJR65834:NJR65845 NTN65834:NTN65845 ODJ65834:ODJ65845 ONF65834:ONF65845 OXB65834:OXB65845 PGX65834:PGX65845 PQT65834:PQT65845 QAP65834:QAP65845 QKL65834:QKL65845 QUH65834:QUH65845 RED65834:RED65845 RNZ65834:RNZ65845 RXV65834:RXV65845 SHR65834:SHR65845 SRN65834:SRN65845 TBJ65834:TBJ65845 TLF65834:TLF65845 TVB65834:TVB65845 UEX65834:UEX65845 UOT65834:UOT65845 UYP65834:UYP65845 VIL65834:VIL65845 VSH65834:VSH65845 WCD65834:WCD65845 WLZ65834:WLZ65845 WVV65834:WVV65845 N131370:N131381 JJ131370:JJ131381 TF131370:TF131381 ADB131370:ADB131381 AMX131370:AMX131381 AWT131370:AWT131381 BGP131370:BGP131381 BQL131370:BQL131381 CAH131370:CAH131381 CKD131370:CKD131381 CTZ131370:CTZ131381 DDV131370:DDV131381 DNR131370:DNR131381 DXN131370:DXN131381 EHJ131370:EHJ131381 ERF131370:ERF131381 FBB131370:FBB131381 FKX131370:FKX131381 FUT131370:FUT131381 GEP131370:GEP131381 GOL131370:GOL131381 GYH131370:GYH131381 HID131370:HID131381 HRZ131370:HRZ131381 IBV131370:IBV131381 ILR131370:ILR131381 IVN131370:IVN131381 JFJ131370:JFJ131381 JPF131370:JPF131381 JZB131370:JZB131381 KIX131370:KIX131381 KST131370:KST131381 LCP131370:LCP131381 LML131370:LML131381 LWH131370:LWH131381 MGD131370:MGD131381 MPZ131370:MPZ131381 MZV131370:MZV131381 NJR131370:NJR131381 NTN131370:NTN131381 ODJ131370:ODJ131381 ONF131370:ONF131381 OXB131370:OXB131381 PGX131370:PGX131381 PQT131370:PQT131381 QAP131370:QAP131381 QKL131370:QKL131381 QUH131370:QUH131381 RED131370:RED131381 RNZ131370:RNZ131381 RXV131370:RXV131381 SHR131370:SHR131381 SRN131370:SRN131381 TBJ131370:TBJ131381 TLF131370:TLF131381 TVB131370:TVB131381 UEX131370:UEX131381 UOT131370:UOT131381 UYP131370:UYP131381 VIL131370:VIL131381 VSH131370:VSH131381 WCD131370:WCD131381 WLZ131370:WLZ131381 WVV131370:WVV131381 N196906:N196917 JJ196906:JJ196917 TF196906:TF196917 ADB196906:ADB196917 AMX196906:AMX196917 AWT196906:AWT196917 BGP196906:BGP196917 BQL196906:BQL196917 CAH196906:CAH196917 CKD196906:CKD196917 CTZ196906:CTZ196917 DDV196906:DDV196917 DNR196906:DNR196917 DXN196906:DXN196917 EHJ196906:EHJ196917 ERF196906:ERF196917 FBB196906:FBB196917 FKX196906:FKX196917 FUT196906:FUT196917 GEP196906:GEP196917 GOL196906:GOL196917 GYH196906:GYH196917 HID196906:HID196917 HRZ196906:HRZ196917 IBV196906:IBV196917 ILR196906:ILR196917 IVN196906:IVN196917 JFJ196906:JFJ196917 JPF196906:JPF196917 JZB196906:JZB196917 KIX196906:KIX196917 KST196906:KST196917 LCP196906:LCP196917 LML196906:LML196917 LWH196906:LWH196917 MGD196906:MGD196917 MPZ196906:MPZ196917 MZV196906:MZV196917 NJR196906:NJR196917 NTN196906:NTN196917 ODJ196906:ODJ196917 ONF196906:ONF196917 OXB196906:OXB196917 PGX196906:PGX196917 PQT196906:PQT196917 QAP196906:QAP196917 QKL196906:QKL196917 QUH196906:QUH196917 RED196906:RED196917 RNZ196906:RNZ196917 RXV196906:RXV196917 SHR196906:SHR196917 SRN196906:SRN196917 TBJ196906:TBJ196917 TLF196906:TLF196917 TVB196906:TVB196917 UEX196906:UEX196917 UOT196906:UOT196917 UYP196906:UYP196917 VIL196906:VIL196917 VSH196906:VSH196917 WCD196906:WCD196917 WLZ196906:WLZ196917 WVV196906:WVV196917 N262442:N262453 JJ262442:JJ262453 TF262442:TF262453 ADB262442:ADB262453 AMX262442:AMX262453 AWT262442:AWT262453 BGP262442:BGP262453 BQL262442:BQL262453 CAH262442:CAH262453 CKD262442:CKD262453 CTZ262442:CTZ262453 DDV262442:DDV262453 DNR262442:DNR262453 DXN262442:DXN262453 EHJ262442:EHJ262453 ERF262442:ERF262453 FBB262442:FBB262453 FKX262442:FKX262453 FUT262442:FUT262453 GEP262442:GEP262453 GOL262442:GOL262453 GYH262442:GYH262453 HID262442:HID262453 HRZ262442:HRZ262453 IBV262442:IBV262453 ILR262442:ILR262453 IVN262442:IVN262453 JFJ262442:JFJ262453 JPF262442:JPF262453 JZB262442:JZB262453 KIX262442:KIX262453 KST262442:KST262453 LCP262442:LCP262453 LML262442:LML262453 LWH262442:LWH262453 MGD262442:MGD262453 MPZ262442:MPZ262453 MZV262442:MZV262453 NJR262442:NJR262453 NTN262442:NTN262453 ODJ262442:ODJ262453 ONF262442:ONF262453 OXB262442:OXB262453 PGX262442:PGX262453 PQT262442:PQT262453 QAP262442:QAP262453 QKL262442:QKL262453 QUH262442:QUH262453 RED262442:RED262453 RNZ262442:RNZ262453 RXV262442:RXV262453 SHR262442:SHR262453 SRN262442:SRN262453 TBJ262442:TBJ262453 TLF262442:TLF262453 TVB262442:TVB262453 UEX262442:UEX262453 UOT262442:UOT262453 UYP262442:UYP262453 VIL262442:VIL262453 VSH262442:VSH262453 WCD262442:WCD262453 WLZ262442:WLZ262453 WVV262442:WVV262453 N327978:N327989 JJ327978:JJ327989 TF327978:TF327989 ADB327978:ADB327989 AMX327978:AMX327989 AWT327978:AWT327989 BGP327978:BGP327989 BQL327978:BQL327989 CAH327978:CAH327989 CKD327978:CKD327989 CTZ327978:CTZ327989 DDV327978:DDV327989 DNR327978:DNR327989 DXN327978:DXN327989 EHJ327978:EHJ327989 ERF327978:ERF327989 FBB327978:FBB327989 FKX327978:FKX327989 FUT327978:FUT327989 GEP327978:GEP327989 GOL327978:GOL327989 GYH327978:GYH327989 HID327978:HID327989 HRZ327978:HRZ327989 IBV327978:IBV327989 ILR327978:ILR327989 IVN327978:IVN327989 JFJ327978:JFJ327989 JPF327978:JPF327989 JZB327978:JZB327989 KIX327978:KIX327989 KST327978:KST327989 LCP327978:LCP327989 LML327978:LML327989 LWH327978:LWH327989 MGD327978:MGD327989 MPZ327978:MPZ327989 MZV327978:MZV327989 NJR327978:NJR327989 NTN327978:NTN327989 ODJ327978:ODJ327989 ONF327978:ONF327989 OXB327978:OXB327989 PGX327978:PGX327989 PQT327978:PQT327989 QAP327978:QAP327989 QKL327978:QKL327989 QUH327978:QUH327989 RED327978:RED327989 RNZ327978:RNZ327989 RXV327978:RXV327989 SHR327978:SHR327989 SRN327978:SRN327989 TBJ327978:TBJ327989 TLF327978:TLF327989 TVB327978:TVB327989 UEX327978:UEX327989 UOT327978:UOT327989 UYP327978:UYP327989 VIL327978:VIL327989 VSH327978:VSH327989 WCD327978:WCD327989 WLZ327978:WLZ327989 WVV327978:WVV327989 N393514:N393525 JJ393514:JJ393525 TF393514:TF393525 ADB393514:ADB393525 AMX393514:AMX393525 AWT393514:AWT393525 BGP393514:BGP393525 BQL393514:BQL393525 CAH393514:CAH393525 CKD393514:CKD393525 CTZ393514:CTZ393525 DDV393514:DDV393525 DNR393514:DNR393525 DXN393514:DXN393525 EHJ393514:EHJ393525 ERF393514:ERF393525 FBB393514:FBB393525 FKX393514:FKX393525 FUT393514:FUT393525 GEP393514:GEP393525 GOL393514:GOL393525 GYH393514:GYH393525 HID393514:HID393525 HRZ393514:HRZ393525 IBV393514:IBV393525 ILR393514:ILR393525 IVN393514:IVN393525 JFJ393514:JFJ393525 JPF393514:JPF393525 JZB393514:JZB393525 KIX393514:KIX393525 KST393514:KST393525 LCP393514:LCP393525 LML393514:LML393525 LWH393514:LWH393525 MGD393514:MGD393525 MPZ393514:MPZ393525 MZV393514:MZV393525 NJR393514:NJR393525 NTN393514:NTN393525 ODJ393514:ODJ393525 ONF393514:ONF393525 OXB393514:OXB393525 PGX393514:PGX393525 PQT393514:PQT393525 QAP393514:QAP393525 QKL393514:QKL393525 QUH393514:QUH393525 RED393514:RED393525 RNZ393514:RNZ393525 RXV393514:RXV393525 SHR393514:SHR393525 SRN393514:SRN393525 TBJ393514:TBJ393525 TLF393514:TLF393525 TVB393514:TVB393525 UEX393514:UEX393525 UOT393514:UOT393525 UYP393514:UYP393525 VIL393514:VIL393525 VSH393514:VSH393525 WCD393514:WCD393525 WLZ393514:WLZ393525 WVV393514:WVV393525 N459050:N459061 JJ459050:JJ459061 TF459050:TF459061 ADB459050:ADB459061 AMX459050:AMX459061 AWT459050:AWT459061 BGP459050:BGP459061 BQL459050:BQL459061 CAH459050:CAH459061 CKD459050:CKD459061 CTZ459050:CTZ459061 DDV459050:DDV459061 DNR459050:DNR459061 DXN459050:DXN459061 EHJ459050:EHJ459061 ERF459050:ERF459061 FBB459050:FBB459061 FKX459050:FKX459061 FUT459050:FUT459061 GEP459050:GEP459061 GOL459050:GOL459061 GYH459050:GYH459061 HID459050:HID459061 HRZ459050:HRZ459061 IBV459050:IBV459061 ILR459050:ILR459061 IVN459050:IVN459061 JFJ459050:JFJ459061 JPF459050:JPF459061 JZB459050:JZB459061 KIX459050:KIX459061 KST459050:KST459061 LCP459050:LCP459061 LML459050:LML459061 LWH459050:LWH459061 MGD459050:MGD459061 MPZ459050:MPZ459061 MZV459050:MZV459061 NJR459050:NJR459061 NTN459050:NTN459061 ODJ459050:ODJ459061 ONF459050:ONF459061 OXB459050:OXB459061 PGX459050:PGX459061 PQT459050:PQT459061 QAP459050:QAP459061 QKL459050:QKL459061 QUH459050:QUH459061 RED459050:RED459061 RNZ459050:RNZ459061 RXV459050:RXV459061 SHR459050:SHR459061 SRN459050:SRN459061 TBJ459050:TBJ459061 TLF459050:TLF459061 TVB459050:TVB459061 UEX459050:UEX459061 UOT459050:UOT459061 UYP459050:UYP459061 VIL459050:VIL459061 VSH459050:VSH459061 WCD459050:WCD459061 WLZ459050:WLZ459061 WVV459050:WVV459061 N524586:N524597 JJ524586:JJ524597 TF524586:TF524597 ADB524586:ADB524597 AMX524586:AMX524597 AWT524586:AWT524597 BGP524586:BGP524597 BQL524586:BQL524597 CAH524586:CAH524597 CKD524586:CKD524597 CTZ524586:CTZ524597 DDV524586:DDV524597 DNR524586:DNR524597 DXN524586:DXN524597 EHJ524586:EHJ524597 ERF524586:ERF524597 FBB524586:FBB524597 FKX524586:FKX524597 FUT524586:FUT524597 GEP524586:GEP524597 GOL524586:GOL524597 GYH524586:GYH524597 HID524586:HID524597 HRZ524586:HRZ524597 IBV524586:IBV524597 ILR524586:ILR524597 IVN524586:IVN524597 JFJ524586:JFJ524597 JPF524586:JPF524597 JZB524586:JZB524597 KIX524586:KIX524597 KST524586:KST524597 LCP524586:LCP524597 LML524586:LML524597 LWH524586:LWH524597 MGD524586:MGD524597 MPZ524586:MPZ524597 MZV524586:MZV524597 NJR524586:NJR524597 NTN524586:NTN524597 ODJ524586:ODJ524597 ONF524586:ONF524597 OXB524586:OXB524597 PGX524586:PGX524597 PQT524586:PQT524597 QAP524586:QAP524597 QKL524586:QKL524597 QUH524586:QUH524597 RED524586:RED524597 RNZ524586:RNZ524597 RXV524586:RXV524597 SHR524586:SHR524597 SRN524586:SRN524597 TBJ524586:TBJ524597 TLF524586:TLF524597 TVB524586:TVB524597 UEX524586:UEX524597 UOT524586:UOT524597 UYP524586:UYP524597 VIL524586:VIL524597 VSH524586:VSH524597 WCD524586:WCD524597 WLZ524586:WLZ524597 WVV524586:WVV524597 N590122:N590133 JJ590122:JJ590133 TF590122:TF590133 ADB590122:ADB590133 AMX590122:AMX590133 AWT590122:AWT590133 BGP590122:BGP590133 BQL590122:BQL590133 CAH590122:CAH590133 CKD590122:CKD590133 CTZ590122:CTZ590133 DDV590122:DDV590133 DNR590122:DNR590133 DXN590122:DXN590133 EHJ590122:EHJ590133 ERF590122:ERF590133 FBB590122:FBB590133 FKX590122:FKX590133 FUT590122:FUT590133 GEP590122:GEP590133 GOL590122:GOL590133 GYH590122:GYH590133 HID590122:HID590133 HRZ590122:HRZ590133 IBV590122:IBV590133 ILR590122:ILR590133 IVN590122:IVN590133 JFJ590122:JFJ590133 JPF590122:JPF590133 JZB590122:JZB590133 KIX590122:KIX590133 KST590122:KST590133 LCP590122:LCP590133 LML590122:LML590133 LWH590122:LWH590133 MGD590122:MGD590133 MPZ590122:MPZ590133 MZV590122:MZV590133 NJR590122:NJR590133 NTN590122:NTN590133 ODJ590122:ODJ590133 ONF590122:ONF590133 OXB590122:OXB590133 PGX590122:PGX590133 PQT590122:PQT590133 QAP590122:QAP590133 QKL590122:QKL590133 QUH590122:QUH590133 RED590122:RED590133 RNZ590122:RNZ590133 RXV590122:RXV590133 SHR590122:SHR590133 SRN590122:SRN590133 TBJ590122:TBJ590133 TLF590122:TLF590133 TVB590122:TVB590133 UEX590122:UEX590133 UOT590122:UOT590133 UYP590122:UYP590133 VIL590122:VIL590133 VSH590122:VSH590133 WCD590122:WCD590133 WLZ590122:WLZ590133 WVV590122:WVV590133 N655658:N655669 JJ655658:JJ655669 TF655658:TF655669 ADB655658:ADB655669 AMX655658:AMX655669 AWT655658:AWT655669 BGP655658:BGP655669 BQL655658:BQL655669 CAH655658:CAH655669 CKD655658:CKD655669 CTZ655658:CTZ655669 DDV655658:DDV655669 DNR655658:DNR655669 DXN655658:DXN655669 EHJ655658:EHJ655669 ERF655658:ERF655669 FBB655658:FBB655669 FKX655658:FKX655669 FUT655658:FUT655669 GEP655658:GEP655669 GOL655658:GOL655669 GYH655658:GYH655669 HID655658:HID655669 HRZ655658:HRZ655669 IBV655658:IBV655669 ILR655658:ILR655669 IVN655658:IVN655669 JFJ655658:JFJ655669 JPF655658:JPF655669 JZB655658:JZB655669 KIX655658:KIX655669 KST655658:KST655669 LCP655658:LCP655669 LML655658:LML655669 LWH655658:LWH655669 MGD655658:MGD655669 MPZ655658:MPZ655669 MZV655658:MZV655669 NJR655658:NJR655669 NTN655658:NTN655669 ODJ655658:ODJ655669 ONF655658:ONF655669 OXB655658:OXB655669 PGX655658:PGX655669 PQT655658:PQT655669 QAP655658:QAP655669 QKL655658:QKL655669 QUH655658:QUH655669 RED655658:RED655669 RNZ655658:RNZ655669 RXV655658:RXV655669 SHR655658:SHR655669 SRN655658:SRN655669 TBJ655658:TBJ655669 TLF655658:TLF655669 TVB655658:TVB655669 UEX655658:UEX655669 UOT655658:UOT655669 UYP655658:UYP655669 VIL655658:VIL655669 VSH655658:VSH655669 WCD655658:WCD655669 WLZ655658:WLZ655669 WVV655658:WVV655669 N721194:N721205 JJ721194:JJ721205 TF721194:TF721205 ADB721194:ADB721205 AMX721194:AMX721205 AWT721194:AWT721205 BGP721194:BGP721205 BQL721194:BQL721205 CAH721194:CAH721205 CKD721194:CKD721205 CTZ721194:CTZ721205 DDV721194:DDV721205 DNR721194:DNR721205 DXN721194:DXN721205 EHJ721194:EHJ721205 ERF721194:ERF721205 FBB721194:FBB721205 FKX721194:FKX721205 FUT721194:FUT721205 GEP721194:GEP721205 GOL721194:GOL721205 GYH721194:GYH721205 HID721194:HID721205 HRZ721194:HRZ721205 IBV721194:IBV721205 ILR721194:ILR721205 IVN721194:IVN721205 JFJ721194:JFJ721205 JPF721194:JPF721205 JZB721194:JZB721205 KIX721194:KIX721205 KST721194:KST721205 LCP721194:LCP721205 LML721194:LML721205 LWH721194:LWH721205 MGD721194:MGD721205 MPZ721194:MPZ721205 MZV721194:MZV721205 NJR721194:NJR721205 NTN721194:NTN721205 ODJ721194:ODJ721205 ONF721194:ONF721205 OXB721194:OXB721205 PGX721194:PGX721205 PQT721194:PQT721205 QAP721194:QAP721205 QKL721194:QKL721205 QUH721194:QUH721205 RED721194:RED721205 RNZ721194:RNZ721205 RXV721194:RXV721205 SHR721194:SHR721205 SRN721194:SRN721205 TBJ721194:TBJ721205 TLF721194:TLF721205 TVB721194:TVB721205 UEX721194:UEX721205 UOT721194:UOT721205 UYP721194:UYP721205 VIL721194:VIL721205 VSH721194:VSH721205 WCD721194:WCD721205 WLZ721194:WLZ721205 WVV721194:WVV721205 N786730:N786741 JJ786730:JJ786741 TF786730:TF786741 ADB786730:ADB786741 AMX786730:AMX786741 AWT786730:AWT786741 BGP786730:BGP786741 BQL786730:BQL786741 CAH786730:CAH786741 CKD786730:CKD786741 CTZ786730:CTZ786741 DDV786730:DDV786741 DNR786730:DNR786741 DXN786730:DXN786741 EHJ786730:EHJ786741 ERF786730:ERF786741 FBB786730:FBB786741 FKX786730:FKX786741 FUT786730:FUT786741 GEP786730:GEP786741 GOL786730:GOL786741 GYH786730:GYH786741 HID786730:HID786741 HRZ786730:HRZ786741 IBV786730:IBV786741 ILR786730:ILR786741 IVN786730:IVN786741 JFJ786730:JFJ786741 JPF786730:JPF786741 JZB786730:JZB786741 KIX786730:KIX786741 KST786730:KST786741 LCP786730:LCP786741 LML786730:LML786741 LWH786730:LWH786741 MGD786730:MGD786741 MPZ786730:MPZ786741 MZV786730:MZV786741 NJR786730:NJR786741 NTN786730:NTN786741 ODJ786730:ODJ786741 ONF786730:ONF786741 OXB786730:OXB786741 PGX786730:PGX786741 PQT786730:PQT786741 QAP786730:QAP786741 QKL786730:QKL786741 QUH786730:QUH786741 RED786730:RED786741 RNZ786730:RNZ786741 RXV786730:RXV786741 SHR786730:SHR786741 SRN786730:SRN786741 TBJ786730:TBJ786741 TLF786730:TLF786741 TVB786730:TVB786741 UEX786730:UEX786741 UOT786730:UOT786741 UYP786730:UYP786741 VIL786730:VIL786741 VSH786730:VSH786741 WCD786730:WCD786741 WLZ786730:WLZ786741 WVV786730:WVV786741 N852266:N852277 JJ852266:JJ852277 TF852266:TF852277 ADB852266:ADB852277 AMX852266:AMX852277 AWT852266:AWT852277 BGP852266:BGP852277 BQL852266:BQL852277 CAH852266:CAH852277 CKD852266:CKD852277 CTZ852266:CTZ852277 DDV852266:DDV852277 DNR852266:DNR852277 DXN852266:DXN852277 EHJ852266:EHJ852277 ERF852266:ERF852277 FBB852266:FBB852277 FKX852266:FKX852277 FUT852266:FUT852277 GEP852266:GEP852277 GOL852266:GOL852277 GYH852266:GYH852277 HID852266:HID852277 HRZ852266:HRZ852277 IBV852266:IBV852277 ILR852266:ILR852277 IVN852266:IVN852277 JFJ852266:JFJ852277 JPF852266:JPF852277 JZB852266:JZB852277 KIX852266:KIX852277 KST852266:KST852277 LCP852266:LCP852277 LML852266:LML852277 LWH852266:LWH852277 MGD852266:MGD852277 MPZ852266:MPZ852277 MZV852266:MZV852277 NJR852266:NJR852277 NTN852266:NTN852277 ODJ852266:ODJ852277 ONF852266:ONF852277 OXB852266:OXB852277 PGX852266:PGX852277 PQT852266:PQT852277 QAP852266:QAP852277 QKL852266:QKL852277 QUH852266:QUH852277 RED852266:RED852277 RNZ852266:RNZ852277 RXV852266:RXV852277 SHR852266:SHR852277 SRN852266:SRN852277 TBJ852266:TBJ852277 TLF852266:TLF852277 TVB852266:TVB852277 UEX852266:UEX852277 UOT852266:UOT852277 UYP852266:UYP852277 VIL852266:VIL852277 VSH852266:VSH852277 WCD852266:WCD852277 WLZ852266:WLZ852277 WVV852266:WVV852277 N917802:N917813 JJ917802:JJ917813 TF917802:TF917813 ADB917802:ADB917813 AMX917802:AMX917813 AWT917802:AWT917813 BGP917802:BGP917813 BQL917802:BQL917813 CAH917802:CAH917813 CKD917802:CKD917813 CTZ917802:CTZ917813 DDV917802:DDV917813 DNR917802:DNR917813 DXN917802:DXN917813 EHJ917802:EHJ917813 ERF917802:ERF917813 FBB917802:FBB917813 FKX917802:FKX917813 FUT917802:FUT917813 GEP917802:GEP917813 GOL917802:GOL917813 GYH917802:GYH917813 HID917802:HID917813 HRZ917802:HRZ917813 IBV917802:IBV917813 ILR917802:ILR917813 IVN917802:IVN917813 JFJ917802:JFJ917813 JPF917802:JPF917813 JZB917802:JZB917813 KIX917802:KIX917813 KST917802:KST917813 LCP917802:LCP917813 LML917802:LML917813 LWH917802:LWH917813 MGD917802:MGD917813 MPZ917802:MPZ917813 MZV917802:MZV917813 NJR917802:NJR917813 NTN917802:NTN917813 ODJ917802:ODJ917813 ONF917802:ONF917813 OXB917802:OXB917813 PGX917802:PGX917813 PQT917802:PQT917813 QAP917802:QAP917813 QKL917802:QKL917813 QUH917802:QUH917813 RED917802:RED917813 RNZ917802:RNZ917813 RXV917802:RXV917813 SHR917802:SHR917813 SRN917802:SRN917813 TBJ917802:TBJ917813 TLF917802:TLF917813 TVB917802:TVB917813 UEX917802:UEX917813 UOT917802:UOT917813 UYP917802:UYP917813 VIL917802:VIL917813 VSH917802:VSH917813 WCD917802:WCD917813 WLZ917802:WLZ917813 WVV917802:WVV917813 N983338:N983349 JJ983338:JJ983349 TF983338:TF983349 ADB983338:ADB983349 AMX983338:AMX983349 AWT983338:AWT983349 BGP983338:BGP983349 BQL983338:BQL983349 CAH983338:CAH983349 CKD983338:CKD983349 CTZ983338:CTZ983349 DDV983338:DDV983349 DNR983338:DNR983349 DXN983338:DXN983349 EHJ983338:EHJ983349 ERF983338:ERF983349 FBB983338:FBB983349 FKX983338:FKX983349 FUT983338:FUT983349 GEP983338:GEP983349 GOL983338:GOL983349 GYH983338:GYH983349 HID983338:HID983349 HRZ983338:HRZ983349 IBV983338:IBV983349 ILR983338:ILR983349 IVN983338:IVN983349 JFJ983338:JFJ983349 JPF983338:JPF983349 JZB983338:JZB983349 KIX983338:KIX983349 KST983338:KST983349 LCP983338:LCP983349 LML983338:LML983349 LWH983338:LWH983349 MGD983338:MGD983349 MPZ983338:MPZ983349 MZV983338:MZV983349 NJR983338:NJR983349 NTN983338:NTN983349 ODJ983338:ODJ983349 ONF983338:ONF983349 OXB983338:OXB983349 PGX983338:PGX983349 PQT983338:PQT983349 QAP983338:QAP983349 QKL983338:QKL983349 QUH983338:QUH983349 RED983338:RED983349 RNZ983338:RNZ983349 RXV983338:RXV983349 SHR983338:SHR983349 SRN983338:SRN983349 TBJ983338:TBJ983349 TLF983338:TLF983349 TVB983338:TVB983349 UEX983338:UEX983349 UOT983338:UOT983349 UYP983338:UYP983349 VIL983338:VIL983349 VSH983338:VSH983349 WCD983338:WCD983349 WLZ983338:WLZ983349 WVV983338:WVV983349 N311:N330 JJ311:JJ330 TF311:TF330 ADB311:ADB330 AMX311:AMX330 AWT311:AWT330 BGP311:BGP330 BQL311:BQL330 CAH311:CAH330 CKD311:CKD330 CTZ311:CTZ330 DDV311:DDV330 DNR311:DNR330 DXN311:DXN330 EHJ311:EHJ330 ERF311:ERF330 FBB311:FBB330 FKX311:FKX330 FUT311:FUT330 GEP311:GEP330 GOL311:GOL330 GYH311:GYH330 HID311:HID330 HRZ311:HRZ330 IBV311:IBV330 ILR311:ILR330 IVN311:IVN330 JFJ311:JFJ330 JPF311:JPF330 JZB311:JZB330 KIX311:KIX330 KST311:KST330 LCP311:LCP330 LML311:LML330 LWH311:LWH330 MGD311:MGD330 MPZ311:MPZ330 MZV311:MZV330 NJR311:NJR330 NTN311:NTN330 ODJ311:ODJ330 ONF311:ONF330 OXB311:OXB330 PGX311:PGX330 PQT311:PQT330 QAP311:QAP330 QKL311:QKL330 QUH311:QUH330 RED311:RED330 RNZ311:RNZ330 RXV311:RXV330 SHR311:SHR330 SRN311:SRN330 TBJ311:TBJ330 TLF311:TLF330 TVB311:TVB330 UEX311:UEX330 UOT311:UOT330 UYP311:UYP330 VIL311:VIL330 VSH311:VSH330 WCD311:WCD330 WLZ311:WLZ330 WVV311:WVV330 N65847:N65866 JJ65847:JJ65866 TF65847:TF65866 ADB65847:ADB65866 AMX65847:AMX65866 AWT65847:AWT65866 BGP65847:BGP65866 BQL65847:BQL65866 CAH65847:CAH65866 CKD65847:CKD65866 CTZ65847:CTZ65866 DDV65847:DDV65866 DNR65847:DNR65866 DXN65847:DXN65866 EHJ65847:EHJ65866 ERF65847:ERF65866 FBB65847:FBB65866 FKX65847:FKX65866 FUT65847:FUT65866 GEP65847:GEP65866 GOL65847:GOL65866 GYH65847:GYH65866 HID65847:HID65866 HRZ65847:HRZ65866 IBV65847:IBV65866 ILR65847:ILR65866 IVN65847:IVN65866 JFJ65847:JFJ65866 JPF65847:JPF65866 JZB65847:JZB65866 KIX65847:KIX65866 KST65847:KST65866 LCP65847:LCP65866 LML65847:LML65866 LWH65847:LWH65866 MGD65847:MGD65866 MPZ65847:MPZ65866 MZV65847:MZV65866 NJR65847:NJR65866 NTN65847:NTN65866 ODJ65847:ODJ65866 ONF65847:ONF65866 OXB65847:OXB65866 PGX65847:PGX65866 PQT65847:PQT65866 QAP65847:QAP65866 QKL65847:QKL65866 QUH65847:QUH65866 RED65847:RED65866 RNZ65847:RNZ65866 RXV65847:RXV65866 SHR65847:SHR65866 SRN65847:SRN65866 TBJ65847:TBJ65866 TLF65847:TLF65866 TVB65847:TVB65866 UEX65847:UEX65866 UOT65847:UOT65866 UYP65847:UYP65866 VIL65847:VIL65866 VSH65847:VSH65866 WCD65847:WCD65866 WLZ65847:WLZ65866 WVV65847:WVV65866 N131383:N131402 JJ131383:JJ131402 TF131383:TF131402 ADB131383:ADB131402 AMX131383:AMX131402 AWT131383:AWT131402 BGP131383:BGP131402 BQL131383:BQL131402 CAH131383:CAH131402 CKD131383:CKD131402 CTZ131383:CTZ131402 DDV131383:DDV131402 DNR131383:DNR131402 DXN131383:DXN131402 EHJ131383:EHJ131402 ERF131383:ERF131402 FBB131383:FBB131402 FKX131383:FKX131402 FUT131383:FUT131402 GEP131383:GEP131402 GOL131383:GOL131402 GYH131383:GYH131402 HID131383:HID131402 HRZ131383:HRZ131402 IBV131383:IBV131402 ILR131383:ILR131402 IVN131383:IVN131402 JFJ131383:JFJ131402 JPF131383:JPF131402 JZB131383:JZB131402 KIX131383:KIX131402 KST131383:KST131402 LCP131383:LCP131402 LML131383:LML131402 LWH131383:LWH131402 MGD131383:MGD131402 MPZ131383:MPZ131402 MZV131383:MZV131402 NJR131383:NJR131402 NTN131383:NTN131402 ODJ131383:ODJ131402 ONF131383:ONF131402 OXB131383:OXB131402 PGX131383:PGX131402 PQT131383:PQT131402 QAP131383:QAP131402 QKL131383:QKL131402 QUH131383:QUH131402 RED131383:RED131402 RNZ131383:RNZ131402 RXV131383:RXV131402 SHR131383:SHR131402 SRN131383:SRN131402 TBJ131383:TBJ131402 TLF131383:TLF131402 TVB131383:TVB131402 UEX131383:UEX131402 UOT131383:UOT131402 UYP131383:UYP131402 VIL131383:VIL131402 VSH131383:VSH131402 WCD131383:WCD131402 WLZ131383:WLZ131402 WVV131383:WVV131402 N196919:N196938 JJ196919:JJ196938 TF196919:TF196938 ADB196919:ADB196938 AMX196919:AMX196938 AWT196919:AWT196938 BGP196919:BGP196938 BQL196919:BQL196938 CAH196919:CAH196938 CKD196919:CKD196938 CTZ196919:CTZ196938 DDV196919:DDV196938 DNR196919:DNR196938 DXN196919:DXN196938 EHJ196919:EHJ196938 ERF196919:ERF196938 FBB196919:FBB196938 FKX196919:FKX196938 FUT196919:FUT196938 GEP196919:GEP196938 GOL196919:GOL196938 GYH196919:GYH196938 HID196919:HID196938 HRZ196919:HRZ196938 IBV196919:IBV196938 ILR196919:ILR196938 IVN196919:IVN196938 JFJ196919:JFJ196938 JPF196919:JPF196938 JZB196919:JZB196938 KIX196919:KIX196938 KST196919:KST196938 LCP196919:LCP196938 LML196919:LML196938 LWH196919:LWH196938 MGD196919:MGD196938 MPZ196919:MPZ196938 MZV196919:MZV196938 NJR196919:NJR196938 NTN196919:NTN196938 ODJ196919:ODJ196938 ONF196919:ONF196938 OXB196919:OXB196938 PGX196919:PGX196938 PQT196919:PQT196938 QAP196919:QAP196938 QKL196919:QKL196938 QUH196919:QUH196938 RED196919:RED196938 RNZ196919:RNZ196938 RXV196919:RXV196938 SHR196919:SHR196938 SRN196919:SRN196938 TBJ196919:TBJ196938 TLF196919:TLF196938 TVB196919:TVB196938 UEX196919:UEX196938 UOT196919:UOT196938 UYP196919:UYP196938 VIL196919:VIL196938 VSH196919:VSH196938 WCD196919:WCD196938 WLZ196919:WLZ196938 WVV196919:WVV196938 N262455:N262474 JJ262455:JJ262474 TF262455:TF262474 ADB262455:ADB262474 AMX262455:AMX262474 AWT262455:AWT262474 BGP262455:BGP262474 BQL262455:BQL262474 CAH262455:CAH262474 CKD262455:CKD262474 CTZ262455:CTZ262474 DDV262455:DDV262474 DNR262455:DNR262474 DXN262455:DXN262474 EHJ262455:EHJ262474 ERF262455:ERF262474 FBB262455:FBB262474 FKX262455:FKX262474 FUT262455:FUT262474 GEP262455:GEP262474 GOL262455:GOL262474 GYH262455:GYH262474 HID262455:HID262474 HRZ262455:HRZ262474 IBV262455:IBV262474 ILR262455:ILR262474 IVN262455:IVN262474 JFJ262455:JFJ262474 JPF262455:JPF262474 JZB262455:JZB262474 KIX262455:KIX262474 KST262455:KST262474 LCP262455:LCP262474 LML262455:LML262474 LWH262455:LWH262474 MGD262455:MGD262474 MPZ262455:MPZ262474 MZV262455:MZV262474 NJR262455:NJR262474 NTN262455:NTN262474 ODJ262455:ODJ262474 ONF262455:ONF262474 OXB262455:OXB262474 PGX262455:PGX262474 PQT262455:PQT262474 QAP262455:QAP262474 QKL262455:QKL262474 QUH262455:QUH262474 RED262455:RED262474 RNZ262455:RNZ262474 RXV262455:RXV262474 SHR262455:SHR262474 SRN262455:SRN262474 TBJ262455:TBJ262474 TLF262455:TLF262474 TVB262455:TVB262474 UEX262455:UEX262474 UOT262455:UOT262474 UYP262455:UYP262474 VIL262455:VIL262474 VSH262455:VSH262474 WCD262455:WCD262474 WLZ262455:WLZ262474 WVV262455:WVV262474 N327991:N328010 JJ327991:JJ328010 TF327991:TF328010 ADB327991:ADB328010 AMX327991:AMX328010 AWT327991:AWT328010 BGP327991:BGP328010 BQL327991:BQL328010 CAH327991:CAH328010 CKD327991:CKD328010 CTZ327991:CTZ328010 DDV327991:DDV328010 DNR327991:DNR328010 DXN327991:DXN328010 EHJ327991:EHJ328010 ERF327991:ERF328010 FBB327991:FBB328010 FKX327991:FKX328010 FUT327991:FUT328010 GEP327991:GEP328010 GOL327991:GOL328010 GYH327991:GYH328010 HID327991:HID328010 HRZ327991:HRZ328010 IBV327991:IBV328010 ILR327991:ILR328010 IVN327991:IVN328010 JFJ327991:JFJ328010 JPF327991:JPF328010 JZB327991:JZB328010 KIX327991:KIX328010 KST327991:KST328010 LCP327991:LCP328010 LML327991:LML328010 LWH327991:LWH328010 MGD327991:MGD328010 MPZ327991:MPZ328010 MZV327991:MZV328010 NJR327991:NJR328010 NTN327991:NTN328010 ODJ327991:ODJ328010 ONF327991:ONF328010 OXB327991:OXB328010 PGX327991:PGX328010 PQT327991:PQT328010 QAP327991:QAP328010 QKL327991:QKL328010 QUH327991:QUH328010 RED327991:RED328010 RNZ327991:RNZ328010 RXV327991:RXV328010 SHR327991:SHR328010 SRN327991:SRN328010 TBJ327991:TBJ328010 TLF327991:TLF328010 TVB327991:TVB328010 UEX327991:UEX328010 UOT327991:UOT328010 UYP327991:UYP328010 VIL327991:VIL328010 VSH327991:VSH328010 WCD327991:WCD328010 WLZ327991:WLZ328010 WVV327991:WVV328010 N393527:N393546 JJ393527:JJ393546 TF393527:TF393546 ADB393527:ADB393546 AMX393527:AMX393546 AWT393527:AWT393546 BGP393527:BGP393546 BQL393527:BQL393546 CAH393527:CAH393546 CKD393527:CKD393546 CTZ393527:CTZ393546 DDV393527:DDV393546 DNR393527:DNR393546 DXN393527:DXN393546 EHJ393527:EHJ393546 ERF393527:ERF393546 FBB393527:FBB393546 FKX393527:FKX393546 FUT393527:FUT393546 GEP393527:GEP393546 GOL393527:GOL393546 GYH393527:GYH393546 HID393527:HID393546 HRZ393527:HRZ393546 IBV393527:IBV393546 ILR393527:ILR393546 IVN393527:IVN393546 JFJ393527:JFJ393546 JPF393527:JPF393546 JZB393527:JZB393546 KIX393527:KIX393546 KST393527:KST393546 LCP393527:LCP393546 LML393527:LML393546 LWH393527:LWH393546 MGD393527:MGD393546 MPZ393527:MPZ393546 MZV393527:MZV393546 NJR393527:NJR393546 NTN393527:NTN393546 ODJ393527:ODJ393546 ONF393527:ONF393546 OXB393527:OXB393546 PGX393527:PGX393546 PQT393527:PQT393546 QAP393527:QAP393546 QKL393527:QKL393546 QUH393527:QUH393546 RED393527:RED393546 RNZ393527:RNZ393546 RXV393527:RXV393546 SHR393527:SHR393546 SRN393527:SRN393546 TBJ393527:TBJ393546 TLF393527:TLF393546 TVB393527:TVB393546 UEX393527:UEX393546 UOT393527:UOT393546 UYP393527:UYP393546 VIL393527:VIL393546 VSH393527:VSH393546 WCD393527:WCD393546 WLZ393527:WLZ393546 WVV393527:WVV393546 N459063:N459082 JJ459063:JJ459082 TF459063:TF459082 ADB459063:ADB459082 AMX459063:AMX459082 AWT459063:AWT459082 BGP459063:BGP459082 BQL459063:BQL459082 CAH459063:CAH459082 CKD459063:CKD459082 CTZ459063:CTZ459082 DDV459063:DDV459082 DNR459063:DNR459082 DXN459063:DXN459082 EHJ459063:EHJ459082 ERF459063:ERF459082 FBB459063:FBB459082 FKX459063:FKX459082 FUT459063:FUT459082 GEP459063:GEP459082 GOL459063:GOL459082 GYH459063:GYH459082 HID459063:HID459082 HRZ459063:HRZ459082 IBV459063:IBV459082 ILR459063:ILR459082 IVN459063:IVN459082 JFJ459063:JFJ459082 JPF459063:JPF459082 JZB459063:JZB459082 KIX459063:KIX459082 KST459063:KST459082 LCP459063:LCP459082 LML459063:LML459082 LWH459063:LWH459082 MGD459063:MGD459082 MPZ459063:MPZ459082 MZV459063:MZV459082 NJR459063:NJR459082 NTN459063:NTN459082 ODJ459063:ODJ459082 ONF459063:ONF459082 OXB459063:OXB459082 PGX459063:PGX459082 PQT459063:PQT459082 QAP459063:QAP459082 QKL459063:QKL459082 QUH459063:QUH459082 RED459063:RED459082 RNZ459063:RNZ459082 RXV459063:RXV459082 SHR459063:SHR459082 SRN459063:SRN459082 TBJ459063:TBJ459082 TLF459063:TLF459082 TVB459063:TVB459082 UEX459063:UEX459082 UOT459063:UOT459082 UYP459063:UYP459082 VIL459063:VIL459082 VSH459063:VSH459082 WCD459063:WCD459082 WLZ459063:WLZ459082 WVV459063:WVV459082 N524599:N524618 JJ524599:JJ524618 TF524599:TF524618 ADB524599:ADB524618 AMX524599:AMX524618 AWT524599:AWT524618 BGP524599:BGP524618 BQL524599:BQL524618 CAH524599:CAH524618 CKD524599:CKD524618 CTZ524599:CTZ524618 DDV524599:DDV524618 DNR524599:DNR524618 DXN524599:DXN524618 EHJ524599:EHJ524618 ERF524599:ERF524618 FBB524599:FBB524618 FKX524599:FKX524618 FUT524599:FUT524618 GEP524599:GEP524618 GOL524599:GOL524618 GYH524599:GYH524618 HID524599:HID524618 HRZ524599:HRZ524618 IBV524599:IBV524618 ILR524599:ILR524618 IVN524599:IVN524618 JFJ524599:JFJ524618 JPF524599:JPF524618 JZB524599:JZB524618 KIX524599:KIX524618 KST524599:KST524618 LCP524599:LCP524618 LML524599:LML524618 LWH524599:LWH524618 MGD524599:MGD524618 MPZ524599:MPZ524618 MZV524599:MZV524618 NJR524599:NJR524618 NTN524599:NTN524618 ODJ524599:ODJ524618 ONF524599:ONF524618 OXB524599:OXB524618 PGX524599:PGX524618 PQT524599:PQT524618 QAP524599:QAP524618 QKL524599:QKL524618 QUH524599:QUH524618 RED524599:RED524618 RNZ524599:RNZ524618 RXV524599:RXV524618 SHR524599:SHR524618 SRN524599:SRN524618 TBJ524599:TBJ524618 TLF524599:TLF524618 TVB524599:TVB524618 UEX524599:UEX524618 UOT524599:UOT524618 UYP524599:UYP524618 VIL524599:VIL524618 VSH524599:VSH524618 WCD524599:WCD524618 WLZ524599:WLZ524618 WVV524599:WVV524618 N590135:N590154 JJ590135:JJ590154 TF590135:TF590154 ADB590135:ADB590154 AMX590135:AMX590154 AWT590135:AWT590154 BGP590135:BGP590154 BQL590135:BQL590154 CAH590135:CAH590154 CKD590135:CKD590154 CTZ590135:CTZ590154 DDV590135:DDV590154 DNR590135:DNR590154 DXN590135:DXN590154 EHJ590135:EHJ590154 ERF590135:ERF590154 FBB590135:FBB590154 FKX590135:FKX590154 FUT590135:FUT590154 GEP590135:GEP590154 GOL590135:GOL590154 GYH590135:GYH590154 HID590135:HID590154 HRZ590135:HRZ590154 IBV590135:IBV590154 ILR590135:ILR590154 IVN590135:IVN590154 JFJ590135:JFJ590154 JPF590135:JPF590154 JZB590135:JZB590154 KIX590135:KIX590154 KST590135:KST590154 LCP590135:LCP590154 LML590135:LML590154 LWH590135:LWH590154 MGD590135:MGD590154 MPZ590135:MPZ590154 MZV590135:MZV590154 NJR590135:NJR590154 NTN590135:NTN590154 ODJ590135:ODJ590154 ONF590135:ONF590154 OXB590135:OXB590154 PGX590135:PGX590154 PQT590135:PQT590154 QAP590135:QAP590154 QKL590135:QKL590154 QUH590135:QUH590154 RED590135:RED590154 RNZ590135:RNZ590154 RXV590135:RXV590154 SHR590135:SHR590154 SRN590135:SRN590154 TBJ590135:TBJ590154 TLF590135:TLF590154 TVB590135:TVB590154 UEX590135:UEX590154 UOT590135:UOT590154 UYP590135:UYP590154 VIL590135:VIL590154 VSH590135:VSH590154 WCD590135:WCD590154 WLZ590135:WLZ590154 WVV590135:WVV590154 N655671:N655690 JJ655671:JJ655690 TF655671:TF655690 ADB655671:ADB655690 AMX655671:AMX655690 AWT655671:AWT655690 BGP655671:BGP655690 BQL655671:BQL655690 CAH655671:CAH655690 CKD655671:CKD655690 CTZ655671:CTZ655690 DDV655671:DDV655690 DNR655671:DNR655690 DXN655671:DXN655690 EHJ655671:EHJ655690 ERF655671:ERF655690 FBB655671:FBB655690 FKX655671:FKX655690 FUT655671:FUT655690 GEP655671:GEP655690 GOL655671:GOL655690 GYH655671:GYH655690 HID655671:HID655690 HRZ655671:HRZ655690 IBV655671:IBV655690 ILR655671:ILR655690 IVN655671:IVN655690 JFJ655671:JFJ655690 JPF655671:JPF655690 JZB655671:JZB655690 KIX655671:KIX655690 KST655671:KST655690 LCP655671:LCP655690 LML655671:LML655690 LWH655671:LWH655690 MGD655671:MGD655690 MPZ655671:MPZ655690 MZV655671:MZV655690 NJR655671:NJR655690 NTN655671:NTN655690 ODJ655671:ODJ655690 ONF655671:ONF655690 OXB655671:OXB655690 PGX655671:PGX655690 PQT655671:PQT655690 QAP655671:QAP655690 QKL655671:QKL655690 QUH655671:QUH655690 RED655671:RED655690 RNZ655671:RNZ655690 RXV655671:RXV655690 SHR655671:SHR655690 SRN655671:SRN655690 TBJ655671:TBJ655690 TLF655671:TLF655690 TVB655671:TVB655690 UEX655671:UEX655690 UOT655671:UOT655690 UYP655671:UYP655690 VIL655671:VIL655690 VSH655671:VSH655690 WCD655671:WCD655690 WLZ655671:WLZ655690 WVV655671:WVV655690 N721207:N721226 JJ721207:JJ721226 TF721207:TF721226 ADB721207:ADB721226 AMX721207:AMX721226 AWT721207:AWT721226 BGP721207:BGP721226 BQL721207:BQL721226 CAH721207:CAH721226 CKD721207:CKD721226 CTZ721207:CTZ721226 DDV721207:DDV721226 DNR721207:DNR721226 DXN721207:DXN721226 EHJ721207:EHJ721226 ERF721207:ERF721226 FBB721207:FBB721226 FKX721207:FKX721226 FUT721207:FUT721226 GEP721207:GEP721226 GOL721207:GOL721226 GYH721207:GYH721226 HID721207:HID721226 HRZ721207:HRZ721226 IBV721207:IBV721226 ILR721207:ILR721226 IVN721207:IVN721226 JFJ721207:JFJ721226 JPF721207:JPF721226 JZB721207:JZB721226 KIX721207:KIX721226 KST721207:KST721226 LCP721207:LCP721226 LML721207:LML721226 LWH721207:LWH721226 MGD721207:MGD721226 MPZ721207:MPZ721226 MZV721207:MZV721226 NJR721207:NJR721226 NTN721207:NTN721226 ODJ721207:ODJ721226 ONF721207:ONF721226 OXB721207:OXB721226 PGX721207:PGX721226 PQT721207:PQT721226 QAP721207:QAP721226 QKL721207:QKL721226 QUH721207:QUH721226 RED721207:RED721226 RNZ721207:RNZ721226 RXV721207:RXV721226 SHR721207:SHR721226 SRN721207:SRN721226 TBJ721207:TBJ721226 TLF721207:TLF721226 TVB721207:TVB721226 UEX721207:UEX721226 UOT721207:UOT721226 UYP721207:UYP721226 VIL721207:VIL721226 VSH721207:VSH721226 WCD721207:WCD721226 WLZ721207:WLZ721226 WVV721207:WVV721226 N786743:N786762 JJ786743:JJ786762 TF786743:TF786762 ADB786743:ADB786762 AMX786743:AMX786762 AWT786743:AWT786762 BGP786743:BGP786762 BQL786743:BQL786762 CAH786743:CAH786762 CKD786743:CKD786762 CTZ786743:CTZ786762 DDV786743:DDV786762 DNR786743:DNR786762 DXN786743:DXN786762 EHJ786743:EHJ786762 ERF786743:ERF786762 FBB786743:FBB786762 FKX786743:FKX786762 FUT786743:FUT786762 GEP786743:GEP786762 GOL786743:GOL786762 GYH786743:GYH786762 HID786743:HID786762 HRZ786743:HRZ786762 IBV786743:IBV786762 ILR786743:ILR786762 IVN786743:IVN786762 JFJ786743:JFJ786762 JPF786743:JPF786762 JZB786743:JZB786762 KIX786743:KIX786762 KST786743:KST786762 LCP786743:LCP786762 LML786743:LML786762 LWH786743:LWH786762 MGD786743:MGD786762 MPZ786743:MPZ786762 MZV786743:MZV786762 NJR786743:NJR786762 NTN786743:NTN786762 ODJ786743:ODJ786762 ONF786743:ONF786762 OXB786743:OXB786762 PGX786743:PGX786762 PQT786743:PQT786762 QAP786743:QAP786762 QKL786743:QKL786762 QUH786743:QUH786762 RED786743:RED786762 RNZ786743:RNZ786762 RXV786743:RXV786762 SHR786743:SHR786762 SRN786743:SRN786762 TBJ786743:TBJ786762 TLF786743:TLF786762 TVB786743:TVB786762 UEX786743:UEX786762 UOT786743:UOT786762 UYP786743:UYP786762 VIL786743:VIL786762 VSH786743:VSH786762 WCD786743:WCD786762 WLZ786743:WLZ786762 WVV786743:WVV786762 N852279:N852298 JJ852279:JJ852298 TF852279:TF852298 ADB852279:ADB852298 AMX852279:AMX852298 AWT852279:AWT852298 BGP852279:BGP852298 BQL852279:BQL852298 CAH852279:CAH852298 CKD852279:CKD852298 CTZ852279:CTZ852298 DDV852279:DDV852298 DNR852279:DNR852298 DXN852279:DXN852298 EHJ852279:EHJ852298 ERF852279:ERF852298 FBB852279:FBB852298 FKX852279:FKX852298 FUT852279:FUT852298 GEP852279:GEP852298 GOL852279:GOL852298 GYH852279:GYH852298 HID852279:HID852298 HRZ852279:HRZ852298 IBV852279:IBV852298 ILR852279:ILR852298 IVN852279:IVN852298 JFJ852279:JFJ852298 JPF852279:JPF852298 JZB852279:JZB852298 KIX852279:KIX852298 KST852279:KST852298 LCP852279:LCP852298 LML852279:LML852298 LWH852279:LWH852298 MGD852279:MGD852298 MPZ852279:MPZ852298 MZV852279:MZV852298 NJR852279:NJR852298 NTN852279:NTN852298 ODJ852279:ODJ852298 ONF852279:ONF852298 OXB852279:OXB852298 PGX852279:PGX852298 PQT852279:PQT852298 QAP852279:QAP852298 QKL852279:QKL852298 QUH852279:QUH852298 RED852279:RED852298 RNZ852279:RNZ852298 RXV852279:RXV852298 SHR852279:SHR852298 SRN852279:SRN852298 TBJ852279:TBJ852298 TLF852279:TLF852298 TVB852279:TVB852298 UEX852279:UEX852298 UOT852279:UOT852298 UYP852279:UYP852298 VIL852279:VIL852298 VSH852279:VSH852298 WCD852279:WCD852298 WLZ852279:WLZ852298 WVV852279:WVV852298 N917815:N917834 JJ917815:JJ917834 TF917815:TF917834 ADB917815:ADB917834 AMX917815:AMX917834 AWT917815:AWT917834 BGP917815:BGP917834 BQL917815:BQL917834 CAH917815:CAH917834 CKD917815:CKD917834 CTZ917815:CTZ917834 DDV917815:DDV917834 DNR917815:DNR917834 DXN917815:DXN917834 EHJ917815:EHJ917834 ERF917815:ERF917834 FBB917815:FBB917834 FKX917815:FKX917834 FUT917815:FUT917834 GEP917815:GEP917834 GOL917815:GOL917834 GYH917815:GYH917834 HID917815:HID917834 HRZ917815:HRZ917834 IBV917815:IBV917834 ILR917815:ILR917834 IVN917815:IVN917834 JFJ917815:JFJ917834 JPF917815:JPF917834 JZB917815:JZB917834 KIX917815:KIX917834 KST917815:KST917834 LCP917815:LCP917834 LML917815:LML917834 LWH917815:LWH917834 MGD917815:MGD917834 MPZ917815:MPZ917834 MZV917815:MZV917834 NJR917815:NJR917834 NTN917815:NTN917834 ODJ917815:ODJ917834 ONF917815:ONF917834 OXB917815:OXB917834 PGX917815:PGX917834 PQT917815:PQT917834 QAP917815:QAP917834 QKL917815:QKL917834 QUH917815:QUH917834 RED917815:RED917834 RNZ917815:RNZ917834 RXV917815:RXV917834 SHR917815:SHR917834 SRN917815:SRN917834 TBJ917815:TBJ917834 TLF917815:TLF917834 TVB917815:TVB917834 UEX917815:UEX917834 UOT917815:UOT917834 UYP917815:UYP917834 VIL917815:VIL917834 VSH917815:VSH917834 WCD917815:WCD917834 WLZ917815:WLZ917834 WVV917815:WVV917834 N983351:N983370 JJ983351:JJ983370 TF983351:TF983370 ADB983351:ADB983370 AMX983351:AMX983370 AWT983351:AWT983370 BGP983351:BGP983370 BQL983351:BQL983370 CAH983351:CAH983370 CKD983351:CKD983370 CTZ983351:CTZ983370 DDV983351:DDV983370 DNR983351:DNR983370 DXN983351:DXN983370 EHJ983351:EHJ983370 ERF983351:ERF983370 FBB983351:FBB983370 FKX983351:FKX983370 FUT983351:FUT983370 GEP983351:GEP983370 GOL983351:GOL983370 GYH983351:GYH983370 HID983351:HID983370 HRZ983351:HRZ983370 IBV983351:IBV983370 ILR983351:ILR983370 IVN983351:IVN983370 JFJ983351:JFJ983370 JPF983351:JPF983370 JZB983351:JZB983370 KIX983351:KIX983370 KST983351:KST983370 LCP983351:LCP983370 LML983351:LML983370 LWH983351:LWH983370 MGD983351:MGD983370 MPZ983351:MPZ983370 MZV983351:MZV983370 NJR983351:NJR983370 NTN983351:NTN983370 ODJ983351:ODJ983370 ONF983351:ONF983370 OXB983351:OXB983370 PGX983351:PGX983370 PQT983351:PQT983370 QAP983351:QAP983370 QKL983351:QKL983370 QUH983351:QUH983370 RED983351:RED983370 RNZ983351:RNZ983370 RXV983351:RXV983370 SHR983351:SHR983370 SRN983351:SRN983370 TBJ983351:TBJ983370 TLF983351:TLF983370 TVB983351:TVB983370 UEX983351:UEX983370 UOT983351:UOT983370 UYP983351:UYP983370 VIL983351:VIL983370 VSH983351:VSH983370 WCD983351:WCD983370 WLZ983351:WLZ983370 WVV983351:WVV983370 B6:B214 IX216:IX898 ST216:ST898 ACP216:ACP898 AML216:AML898 AWH216:AWH898 BGD216:BGD898 BPZ216:BPZ898 BZV216:BZV898 CJR216:CJR898 CTN216:CTN898 DDJ216:DDJ898 DNF216:DNF898 DXB216:DXB898 EGX216:EGX898 EQT216:EQT898 FAP216:FAP898 FKL216:FKL898 FUH216:FUH898 GED216:GED898 GNZ216:GNZ898 GXV216:GXV898 HHR216:HHR898 HRN216:HRN898 IBJ216:IBJ898 ILF216:ILF898 IVB216:IVB898 JEX216:JEX898 JOT216:JOT898 JYP216:JYP898 KIL216:KIL898 KSH216:KSH898 LCD216:LCD898 LLZ216:LLZ898 LVV216:LVV898 MFR216:MFR898 MPN216:MPN898 MZJ216:MZJ898 NJF216:NJF898 NTB216:NTB898 OCX216:OCX898 OMT216:OMT898 OWP216:OWP898 PGL216:PGL898 PQH216:PQH898 QAD216:QAD898 QJZ216:QJZ898 QTV216:QTV898 RDR216:RDR898 RNN216:RNN898 RXJ216:RXJ898 SHF216:SHF898 SRB216:SRB898 TAX216:TAX898 TKT216:TKT898 TUP216:TUP898 UEL216:UEL898 UOH216:UOH898 UYD216:UYD898 VHZ216:VHZ898 VRV216:VRV898 WBR216:WBR898 WLN216:WLN898 WVJ216:WVJ898 B65752:B66434 IX65752:IX66434 ST65752:ST66434 ACP65752:ACP66434 AML65752:AML66434 AWH65752:AWH66434 BGD65752:BGD66434 BPZ65752:BPZ66434 BZV65752:BZV66434 CJR65752:CJR66434 CTN65752:CTN66434 DDJ65752:DDJ66434 DNF65752:DNF66434 DXB65752:DXB66434 EGX65752:EGX66434 EQT65752:EQT66434 FAP65752:FAP66434 FKL65752:FKL66434 FUH65752:FUH66434 GED65752:GED66434 GNZ65752:GNZ66434 GXV65752:GXV66434 HHR65752:HHR66434 HRN65752:HRN66434 IBJ65752:IBJ66434 ILF65752:ILF66434 IVB65752:IVB66434 JEX65752:JEX66434 JOT65752:JOT66434 JYP65752:JYP66434 KIL65752:KIL66434 KSH65752:KSH66434 LCD65752:LCD66434 LLZ65752:LLZ66434 LVV65752:LVV66434 MFR65752:MFR66434 MPN65752:MPN66434 MZJ65752:MZJ66434 NJF65752:NJF66434 NTB65752:NTB66434 OCX65752:OCX66434 OMT65752:OMT66434 OWP65752:OWP66434 PGL65752:PGL66434 PQH65752:PQH66434 QAD65752:QAD66434 QJZ65752:QJZ66434 QTV65752:QTV66434 RDR65752:RDR66434 RNN65752:RNN66434 RXJ65752:RXJ66434 SHF65752:SHF66434 SRB65752:SRB66434 TAX65752:TAX66434 TKT65752:TKT66434 TUP65752:TUP66434 UEL65752:UEL66434 UOH65752:UOH66434 UYD65752:UYD66434 VHZ65752:VHZ66434 VRV65752:VRV66434 WBR65752:WBR66434 WLN65752:WLN66434 WVJ65752:WVJ66434 B131288:B131970 IX131288:IX131970 ST131288:ST131970 ACP131288:ACP131970 AML131288:AML131970 AWH131288:AWH131970 BGD131288:BGD131970 BPZ131288:BPZ131970 BZV131288:BZV131970 CJR131288:CJR131970 CTN131288:CTN131970 DDJ131288:DDJ131970 DNF131288:DNF131970 DXB131288:DXB131970 EGX131288:EGX131970 EQT131288:EQT131970 FAP131288:FAP131970 FKL131288:FKL131970 FUH131288:FUH131970 GED131288:GED131970 GNZ131288:GNZ131970 GXV131288:GXV131970 HHR131288:HHR131970 HRN131288:HRN131970 IBJ131288:IBJ131970 ILF131288:ILF131970 IVB131288:IVB131970 JEX131288:JEX131970 JOT131288:JOT131970 JYP131288:JYP131970 KIL131288:KIL131970 KSH131288:KSH131970 LCD131288:LCD131970 LLZ131288:LLZ131970 LVV131288:LVV131970 MFR131288:MFR131970 MPN131288:MPN131970 MZJ131288:MZJ131970 NJF131288:NJF131970 NTB131288:NTB131970 OCX131288:OCX131970 OMT131288:OMT131970 OWP131288:OWP131970 PGL131288:PGL131970 PQH131288:PQH131970 QAD131288:QAD131970 QJZ131288:QJZ131970 QTV131288:QTV131970 RDR131288:RDR131970 RNN131288:RNN131970 RXJ131288:RXJ131970 SHF131288:SHF131970 SRB131288:SRB131970 TAX131288:TAX131970 TKT131288:TKT131970 TUP131288:TUP131970 UEL131288:UEL131970 UOH131288:UOH131970 UYD131288:UYD131970 VHZ131288:VHZ131970 VRV131288:VRV131970 WBR131288:WBR131970 WLN131288:WLN131970 WVJ131288:WVJ131970 B196824:B197506 IX196824:IX197506 ST196824:ST197506 ACP196824:ACP197506 AML196824:AML197506 AWH196824:AWH197506 BGD196824:BGD197506 BPZ196824:BPZ197506 BZV196824:BZV197506 CJR196824:CJR197506 CTN196824:CTN197506 DDJ196824:DDJ197506 DNF196824:DNF197506 DXB196824:DXB197506 EGX196824:EGX197506 EQT196824:EQT197506 FAP196824:FAP197506 FKL196824:FKL197506 FUH196824:FUH197506 GED196824:GED197506 GNZ196824:GNZ197506 GXV196824:GXV197506 HHR196824:HHR197506 HRN196824:HRN197506 IBJ196824:IBJ197506 ILF196824:ILF197506 IVB196824:IVB197506 JEX196824:JEX197506 JOT196824:JOT197506 JYP196824:JYP197506 KIL196824:KIL197506 KSH196824:KSH197506 LCD196824:LCD197506 LLZ196824:LLZ197506 LVV196824:LVV197506 MFR196824:MFR197506 MPN196824:MPN197506 MZJ196824:MZJ197506 NJF196824:NJF197506 NTB196824:NTB197506 OCX196824:OCX197506 OMT196824:OMT197506 OWP196824:OWP197506 PGL196824:PGL197506 PQH196824:PQH197506 QAD196824:QAD197506 QJZ196824:QJZ197506 QTV196824:QTV197506 RDR196824:RDR197506 RNN196824:RNN197506 RXJ196824:RXJ197506 SHF196824:SHF197506 SRB196824:SRB197506 TAX196824:TAX197506 TKT196824:TKT197506 TUP196824:TUP197506 UEL196824:UEL197506 UOH196824:UOH197506 UYD196824:UYD197506 VHZ196824:VHZ197506 VRV196824:VRV197506 WBR196824:WBR197506 WLN196824:WLN197506 WVJ196824:WVJ197506 B262360:B263042 IX262360:IX263042 ST262360:ST263042 ACP262360:ACP263042 AML262360:AML263042 AWH262360:AWH263042 BGD262360:BGD263042 BPZ262360:BPZ263042 BZV262360:BZV263042 CJR262360:CJR263042 CTN262360:CTN263042 DDJ262360:DDJ263042 DNF262360:DNF263042 DXB262360:DXB263042 EGX262360:EGX263042 EQT262360:EQT263042 FAP262360:FAP263042 FKL262360:FKL263042 FUH262360:FUH263042 GED262360:GED263042 GNZ262360:GNZ263042 GXV262360:GXV263042 HHR262360:HHR263042 HRN262360:HRN263042 IBJ262360:IBJ263042 ILF262360:ILF263042 IVB262360:IVB263042 JEX262360:JEX263042 JOT262360:JOT263042 JYP262360:JYP263042 KIL262360:KIL263042 KSH262360:KSH263042 LCD262360:LCD263042 LLZ262360:LLZ263042 LVV262360:LVV263042 MFR262360:MFR263042 MPN262360:MPN263042 MZJ262360:MZJ263042 NJF262360:NJF263042 NTB262360:NTB263042 OCX262360:OCX263042 OMT262360:OMT263042 OWP262360:OWP263042 PGL262360:PGL263042 PQH262360:PQH263042 QAD262360:QAD263042 QJZ262360:QJZ263042 QTV262360:QTV263042 RDR262360:RDR263042 RNN262360:RNN263042 RXJ262360:RXJ263042 SHF262360:SHF263042 SRB262360:SRB263042 TAX262360:TAX263042 TKT262360:TKT263042 TUP262360:TUP263042 UEL262360:UEL263042 UOH262360:UOH263042 UYD262360:UYD263042 VHZ262360:VHZ263042 VRV262360:VRV263042 WBR262360:WBR263042 WLN262360:WLN263042 WVJ262360:WVJ263042 B327896:B328578 IX327896:IX328578 ST327896:ST328578 ACP327896:ACP328578 AML327896:AML328578 AWH327896:AWH328578 BGD327896:BGD328578 BPZ327896:BPZ328578 BZV327896:BZV328578 CJR327896:CJR328578 CTN327896:CTN328578 DDJ327896:DDJ328578 DNF327896:DNF328578 DXB327896:DXB328578 EGX327896:EGX328578 EQT327896:EQT328578 FAP327896:FAP328578 FKL327896:FKL328578 FUH327896:FUH328578 GED327896:GED328578 GNZ327896:GNZ328578 GXV327896:GXV328578 HHR327896:HHR328578 HRN327896:HRN328578 IBJ327896:IBJ328578 ILF327896:ILF328578 IVB327896:IVB328578 JEX327896:JEX328578 JOT327896:JOT328578 JYP327896:JYP328578 KIL327896:KIL328578 KSH327896:KSH328578 LCD327896:LCD328578 LLZ327896:LLZ328578 LVV327896:LVV328578 MFR327896:MFR328578 MPN327896:MPN328578 MZJ327896:MZJ328578 NJF327896:NJF328578 NTB327896:NTB328578 OCX327896:OCX328578 OMT327896:OMT328578 OWP327896:OWP328578 PGL327896:PGL328578 PQH327896:PQH328578 QAD327896:QAD328578 QJZ327896:QJZ328578 QTV327896:QTV328578 RDR327896:RDR328578 RNN327896:RNN328578 RXJ327896:RXJ328578 SHF327896:SHF328578 SRB327896:SRB328578 TAX327896:TAX328578 TKT327896:TKT328578 TUP327896:TUP328578 UEL327896:UEL328578 UOH327896:UOH328578 UYD327896:UYD328578 VHZ327896:VHZ328578 VRV327896:VRV328578 WBR327896:WBR328578 WLN327896:WLN328578 WVJ327896:WVJ328578 B393432:B394114 IX393432:IX394114 ST393432:ST394114 ACP393432:ACP394114 AML393432:AML394114 AWH393432:AWH394114 BGD393432:BGD394114 BPZ393432:BPZ394114 BZV393432:BZV394114 CJR393432:CJR394114 CTN393432:CTN394114 DDJ393432:DDJ394114 DNF393432:DNF394114 DXB393432:DXB394114 EGX393432:EGX394114 EQT393432:EQT394114 FAP393432:FAP394114 FKL393432:FKL394114 FUH393432:FUH394114 GED393432:GED394114 GNZ393432:GNZ394114 GXV393432:GXV394114 HHR393432:HHR394114 HRN393432:HRN394114 IBJ393432:IBJ394114 ILF393432:ILF394114 IVB393432:IVB394114 JEX393432:JEX394114 JOT393432:JOT394114 JYP393432:JYP394114 KIL393432:KIL394114 KSH393432:KSH394114 LCD393432:LCD394114 LLZ393432:LLZ394114 LVV393432:LVV394114 MFR393432:MFR394114 MPN393432:MPN394114 MZJ393432:MZJ394114 NJF393432:NJF394114 NTB393432:NTB394114 OCX393432:OCX394114 OMT393432:OMT394114 OWP393432:OWP394114 PGL393432:PGL394114 PQH393432:PQH394114 QAD393432:QAD394114 QJZ393432:QJZ394114 QTV393432:QTV394114 RDR393432:RDR394114 RNN393432:RNN394114 RXJ393432:RXJ394114 SHF393432:SHF394114 SRB393432:SRB394114 TAX393432:TAX394114 TKT393432:TKT394114 TUP393432:TUP394114 UEL393432:UEL394114 UOH393432:UOH394114 UYD393432:UYD394114 VHZ393432:VHZ394114 VRV393432:VRV394114 WBR393432:WBR394114 WLN393432:WLN394114 WVJ393432:WVJ394114 B458968:B459650 IX458968:IX459650 ST458968:ST459650 ACP458968:ACP459650 AML458968:AML459650 AWH458968:AWH459650 BGD458968:BGD459650 BPZ458968:BPZ459650 BZV458968:BZV459650 CJR458968:CJR459650 CTN458968:CTN459650 DDJ458968:DDJ459650 DNF458968:DNF459650 DXB458968:DXB459650 EGX458968:EGX459650 EQT458968:EQT459650 FAP458968:FAP459650 FKL458968:FKL459650 FUH458968:FUH459650 GED458968:GED459650 GNZ458968:GNZ459650 GXV458968:GXV459650 HHR458968:HHR459650 HRN458968:HRN459650 IBJ458968:IBJ459650 ILF458968:ILF459650 IVB458968:IVB459650 JEX458968:JEX459650 JOT458968:JOT459650 JYP458968:JYP459650 KIL458968:KIL459650 KSH458968:KSH459650 LCD458968:LCD459650 LLZ458968:LLZ459650 LVV458968:LVV459650 MFR458968:MFR459650 MPN458968:MPN459650 MZJ458968:MZJ459650 NJF458968:NJF459650 NTB458968:NTB459650 OCX458968:OCX459650 OMT458968:OMT459650 OWP458968:OWP459650 PGL458968:PGL459650 PQH458968:PQH459650 QAD458968:QAD459650 QJZ458968:QJZ459650 QTV458968:QTV459650 RDR458968:RDR459650 RNN458968:RNN459650 RXJ458968:RXJ459650 SHF458968:SHF459650 SRB458968:SRB459650 TAX458968:TAX459650 TKT458968:TKT459650 TUP458968:TUP459650 UEL458968:UEL459650 UOH458968:UOH459650 UYD458968:UYD459650 VHZ458968:VHZ459650 VRV458968:VRV459650 WBR458968:WBR459650 WLN458968:WLN459650 WVJ458968:WVJ459650 B524504:B525186 IX524504:IX525186 ST524504:ST525186 ACP524504:ACP525186 AML524504:AML525186 AWH524504:AWH525186 BGD524504:BGD525186 BPZ524504:BPZ525186 BZV524504:BZV525186 CJR524504:CJR525186 CTN524504:CTN525186 DDJ524504:DDJ525186 DNF524504:DNF525186 DXB524504:DXB525186 EGX524504:EGX525186 EQT524504:EQT525186 FAP524504:FAP525186 FKL524504:FKL525186 FUH524504:FUH525186 GED524504:GED525186 GNZ524504:GNZ525186 GXV524504:GXV525186 HHR524504:HHR525186 HRN524504:HRN525186 IBJ524504:IBJ525186 ILF524504:ILF525186 IVB524504:IVB525186 JEX524504:JEX525186 JOT524504:JOT525186 JYP524504:JYP525186 KIL524504:KIL525186 KSH524504:KSH525186 LCD524504:LCD525186 LLZ524504:LLZ525186 LVV524504:LVV525186 MFR524504:MFR525186 MPN524504:MPN525186 MZJ524504:MZJ525186 NJF524504:NJF525186 NTB524504:NTB525186 OCX524504:OCX525186 OMT524504:OMT525186 OWP524504:OWP525186 PGL524504:PGL525186 PQH524504:PQH525186 QAD524504:QAD525186 QJZ524504:QJZ525186 QTV524504:QTV525186 RDR524504:RDR525186 RNN524504:RNN525186 RXJ524504:RXJ525186 SHF524504:SHF525186 SRB524504:SRB525186 TAX524504:TAX525186 TKT524504:TKT525186 TUP524504:TUP525186 UEL524504:UEL525186 UOH524504:UOH525186 UYD524504:UYD525186 VHZ524504:VHZ525186 VRV524504:VRV525186 WBR524504:WBR525186 WLN524504:WLN525186 WVJ524504:WVJ525186 B590040:B590722 IX590040:IX590722 ST590040:ST590722 ACP590040:ACP590722 AML590040:AML590722 AWH590040:AWH590722 BGD590040:BGD590722 BPZ590040:BPZ590722 BZV590040:BZV590722 CJR590040:CJR590722 CTN590040:CTN590722 DDJ590040:DDJ590722 DNF590040:DNF590722 DXB590040:DXB590722 EGX590040:EGX590722 EQT590040:EQT590722 FAP590040:FAP590722 FKL590040:FKL590722 FUH590040:FUH590722 GED590040:GED590722 GNZ590040:GNZ590722 GXV590040:GXV590722 HHR590040:HHR590722 HRN590040:HRN590722 IBJ590040:IBJ590722 ILF590040:ILF590722 IVB590040:IVB590722 JEX590040:JEX590722 JOT590040:JOT590722 JYP590040:JYP590722 KIL590040:KIL590722 KSH590040:KSH590722 LCD590040:LCD590722 LLZ590040:LLZ590722 LVV590040:LVV590722 MFR590040:MFR590722 MPN590040:MPN590722 MZJ590040:MZJ590722 NJF590040:NJF590722 NTB590040:NTB590722 OCX590040:OCX590722 OMT590040:OMT590722 OWP590040:OWP590722 PGL590040:PGL590722 PQH590040:PQH590722 QAD590040:QAD590722 QJZ590040:QJZ590722 QTV590040:QTV590722 RDR590040:RDR590722 RNN590040:RNN590722 RXJ590040:RXJ590722 SHF590040:SHF590722 SRB590040:SRB590722 TAX590040:TAX590722 TKT590040:TKT590722 TUP590040:TUP590722 UEL590040:UEL590722 UOH590040:UOH590722 UYD590040:UYD590722 VHZ590040:VHZ590722 VRV590040:VRV590722 WBR590040:WBR590722 WLN590040:WLN590722 WVJ590040:WVJ590722 B655576:B656258 IX655576:IX656258 ST655576:ST656258 ACP655576:ACP656258 AML655576:AML656258 AWH655576:AWH656258 BGD655576:BGD656258 BPZ655576:BPZ656258 BZV655576:BZV656258 CJR655576:CJR656258 CTN655576:CTN656258 DDJ655576:DDJ656258 DNF655576:DNF656258 DXB655576:DXB656258 EGX655576:EGX656258 EQT655576:EQT656258 FAP655576:FAP656258 FKL655576:FKL656258 FUH655576:FUH656258 GED655576:GED656258 GNZ655576:GNZ656258 GXV655576:GXV656258 HHR655576:HHR656258 HRN655576:HRN656258 IBJ655576:IBJ656258 ILF655576:ILF656258 IVB655576:IVB656258 JEX655576:JEX656258 JOT655576:JOT656258 JYP655576:JYP656258 KIL655576:KIL656258 KSH655576:KSH656258 LCD655576:LCD656258 LLZ655576:LLZ656258 LVV655576:LVV656258 MFR655576:MFR656258 MPN655576:MPN656258 MZJ655576:MZJ656258 NJF655576:NJF656258 NTB655576:NTB656258 OCX655576:OCX656258 OMT655576:OMT656258 OWP655576:OWP656258 PGL655576:PGL656258 PQH655576:PQH656258 QAD655576:QAD656258 QJZ655576:QJZ656258 QTV655576:QTV656258 RDR655576:RDR656258 RNN655576:RNN656258 RXJ655576:RXJ656258 SHF655576:SHF656258 SRB655576:SRB656258 TAX655576:TAX656258 TKT655576:TKT656258 TUP655576:TUP656258 UEL655576:UEL656258 UOH655576:UOH656258 UYD655576:UYD656258 VHZ655576:VHZ656258 VRV655576:VRV656258 WBR655576:WBR656258 WLN655576:WLN656258 WVJ655576:WVJ656258 B721112:B721794 IX721112:IX721794 ST721112:ST721794 ACP721112:ACP721794 AML721112:AML721794 AWH721112:AWH721794 BGD721112:BGD721794 BPZ721112:BPZ721794 BZV721112:BZV721794 CJR721112:CJR721794 CTN721112:CTN721794 DDJ721112:DDJ721794 DNF721112:DNF721794 DXB721112:DXB721794 EGX721112:EGX721794 EQT721112:EQT721794 FAP721112:FAP721794 FKL721112:FKL721794 FUH721112:FUH721794 GED721112:GED721794 GNZ721112:GNZ721794 GXV721112:GXV721794 HHR721112:HHR721794 HRN721112:HRN721794 IBJ721112:IBJ721794 ILF721112:ILF721794 IVB721112:IVB721794 JEX721112:JEX721794 JOT721112:JOT721794 JYP721112:JYP721794 KIL721112:KIL721794 KSH721112:KSH721794 LCD721112:LCD721794 LLZ721112:LLZ721794 LVV721112:LVV721794 MFR721112:MFR721794 MPN721112:MPN721794 MZJ721112:MZJ721794 NJF721112:NJF721794 NTB721112:NTB721794 OCX721112:OCX721794 OMT721112:OMT721794 OWP721112:OWP721794 PGL721112:PGL721794 PQH721112:PQH721794 QAD721112:QAD721794 QJZ721112:QJZ721794 QTV721112:QTV721794 RDR721112:RDR721794 RNN721112:RNN721794 RXJ721112:RXJ721794 SHF721112:SHF721794 SRB721112:SRB721794 TAX721112:TAX721794 TKT721112:TKT721794 TUP721112:TUP721794 UEL721112:UEL721794 UOH721112:UOH721794 UYD721112:UYD721794 VHZ721112:VHZ721794 VRV721112:VRV721794 WBR721112:WBR721794 WLN721112:WLN721794 WVJ721112:WVJ721794 B786648:B787330 IX786648:IX787330 ST786648:ST787330 ACP786648:ACP787330 AML786648:AML787330 AWH786648:AWH787330 BGD786648:BGD787330 BPZ786648:BPZ787330 BZV786648:BZV787330 CJR786648:CJR787330 CTN786648:CTN787330 DDJ786648:DDJ787330 DNF786648:DNF787330 DXB786648:DXB787330 EGX786648:EGX787330 EQT786648:EQT787330 FAP786648:FAP787330 FKL786648:FKL787330 FUH786648:FUH787330 GED786648:GED787330 GNZ786648:GNZ787330 GXV786648:GXV787330 HHR786648:HHR787330 HRN786648:HRN787330 IBJ786648:IBJ787330 ILF786648:ILF787330 IVB786648:IVB787330 JEX786648:JEX787330 JOT786648:JOT787330 JYP786648:JYP787330 KIL786648:KIL787330 KSH786648:KSH787330 LCD786648:LCD787330 LLZ786648:LLZ787330 LVV786648:LVV787330 MFR786648:MFR787330 MPN786648:MPN787330 MZJ786648:MZJ787330 NJF786648:NJF787330 NTB786648:NTB787330 OCX786648:OCX787330 OMT786648:OMT787330 OWP786648:OWP787330 PGL786648:PGL787330 PQH786648:PQH787330 QAD786648:QAD787330 QJZ786648:QJZ787330 QTV786648:QTV787330 RDR786648:RDR787330 RNN786648:RNN787330 RXJ786648:RXJ787330 SHF786648:SHF787330 SRB786648:SRB787330 TAX786648:TAX787330 TKT786648:TKT787330 TUP786648:TUP787330 UEL786648:UEL787330 UOH786648:UOH787330 UYD786648:UYD787330 VHZ786648:VHZ787330 VRV786648:VRV787330 WBR786648:WBR787330 WLN786648:WLN787330 WVJ786648:WVJ787330 B852184:B852866 IX852184:IX852866 ST852184:ST852866 ACP852184:ACP852866 AML852184:AML852866 AWH852184:AWH852866 BGD852184:BGD852866 BPZ852184:BPZ852866 BZV852184:BZV852866 CJR852184:CJR852866 CTN852184:CTN852866 DDJ852184:DDJ852866 DNF852184:DNF852866 DXB852184:DXB852866 EGX852184:EGX852866 EQT852184:EQT852866 FAP852184:FAP852866 FKL852184:FKL852866 FUH852184:FUH852866 GED852184:GED852866 GNZ852184:GNZ852866 GXV852184:GXV852866 HHR852184:HHR852866 HRN852184:HRN852866 IBJ852184:IBJ852866 ILF852184:ILF852866 IVB852184:IVB852866 JEX852184:JEX852866 JOT852184:JOT852866 JYP852184:JYP852866 KIL852184:KIL852866 KSH852184:KSH852866 LCD852184:LCD852866 LLZ852184:LLZ852866 LVV852184:LVV852866 MFR852184:MFR852866 MPN852184:MPN852866 MZJ852184:MZJ852866 NJF852184:NJF852866 NTB852184:NTB852866 OCX852184:OCX852866 OMT852184:OMT852866 OWP852184:OWP852866 PGL852184:PGL852866 PQH852184:PQH852866 QAD852184:QAD852866 QJZ852184:QJZ852866 QTV852184:QTV852866 RDR852184:RDR852866 RNN852184:RNN852866 RXJ852184:RXJ852866 SHF852184:SHF852866 SRB852184:SRB852866 TAX852184:TAX852866 TKT852184:TKT852866 TUP852184:TUP852866 UEL852184:UEL852866 UOH852184:UOH852866 UYD852184:UYD852866 VHZ852184:VHZ852866 VRV852184:VRV852866 WBR852184:WBR852866 WLN852184:WLN852866 WVJ852184:WVJ852866 B917720:B918402 IX917720:IX918402 ST917720:ST918402 ACP917720:ACP918402 AML917720:AML918402 AWH917720:AWH918402 BGD917720:BGD918402 BPZ917720:BPZ918402 BZV917720:BZV918402 CJR917720:CJR918402 CTN917720:CTN918402 DDJ917720:DDJ918402 DNF917720:DNF918402 DXB917720:DXB918402 EGX917720:EGX918402 EQT917720:EQT918402 FAP917720:FAP918402 FKL917720:FKL918402 FUH917720:FUH918402 GED917720:GED918402 GNZ917720:GNZ918402 GXV917720:GXV918402 HHR917720:HHR918402 HRN917720:HRN918402 IBJ917720:IBJ918402 ILF917720:ILF918402 IVB917720:IVB918402 JEX917720:JEX918402 JOT917720:JOT918402 JYP917720:JYP918402 KIL917720:KIL918402 KSH917720:KSH918402 LCD917720:LCD918402 LLZ917720:LLZ918402 LVV917720:LVV918402 MFR917720:MFR918402 MPN917720:MPN918402 MZJ917720:MZJ918402 NJF917720:NJF918402 NTB917720:NTB918402 OCX917720:OCX918402 OMT917720:OMT918402 OWP917720:OWP918402 PGL917720:PGL918402 PQH917720:PQH918402 QAD917720:QAD918402 QJZ917720:QJZ918402 QTV917720:QTV918402 RDR917720:RDR918402 RNN917720:RNN918402 RXJ917720:RXJ918402 SHF917720:SHF918402 SRB917720:SRB918402 TAX917720:TAX918402 TKT917720:TKT918402 TUP917720:TUP918402 UEL917720:UEL918402 UOH917720:UOH918402 UYD917720:UYD918402 VHZ917720:VHZ918402 VRV917720:VRV918402 WBR917720:WBR918402 WLN917720:WLN918402 WVJ917720:WVJ918402 B983256:B983938 IX983256:IX983938 ST983256:ST983938 ACP983256:ACP983938 AML983256:AML983938 AWH983256:AWH983938 BGD983256:BGD983938 BPZ983256:BPZ983938 BZV983256:BZV983938 CJR983256:CJR983938 CTN983256:CTN983938 DDJ983256:DDJ983938 DNF983256:DNF983938 DXB983256:DXB983938 EGX983256:EGX983938 EQT983256:EQT983938 FAP983256:FAP983938 FKL983256:FKL983938 FUH983256:FUH983938 GED983256:GED983938 GNZ983256:GNZ983938 GXV983256:GXV983938 HHR983256:HHR983938 HRN983256:HRN983938 IBJ983256:IBJ983938 ILF983256:ILF983938 IVB983256:IVB983938 JEX983256:JEX983938 JOT983256:JOT983938 JYP983256:JYP983938 KIL983256:KIL983938 KSH983256:KSH983938 LCD983256:LCD983938 LLZ983256:LLZ983938 LVV983256:LVV983938 MFR983256:MFR983938 MPN983256:MPN983938 MZJ983256:MZJ983938 NJF983256:NJF983938 NTB983256:NTB983938 OCX983256:OCX983938 OMT983256:OMT983938 OWP983256:OWP983938 PGL983256:PGL983938 PQH983256:PQH983938 QAD983256:QAD983938 QJZ983256:QJZ983938 QTV983256:QTV983938 RDR983256:RDR983938 RNN983256:RNN983938 RXJ983256:RXJ983938 SHF983256:SHF983938 SRB983256:SRB983938 TAX983256:TAX983938 TKT983256:TKT983938 TUP983256:TUP983938 UEL983256:UEL983938 UOH983256:UOH983938 UYD983256:UYD983938 VHZ983256:VHZ983938 VRV983256:VRV983938 WBR983256:WBR983938 WLN983256:WLN983938 B216:B898"/>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7"/>
  <sheetViews>
    <sheetView zoomScale="70" zoomScaleNormal="70" workbookViewId="0">
      <selection activeCell="I84" sqref="I84"/>
    </sheetView>
  </sheetViews>
  <sheetFormatPr defaultColWidth="9.33203125" defaultRowHeight="18"/>
  <cols>
    <col min="1" max="1" width="9.33203125" style="756"/>
    <col min="2" max="2" width="15.1640625" style="763" customWidth="1"/>
    <col min="3" max="3" width="22.6640625" style="763" customWidth="1"/>
    <col min="4" max="4" width="14.6640625" style="764" customWidth="1"/>
    <col min="5" max="5" width="19.1640625" style="765" customWidth="1"/>
    <col min="6" max="6" width="19.83203125" style="765" customWidth="1"/>
    <col min="7" max="7" width="18" style="765" customWidth="1"/>
    <col min="8" max="8" width="20.6640625" style="765" customWidth="1"/>
    <col min="9" max="9" width="18" style="765" customWidth="1"/>
    <col min="10" max="10" width="22.33203125" style="765" customWidth="1"/>
    <col min="11" max="12" width="18" style="765" customWidth="1"/>
    <col min="13" max="13" width="12.6640625" style="756" customWidth="1"/>
    <col min="14" max="14" width="9.33203125" style="756" customWidth="1"/>
    <col min="15" max="16384" width="9.33203125" style="756"/>
  </cols>
  <sheetData>
    <row r="1" spans="1:14" ht="23.25" customHeight="1">
      <c r="A1" s="949" t="s">
        <v>1865</v>
      </c>
      <c r="B1" s="949"/>
      <c r="C1" s="949"/>
      <c r="D1" s="949"/>
      <c r="E1" s="949"/>
      <c r="F1" s="949"/>
      <c r="G1" s="949"/>
      <c r="H1" s="949"/>
      <c r="I1" s="949"/>
      <c r="J1" s="949"/>
      <c r="K1" s="949"/>
      <c r="L1" s="949"/>
    </row>
    <row r="2" spans="1:14" s="757" customFormat="1" ht="21" customHeight="1">
      <c r="A2" s="953" t="s">
        <v>1368</v>
      </c>
      <c r="B2" s="953" t="s">
        <v>1847</v>
      </c>
      <c r="C2" s="884" t="s">
        <v>1866</v>
      </c>
      <c r="D2" s="956" t="s">
        <v>1848</v>
      </c>
      <c r="E2" s="957" t="s">
        <v>1849</v>
      </c>
      <c r="F2" s="958"/>
      <c r="G2" s="958"/>
      <c r="H2" s="958"/>
      <c r="I2" s="954" t="s">
        <v>17</v>
      </c>
      <c r="J2" s="954"/>
      <c r="K2" s="954"/>
      <c r="L2" s="955"/>
      <c r="M2" s="757">
        <f>0.22+0.1+0.2</f>
        <v>0.52</v>
      </c>
    </row>
    <row r="3" spans="1:14" s="758" customFormat="1" ht="39" customHeight="1">
      <c r="A3" s="953"/>
      <c r="B3" s="953"/>
      <c r="C3" s="885"/>
      <c r="D3" s="956"/>
      <c r="E3" s="766" t="s">
        <v>1850</v>
      </c>
      <c r="F3" s="766" t="s">
        <v>1851</v>
      </c>
      <c r="G3" s="766" t="s">
        <v>1852</v>
      </c>
      <c r="H3" s="766" t="s">
        <v>1853</v>
      </c>
      <c r="I3" s="766" t="s">
        <v>1850</v>
      </c>
      <c r="J3" s="766" t="s">
        <v>1854</v>
      </c>
      <c r="K3" s="766" t="s">
        <v>1855</v>
      </c>
      <c r="L3" s="766" t="s">
        <v>1856</v>
      </c>
    </row>
    <row r="4" spans="1:14" s="758" customFormat="1" ht="17.25" customHeight="1">
      <c r="A4" s="445">
        <v>1</v>
      </c>
      <c r="B4" s="460" t="s">
        <v>1857</v>
      </c>
      <c r="C4" s="773">
        <v>0</v>
      </c>
      <c r="D4" s="767" t="s">
        <v>1858</v>
      </c>
      <c r="E4" s="768">
        <v>1.58</v>
      </c>
      <c r="F4" s="768">
        <v>1</v>
      </c>
      <c r="G4" s="768">
        <v>1.86</v>
      </c>
      <c r="H4" s="768">
        <v>1.2</v>
      </c>
      <c r="I4" s="768"/>
      <c r="J4" s="766"/>
      <c r="K4" s="766"/>
      <c r="L4" s="766"/>
    </row>
    <row r="5" spans="1:14" s="758" customFormat="1" ht="17.25" customHeight="1">
      <c r="A5" s="445"/>
      <c r="B5" s="460" t="s">
        <v>1858</v>
      </c>
      <c r="C5" s="460"/>
      <c r="D5" s="767">
        <v>3.03</v>
      </c>
      <c r="E5" s="768" t="s">
        <v>1858</v>
      </c>
      <c r="F5" s="768" t="s">
        <v>1858</v>
      </c>
      <c r="G5" s="768" t="s">
        <v>1858</v>
      </c>
      <c r="H5" s="768" t="s">
        <v>1858</v>
      </c>
      <c r="I5" s="768">
        <f>(E4+E6)/2</f>
        <v>1.55</v>
      </c>
      <c r="J5" s="768">
        <f>(F4+F6)/2*$D5</f>
        <v>3.1814999999999998</v>
      </c>
      <c r="K5" s="768">
        <f t="shared" ref="K5:L5" si="0">(G4+G6)/2*$D5</f>
        <v>5.5600499999999995</v>
      </c>
      <c r="L5" s="768">
        <f t="shared" si="0"/>
        <v>3.2724000000000002</v>
      </c>
      <c r="M5" s="776">
        <v>3.1814999999999998</v>
      </c>
      <c r="N5" s="776">
        <f>M5-J5</f>
        <v>0</v>
      </c>
    </row>
    <row r="6" spans="1:14" s="758" customFormat="1" ht="17.25" customHeight="1">
      <c r="A6" s="445">
        <v>2</v>
      </c>
      <c r="B6" s="460">
        <v>1</v>
      </c>
      <c r="C6" s="773">
        <v>3.03</v>
      </c>
      <c r="D6" s="767" t="s">
        <v>1858</v>
      </c>
      <c r="E6" s="768">
        <v>1.52</v>
      </c>
      <c r="F6" s="768">
        <v>1.1000000000000001</v>
      </c>
      <c r="G6" s="768">
        <v>1.81</v>
      </c>
      <c r="H6" s="768">
        <v>0.96</v>
      </c>
      <c r="I6" s="768"/>
      <c r="J6" s="766"/>
      <c r="K6" s="766"/>
      <c r="L6" s="766"/>
      <c r="M6" s="776"/>
      <c r="N6" s="776">
        <f t="shared" ref="N6:N67" si="1">M6-J6</f>
        <v>0</v>
      </c>
    </row>
    <row r="7" spans="1:14" s="758" customFormat="1" ht="17.25" customHeight="1">
      <c r="A7" s="445"/>
      <c r="B7" s="460" t="s">
        <v>1858</v>
      </c>
      <c r="C7" s="460"/>
      <c r="D7" s="767">
        <f>C8-C6</f>
        <v>14.47</v>
      </c>
      <c r="E7" s="768" t="s">
        <v>1858</v>
      </c>
      <c r="F7" s="768" t="s">
        <v>1858</v>
      </c>
      <c r="G7" s="768" t="s">
        <v>1858</v>
      </c>
      <c r="H7" s="768" t="s">
        <v>1858</v>
      </c>
      <c r="I7" s="768">
        <f t="shared" ref="I7:I67" si="2">(E6+E8)/2</f>
        <v>1.44</v>
      </c>
      <c r="J7" s="768">
        <f t="shared" ref="J7:L7" si="3">(F6+F8)/2*$D7</f>
        <v>16.71285</v>
      </c>
      <c r="K7" s="768">
        <f t="shared" si="3"/>
        <v>25.322500000000002</v>
      </c>
      <c r="L7" s="768">
        <f t="shared" si="3"/>
        <v>12.1548</v>
      </c>
      <c r="M7" s="776">
        <v>16.71285</v>
      </c>
      <c r="N7" s="776">
        <f t="shared" si="1"/>
        <v>0</v>
      </c>
    </row>
    <row r="8" spans="1:14" s="758" customFormat="1" ht="17.25" customHeight="1">
      <c r="A8" s="445">
        <v>3</v>
      </c>
      <c r="B8" s="460">
        <v>2</v>
      </c>
      <c r="C8" s="773">
        <v>17.5</v>
      </c>
      <c r="D8" s="767" t="s">
        <v>1858</v>
      </c>
      <c r="E8" s="768">
        <v>1.36</v>
      </c>
      <c r="F8" s="768">
        <v>1.21</v>
      </c>
      <c r="G8" s="768">
        <v>1.69</v>
      </c>
      <c r="H8" s="768">
        <v>0.72</v>
      </c>
      <c r="I8" s="768"/>
      <c r="J8" s="766"/>
      <c r="K8" s="766"/>
      <c r="L8" s="766"/>
      <c r="M8" s="776"/>
      <c r="N8" s="776">
        <f t="shared" si="1"/>
        <v>0</v>
      </c>
    </row>
    <row r="9" spans="1:14" s="758" customFormat="1" ht="17.25" customHeight="1">
      <c r="A9" s="445"/>
      <c r="B9" s="460" t="s">
        <v>1858</v>
      </c>
      <c r="C9" s="460"/>
      <c r="D9" s="767">
        <f>C10-C8</f>
        <v>17.5</v>
      </c>
      <c r="E9" s="768" t="s">
        <v>1858</v>
      </c>
      <c r="F9" s="768" t="s">
        <v>1858</v>
      </c>
      <c r="G9" s="768" t="s">
        <v>1858</v>
      </c>
      <c r="H9" s="768" t="s">
        <v>1858</v>
      </c>
      <c r="I9" s="768">
        <f t="shared" si="2"/>
        <v>1.375</v>
      </c>
      <c r="J9" s="768">
        <f t="shared" ref="J9:L9" si="4">(F8+F10)/2*$D9</f>
        <v>20.474999999999998</v>
      </c>
      <c r="K9" s="768">
        <f t="shared" si="4"/>
        <v>29.75</v>
      </c>
      <c r="L9" s="768">
        <f t="shared" si="4"/>
        <v>11.2875</v>
      </c>
      <c r="M9" s="776">
        <v>20.474999999999998</v>
      </c>
      <c r="N9" s="776">
        <f t="shared" si="1"/>
        <v>0</v>
      </c>
    </row>
    <row r="10" spans="1:14" s="758" customFormat="1" ht="17.25" customHeight="1">
      <c r="A10" s="445">
        <v>4</v>
      </c>
      <c r="B10" s="460">
        <v>3</v>
      </c>
      <c r="C10" s="774">
        <v>35</v>
      </c>
      <c r="D10" s="767" t="s">
        <v>1858</v>
      </c>
      <c r="E10" s="768">
        <v>1.39</v>
      </c>
      <c r="F10" s="768">
        <v>1.1299999999999999</v>
      </c>
      <c r="G10" s="768">
        <v>1.71</v>
      </c>
      <c r="H10" s="768">
        <v>0.56999999999999995</v>
      </c>
      <c r="I10" s="768"/>
      <c r="J10" s="766"/>
      <c r="K10" s="766"/>
      <c r="L10" s="766"/>
      <c r="M10" s="776"/>
      <c r="N10" s="776">
        <f t="shared" si="1"/>
        <v>0</v>
      </c>
    </row>
    <row r="11" spans="1:14" s="758" customFormat="1" ht="17.25" customHeight="1">
      <c r="A11" s="445"/>
      <c r="B11" s="460" t="s">
        <v>1858</v>
      </c>
      <c r="C11" s="774"/>
      <c r="D11" s="767">
        <f>C12-C10</f>
        <v>17.5</v>
      </c>
      <c r="E11" s="768" t="s">
        <v>1858</v>
      </c>
      <c r="F11" s="768" t="s">
        <v>1858</v>
      </c>
      <c r="G11" s="768" t="s">
        <v>1858</v>
      </c>
      <c r="H11" s="768" t="s">
        <v>1858</v>
      </c>
      <c r="I11" s="768">
        <f t="shared" si="2"/>
        <v>1.39</v>
      </c>
      <c r="J11" s="768">
        <f t="shared" ref="J11:L11" si="5">(F10+F12)/2*$D11</f>
        <v>22.487499999999997</v>
      </c>
      <c r="K11" s="768">
        <f t="shared" si="5"/>
        <v>38.412500000000009</v>
      </c>
      <c r="L11" s="768">
        <f t="shared" si="5"/>
        <v>13.212499999999999</v>
      </c>
      <c r="M11" s="776">
        <v>22.487499999999997</v>
      </c>
      <c r="N11" s="776">
        <f t="shared" si="1"/>
        <v>0</v>
      </c>
    </row>
    <row r="12" spans="1:14" s="758" customFormat="1" ht="17.25" customHeight="1">
      <c r="A12" s="445">
        <v>5</v>
      </c>
      <c r="B12" s="460">
        <v>4</v>
      </c>
      <c r="C12" s="774">
        <v>52.5</v>
      </c>
      <c r="D12" s="767" t="s">
        <v>1858</v>
      </c>
      <c r="E12" s="768">
        <v>1.39</v>
      </c>
      <c r="F12" s="768">
        <v>1.44</v>
      </c>
      <c r="G12" s="768">
        <v>2.68</v>
      </c>
      <c r="H12" s="768">
        <v>0.94</v>
      </c>
      <c r="I12" s="768"/>
      <c r="J12" s="766"/>
      <c r="K12" s="766"/>
      <c r="L12" s="766"/>
      <c r="M12" s="776"/>
      <c r="N12" s="776">
        <f t="shared" si="1"/>
        <v>0</v>
      </c>
    </row>
    <row r="13" spans="1:14" s="758" customFormat="1" ht="17.25" customHeight="1">
      <c r="A13" s="445"/>
      <c r="B13" s="460" t="s">
        <v>1858</v>
      </c>
      <c r="C13" s="774"/>
      <c r="D13" s="767">
        <f>C14-C12</f>
        <v>13.5</v>
      </c>
      <c r="E13" s="768" t="s">
        <v>1858</v>
      </c>
      <c r="F13" s="768" t="s">
        <v>1858</v>
      </c>
      <c r="G13" s="768" t="s">
        <v>1858</v>
      </c>
      <c r="H13" s="768" t="s">
        <v>1858</v>
      </c>
      <c r="I13" s="768">
        <f t="shared" si="2"/>
        <v>1.4</v>
      </c>
      <c r="J13" s="768">
        <f t="shared" ref="J13:L13" si="6">(F12+F14)/2*$D13</f>
        <v>19.777499999999996</v>
      </c>
      <c r="K13" s="768">
        <f t="shared" si="6"/>
        <v>39.487499999999997</v>
      </c>
      <c r="L13" s="768">
        <f t="shared" si="6"/>
        <v>13.5</v>
      </c>
      <c r="M13" s="776">
        <v>19.777499999999996</v>
      </c>
      <c r="N13" s="776">
        <f t="shared" si="1"/>
        <v>0</v>
      </c>
    </row>
    <row r="14" spans="1:14" s="758" customFormat="1" ht="17.25" customHeight="1">
      <c r="A14" s="445">
        <v>6</v>
      </c>
      <c r="B14" s="460" t="s">
        <v>1859</v>
      </c>
      <c r="C14" s="774">
        <v>66</v>
      </c>
      <c r="D14" s="767" t="s">
        <v>1858</v>
      </c>
      <c r="E14" s="768">
        <v>1.41</v>
      </c>
      <c r="F14" s="768">
        <v>1.49</v>
      </c>
      <c r="G14" s="768">
        <v>3.17</v>
      </c>
      <c r="H14" s="768">
        <v>1.06</v>
      </c>
      <c r="I14" s="768"/>
      <c r="J14" s="766"/>
      <c r="K14" s="766"/>
      <c r="L14" s="766"/>
      <c r="M14" s="776"/>
      <c r="N14" s="776">
        <f t="shared" si="1"/>
        <v>0</v>
      </c>
    </row>
    <row r="15" spans="1:14" s="758" customFormat="1" ht="17.25" customHeight="1">
      <c r="A15" s="445"/>
      <c r="B15" s="460" t="s">
        <v>1858</v>
      </c>
      <c r="C15" s="774"/>
      <c r="D15" s="811">
        <f>C16-C14</f>
        <v>20.209999999999994</v>
      </c>
      <c r="E15" s="768" t="s">
        <v>1858</v>
      </c>
      <c r="F15" s="768" t="s">
        <v>1858</v>
      </c>
      <c r="G15" s="768" t="s">
        <v>1858</v>
      </c>
      <c r="H15" s="768" t="s">
        <v>1858</v>
      </c>
      <c r="I15" s="768">
        <f t="shared" si="2"/>
        <v>1.415</v>
      </c>
      <c r="J15" s="768">
        <f t="shared" ref="J15:L15" si="7">(F14+F16)/2*$D15</f>
        <v>26.475099999999994</v>
      </c>
      <c r="K15" s="768">
        <f t="shared" si="7"/>
        <v>53.354399999999977</v>
      </c>
      <c r="L15" s="768">
        <f t="shared" si="7"/>
        <v>23.443599999999996</v>
      </c>
      <c r="M15" s="776">
        <v>26.488199999999999</v>
      </c>
      <c r="N15" s="810">
        <f t="shared" si="1"/>
        <v>1.3100000000004997E-2</v>
      </c>
    </row>
    <row r="16" spans="1:14" s="758" customFormat="1" ht="17.25" customHeight="1">
      <c r="A16" s="445">
        <v>7</v>
      </c>
      <c r="B16" s="460">
        <v>5</v>
      </c>
      <c r="C16" s="774">
        <v>86.21</v>
      </c>
      <c r="D16" s="767" t="s">
        <v>1858</v>
      </c>
      <c r="E16" s="768">
        <v>1.42</v>
      </c>
      <c r="F16" s="768">
        <v>1.1299999999999999</v>
      </c>
      <c r="G16" s="768">
        <v>2.11</v>
      </c>
      <c r="H16" s="768">
        <v>1.26</v>
      </c>
      <c r="I16" s="768"/>
      <c r="J16" s="766"/>
      <c r="K16" s="766"/>
      <c r="L16" s="766"/>
      <c r="M16" s="776"/>
      <c r="N16" s="776">
        <f t="shared" si="1"/>
        <v>0</v>
      </c>
    </row>
    <row r="17" spans="1:14" s="758" customFormat="1" ht="17.25" customHeight="1">
      <c r="A17" s="445"/>
      <c r="B17" s="460" t="s">
        <v>1858</v>
      </c>
      <c r="C17" s="774"/>
      <c r="D17" s="767">
        <f>C18-C16</f>
        <v>18.790000000000006</v>
      </c>
      <c r="E17" s="768" t="s">
        <v>1858</v>
      </c>
      <c r="F17" s="768" t="s">
        <v>1858</v>
      </c>
      <c r="G17" s="768" t="s">
        <v>1858</v>
      </c>
      <c r="H17" s="768" t="s">
        <v>1858</v>
      </c>
      <c r="I17" s="768">
        <f t="shared" si="2"/>
        <v>1.44</v>
      </c>
      <c r="J17" s="768">
        <f t="shared" ref="J17:L17" si="8">(F16+F18)/2*$D17</f>
        <v>20.481100000000005</v>
      </c>
      <c r="K17" s="768">
        <f t="shared" si="8"/>
        <v>36.358650000000011</v>
      </c>
      <c r="L17" s="768">
        <f t="shared" si="8"/>
        <v>19.44765000000001</v>
      </c>
      <c r="M17" s="776">
        <v>20.481099999999998</v>
      </c>
      <c r="N17" s="776">
        <f t="shared" si="1"/>
        <v>0</v>
      </c>
    </row>
    <row r="18" spans="1:14" s="758" customFormat="1" ht="17.25" customHeight="1">
      <c r="A18" s="445">
        <v>8</v>
      </c>
      <c r="B18" s="460">
        <v>6</v>
      </c>
      <c r="C18" s="774">
        <v>105</v>
      </c>
      <c r="D18" s="767" t="s">
        <v>1858</v>
      </c>
      <c r="E18" s="768">
        <v>1.46</v>
      </c>
      <c r="F18" s="768">
        <v>1.05</v>
      </c>
      <c r="G18" s="768">
        <v>1.76</v>
      </c>
      <c r="H18" s="768">
        <v>0.81</v>
      </c>
      <c r="I18" s="768"/>
      <c r="J18" s="766"/>
      <c r="K18" s="766"/>
      <c r="L18" s="766"/>
      <c r="M18" s="776"/>
      <c r="N18" s="776">
        <f t="shared" si="1"/>
        <v>0</v>
      </c>
    </row>
    <row r="19" spans="1:14" s="758" customFormat="1" ht="17.25" customHeight="1">
      <c r="A19" s="445"/>
      <c r="B19" s="460" t="s">
        <v>1858</v>
      </c>
      <c r="C19" s="774"/>
      <c r="D19" s="767">
        <f>C20-C18</f>
        <v>24</v>
      </c>
      <c r="E19" s="768" t="s">
        <v>1858</v>
      </c>
      <c r="F19" s="768" t="s">
        <v>1858</v>
      </c>
      <c r="G19" s="768" t="s">
        <v>1858</v>
      </c>
      <c r="H19" s="768" t="s">
        <v>1858</v>
      </c>
      <c r="I19" s="768">
        <f t="shared" si="2"/>
        <v>1.4750000000000001</v>
      </c>
      <c r="J19" s="768">
        <f t="shared" ref="J19:L19" si="9">(F18+F20)/2*$D19</f>
        <v>26.159999999999997</v>
      </c>
      <c r="K19" s="768">
        <f t="shared" si="9"/>
        <v>45.239999999999995</v>
      </c>
      <c r="L19" s="768">
        <f t="shared" si="9"/>
        <v>17.400000000000002</v>
      </c>
      <c r="M19" s="776">
        <v>26.159999999999997</v>
      </c>
      <c r="N19" s="776">
        <f t="shared" si="1"/>
        <v>0</v>
      </c>
    </row>
    <row r="20" spans="1:14" s="758" customFormat="1" ht="17.25" customHeight="1">
      <c r="A20" s="445">
        <v>9</v>
      </c>
      <c r="B20" s="460">
        <v>7</v>
      </c>
      <c r="C20" s="774">
        <v>129</v>
      </c>
      <c r="D20" s="767" t="s">
        <v>1858</v>
      </c>
      <c r="E20" s="768">
        <v>1.49</v>
      </c>
      <c r="F20" s="768">
        <v>1.1299999999999999</v>
      </c>
      <c r="G20" s="768">
        <v>2.0099999999999998</v>
      </c>
      <c r="H20" s="768">
        <v>0.64</v>
      </c>
      <c r="I20" s="768"/>
      <c r="J20" s="766"/>
      <c r="K20" s="766"/>
      <c r="L20" s="766"/>
      <c r="M20" s="776"/>
      <c r="N20" s="776">
        <f t="shared" si="1"/>
        <v>0</v>
      </c>
    </row>
    <row r="21" spans="1:14" s="758" customFormat="1" ht="17.25" customHeight="1">
      <c r="A21" s="445"/>
      <c r="B21" s="460" t="s">
        <v>1858</v>
      </c>
      <c r="C21" s="774"/>
      <c r="D21" s="767">
        <f>C22-C20</f>
        <v>15.289999999999992</v>
      </c>
      <c r="E21" s="768" t="s">
        <v>1858</v>
      </c>
      <c r="F21" s="768" t="s">
        <v>1858</v>
      </c>
      <c r="G21" s="768" t="s">
        <v>1858</v>
      </c>
      <c r="H21" s="768" t="s">
        <v>1858</v>
      </c>
      <c r="I21" s="768">
        <f t="shared" si="2"/>
        <v>1.49</v>
      </c>
      <c r="J21" s="768">
        <f t="shared" ref="J21:L21" si="10">(F20+F22)/2*$D21</f>
        <v>17.277699999999989</v>
      </c>
      <c r="K21" s="768">
        <f t="shared" si="10"/>
        <v>28.898099999999982</v>
      </c>
      <c r="L21" s="768">
        <f t="shared" si="10"/>
        <v>12.079099999999995</v>
      </c>
      <c r="M21" s="776">
        <v>17.277699999999996</v>
      </c>
      <c r="N21" s="776">
        <f t="shared" si="1"/>
        <v>0</v>
      </c>
    </row>
    <row r="22" spans="1:14" s="758" customFormat="1" ht="17.25" customHeight="1">
      <c r="A22" s="445">
        <v>10</v>
      </c>
      <c r="B22" s="460" t="s">
        <v>1860</v>
      </c>
      <c r="C22" s="774">
        <v>144.29</v>
      </c>
      <c r="D22" s="767" t="s">
        <v>1858</v>
      </c>
      <c r="E22" s="768">
        <v>1.49</v>
      </c>
      <c r="F22" s="768">
        <v>1.1299999999999999</v>
      </c>
      <c r="G22" s="768">
        <v>1.77</v>
      </c>
      <c r="H22" s="768">
        <v>0.94</v>
      </c>
      <c r="I22" s="768"/>
      <c r="J22" s="766"/>
      <c r="K22" s="766"/>
      <c r="L22" s="766"/>
      <c r="M22" s="776"/>
      <c r="N22" s="776">
        <f t="shared" si="1"/>
        <v>0</v>
      </c>
    </row>
    <row r="23" spans="1:14" s="758" customFormat="1" ht="17.25" customHeight="1">
      <c r="A23" s="445"/>
      <c r="B23" s="460" t="s">
        <v>1858</v>
      </c>
      <c r="C23" s="774"/>
      <c r="D23" s="811">
        <f>C24-C22</f>
        <v>6.8799999999999955</v>
      </c>
      <c r="E23" s="768" t="s">
        <v>1858</v>
      </c>
      <c r="F23" s="768" t="s">
        <v>1858</v>
      </c>
      <c r="G23" s="768" t="s">
        <v>1858</v>
      </c>
      <c r="H23" s="768" t="s">
        <v>1858</v>
      </c>
      <c r="I23" s="768">
        <f t="shared" si="2"/>
        <v>1.49</v>
      </c>
      <c r="J23" s="768">
        <f t="shared" ref="J23:L23" si="11">(F22+F24)/2*$D23</f>
        <v>7.5335999999999945</v>
      </c>
      <c r="K23" s="768">
        <f t="shared" si="11"/>
        <v>12.143199999999993</v>
      </c>
      <c r="L23" s="768">
        <f t="shared" si="11"/>
        <v>7.223999999999994</v>
      </c>
      <c r="M23" s="776">
        <v>8.1139499999999991</v>
      </c>
      <c r="N23" s="810">
        <f t="shared" si="1"/>
        <v>0.58035000000000458</v>
      </c>
    </row>
    <row r="24" spans="1:14" s="758" customFormat="1" ht="17.25" customHeight="1">
      <c r="A24" s="445">
        <v>11</v>
      </c>
      <c r="B24" s="460">
        <v>8</v>
      </c>
      <c r="C24" s="774">
        <v>151.16999999999999</v>
      </c>
      <c r="D24" s="767" t="s">
        <v>1858</v>
      </c>
      <c r="E24" s="768">
        <v>1.49</v>
      </c>
      <c r="F24" s="768">
        <v>1.06</v>
      </c>
      <c r="G24" s="768">
        <v>1.76</v>
      </c>
      <c r="H24" s="768">
        <v>1.1599999999999999</v>
      </c>
      <c r="I24" s="768"/>
      <c r="J24" s="766"/>
      <c r="K24" s="766"/>
      <c r="L24" s="766"/>
      <c r="M24" s="776"/>
      <c r="N24" s="776">
        <f t="shared" si="1"/>
        <v>0</v>
      </c>
    </row>
    <row r="25" spans="1:14" s="758" customFormat="1" ht="17.25" customHeight="1">
      <c r="A25" s="445"/>
      <c r="B25" s="460" t="s">
        <v>1858</v>
      </c>
      <c r="C25" s="774"/>
      <c r="D25" s="811">
        <f>C26-C24</f>
        <v>3.8000000000000114</v>
      </c>
      <c r="E25" s="768" t="s">
        <v>1858</v>
      </c>
      <c r="F25" s="768" t="s">
        <v>1858</v>
      </c>
      <c r="G25" s="768" t="s">
        <v>1858</v>
      </c>
      <c r="H25" s="768" t="s">
        <v>1858</v>
      </c>
      <c r="I25" s="768">
        <f t="shared" si="2"/>
        <v>0.745</v>
      </c>
      <c r="J25" s="768">
        <f t="shared" ref="J25:L25" si="12">(F24+F26)/2*$D25</f>
        <v>2.014000000000006</v>
      </c>
      <c r="K25" s="768">
        <f t="shared" si="12"/>
        <v>3.3440000000000101</v>
      </c>
      <c r="L25" s="768">
        <f t="shared" si="12"/>
        <v>2.2040000000000064</v>
      </c>
      <c r="M25" s="776">
        <v>1.7331000000000001</v>
      </c>
      <c r="N25" s="776">
        <f t="shared" si="1"/>
        <v>-0.28090000000000592</v>
      </c>
    </row>
    <row r="26" spans="1:14" s="758" customFormat="1" ht="17.25" customHeight="1">
      <c r="A26" s="445">
        <v>12</v>
      </c>
      <c r="B26" s="460">
        <v>9</v>
      </c>
      <c r="C26" s="774">
        <v>154.97</v>
      </c>
      <c r="D26" s="767" t="s">
        <v>1858</v>
      </c>
      <c r="E26" s="768">
        <v>0</v>
      </c>
      <c r="F26" s="768">
        <v>0</v>
      </c>
      <c r="G26" s="768">
        <v>0</v>
      </c>
      <c r="H26" s="768">
        <v>0</v>
      </c>
      <c r="I26" s="768"/>
      <c r="J26" s="766"/>
      <c r="K26" s="766"/>
      <c r="L26" s="766"/>
      <c r="M26" s="776"/>
      <c r="N26" s="776">
        <f t="shared" si="1"/>
        <v>0</v>
      </c>
    </row>
    <row r="27" spans="1:14" s="758" customFormat="1" ht="17.25" customHeight="1">
      <c r="A27" s="445"/>
      <c r="B27" s="460" t="s">
        <v>1858</v>
      </c>
      <c r="C27" s="774"/>
      <c r="D27" s="767">
        <f>C28-C26</f>
        <v>4.1100000000000136</v>
      </c>
      <c r="E27" s="768" t="s">
        <v>1858</v>
      </c>
      <c r="F27" s="768" t="s">
        <v>1858</v>
      </c>
      <c r="G27" s="768" t="s">
        <v>1858</v>
      </c>
      <c r="H27" s="768" t="s">
        <v>1858</v>
      </c>
      <c r="I27" s="768">
        <f t="shared" si="2"/>
        <v>0</v>
      </c>
      <c r="J27" s="768">
        <f t="shared" ref="J27:L27" si="13">(F26+F28)/2*$D27</f>
        <v>0</v>
      </c>
      <c r="K27" s="768">
        <f t="shared" si="13"/>
        <v>0</v>
      </c>
      <c r="L27" s="768">
        <f t="shared" si="13"/>
        <v>0</v>
      </c>
      <c r="M27" s="776">
        <v>0</v>
      </c>
      <c r="N27" s="776">
        <f t="shared" si="1"/>
        <v>0</v>
      </c>
    </row>
    <row r="28" spans="1:14" s="758" customFormat="1" ht="17.25" customHeight="1">
      <c r="A28" s="445">
        <v>13</v>
      </c>
      <c r="B28" s="460">
        <v>10</v>
      </c>
      <c r="C28" s="774">
        <v>159.08000000000001</v>
      </c>
      <c r="D28" s="767" t="s">
        <v>1858</v>
      </c>
      <c r="E28" s="768">
        <v>0</v>
      </c>
      <c r="F28" s="768">
        <v>0</v>
      </c>
      <c r="G28" s="768">
        <v>0</v>
      </c>
      <c r="H28" s="768">
        <v>0</v>
      </c>
      <c r="I28" s="768"/>
      <c r="J28" s="766"/>
      <c r="K28" s="766"/>
      <c r="L28" s="766"/>
      <c r="M28" s="776"/>
      <c r="N28" s="776">
        <f t="shared" si="1"/>
        <v>0</v>
      </c>
    </row>
    <row r="29" spans="1:14" s="758" customFormat="1" ht="17.25" customHeight="1">
      <c r="A29" s="445"/>
      <c r="B29" s="460" t="s">
        <v>1858</v>
      </c>
      <c r="C29" s="774"/>
      <c r="D29" s="767">
        <f>C30-C28</f>
        <v>5.1699999999999875</v>
      </c>
      <c r="E29" s="768" t="s">
        <v>1858</v>
      </c>
      <c r="F29" s="768" t="s">
        <v>1858</v>
      </c>
      <c r="G29" s="768" t="s">
        <v>1858</v>
      </c>
      <c r="H29" s="768" t="s">
        <v>1858</v>
      </c>
      <c r="I29" s="768">
        <f t="shared" si="2"/>
        <v>0.73499999999999999</v>
      </c>
      <c r="J29" s="768">
        <f t="shared" ref="J29:L29" si="14">(F28+F30)/2*$D29</f>
        <v>2.0679999999999952</v>
      </c>
      <c r="K29" s="768">
        <f t="shared" si="14"/>
        <v>4.2652499999999893</v>
      </c>
      <c r="L29" s="768">
        <f t="shared" si="14"/>
        <v>4.4978999999999889</v>
      </c>
      <c r="M29" s="776">
        <v>2.0680000000000001</v>
      </c>
      <c r="N29" s="776">
        <f t="shared" si="1"/>
        <v>4.8849813083506888E-15</v>
      </c>
    </row>
    <row r="30" spans="1:14" s="758" customFormat="1" ht="17.25" customHeight="1">
      <c r="A30" s="445">
        <v>14</v>
      </c>
      <c r="B30" s="460" t="s">
        <v>1861</v>
      </c>
      <c r="C30" s="774">
        <v>164.25</v>
      </c>
      <c r="D30" s="767" t="s">
        <v>1858</v>
      </c>
      <c r="E30" s="768">
        <v>1.47</v>
      </c>
      <c r="F30" s="768">
        <v>0.8</v>
      </c>
      <c r="G30" s="768">
        <v>1.65</v>
      </c>
      <c r="H30" s="768">
        <v>1.74</v>
      </c>
      <c r="I30" s="768"/>
      <c r="J30" s="766"/>
      <c r="K30" s="766"/>
      <c r="L30" s="766"/>
      <c r="M30" s="776"/>
      <c r="N30" s="776">
        <f t="shared" si="1"/>
        <v>0</v>
      </c>
    </row>
    <row r="31" spans="1:14" s="758" customFormat="1" ht="17.25" customHeight="1">
      <c r="A31" s="445"/>
      <c r="B31" s="460" t="s">
        <v>1858</v>
      </c>
      <c r="C31" s="774"/>
      <c r="D31" s="767">
        <f>C32-C30</f>
        <v>10.75</v>
      </c>
      <c r="E31" s="768" t="s">
        <v>1858</v>
      </c>
      <c r="F31" s="768" t="s">
        <v>1858</v>
      </c>
      <c r="G31" s="768" t="s">
        <v>1858</v>
      </c>
      <c r="H31" s="768" t="s">
        <v>1858</v>
      </c>
      <c r="I31" s="768">
        <f t="shared" si="2"/>
        <v>1.4649999999999999</v>
      </c>
      <c r="J31" s="768">
        <f t="shared" ref="J31:L31" si="15">(F30+F32)/2*$D31</f>
        <v>8.9762500000000003</v>
      </c>
      <c r="K31" s="768">
        <f t="shared" si="15"/>
        <v>17.307499999999997</v>
      </c>
      <c r="L31" s="768">
        <f t="shared" si="15"/>
        <v>15.426250000000001</v>
      </c>
      <c r="M31" s="776">
        <v>8.9762500000000003</v>
      </c>
      <c r="N31" s="776">
        <f t="shared" si="1"/>
        <v>0</v>
      </c>
    </row>
    <row r="32" spans="1:14" s="758" customFormat="1" ht="17.25" customHeight="1">
      <c r="A32" s="445">
        <v>15</v>
      </c>
      <c r="B32" s="460">
        <v>11</v>
      </c>
      <c r="C32" s="774">
        <v>175</v>
      </c>
      <c r="D32" s="767" t="s">
        <v>1858</v>
      </c>
      <c r="E32" s="768">
        <v>1.46</v>
      </c>
      <c r="F32" s="768">
        <v>0.87</v>
      </c>
      <c r="G32" s="768">
        <v>1.57</v>
      </c>
      <c r="H32" s="768">
        <v>1.1299999999999999</v>
      </c>
      <c r="I32" s="768"/>
      <c r="J32" s="766"/>
      <c r="K32" s="766"/>
      <c r="L32" s="766"/>
      <c r="M32" s="776"/>
      <c r="N32" s="776">
        <f t="shared" si="1"/>
        <v>0</v>
      </c>
    </row>
    <row r="33" spans="1:14" s="758" customFormat="1" ht="17.25" customHeight="1">
      <c r="A33" s="445"/>
      <c r="B33" s="460" t="s">
        <v>1858</v>
      </c>
      <c r="C33" s="774"/>
      <c r="D33" s="767">
        <f>C34-C32</f>
        <v>17.5</v>
      </c>
      <c r="E33" s="768" t="s">
        <v>1858</v>
      </c>
      <c r="F33" s="768" t="s">
        <v>1858</v>
      </c>
      <c r="G33" s="768" t="s">
        <v>1858</v>
      </c>
      <c r="H33" s="768" t="s">
        <v>1858</v>
      </c>
      <c r="I33" s="768">
        <f t="shared" si="2"/>
        <v>1.43</v>
      </c>
      <c r="J33" s="768">
        <f t="shared" ref="J33:L33" si="16">(F32+F34)/2*$D33</f>
        <v>14.9625</v>
      </c>
      <c r="K33" s="768">
        <f t="shared" si="16"/>
        <v>26.6875</v>
      </c>
      <c r="L33" s="768">
        <f t="shared" si="16"/>
        <v>20.474999999999998</v>
      </c>
      <c r="M33" s="776">
        <v>14.9625</v>
      </c>
      <c r="N33" s="776">
        <f t="shared" si="1"/>
        <v>0</v>
      </c>
    </row>
    <row r="34" spans="1:14" s="758" customFormat="1" ht="17.25" customHeight="1">
      <c r="A34" s="445">
        <v>16</v>
      </c>
      <c r="B34" s="460">
        <v>12</v>
      </c>
      <c r="C34" s="774">
        <v>192.5</v>
      </c>
      <c r="D34" s="767" t="s">
        <v>1858</v>
      </c>
      <c r="E34" s="768">
        <v>1.4</v>
      </c>
      <c r="F34" s="768">
        <v>0.84</v>
      </c>
      <c r="G34" s="768">
        <v>1.48</v>
      </c>
      <c r="H34" s="768">
        <v>1.21</v>
      </c>
      <c r="I34" s="768"/>
      <c r="J34" s="766"/>
      <c r="K34" s="766"/>
      <c r="L34" s="766"/>
      <c r="M34" s="776"/>
      <c r="N34" s="776">
        <f t="shared" si="1"/>
        <v>0</v>
      </c>
    </row>
    <row r="35" spans="1:14" s="758" customFormat="1" ht="17.25" customHeight="1">
      <c r="A35" s="445"/>
      <c r="B35" s="460" t="s">
        <v>1858</v>
      </c>
      <c r="C35" s="774"/>
      <c r="D35" s="767">
        <f>C36-C34</f>
        <v>17.5</v>
      </c>
      <c r="E35" s="768" t="s">
        <v>1858</v>
      </c>
      <c r="F35" s="768" t="s">
        <v>1858</v>
      </c>
      <c r="G35" s="768" t="s">
        <v>1858</v>
      </c>
      <c r="H35" s="768" t="s">
        <v>1858</v>
      </c>
      <c r="I35" s="768">
        <f t="shared" si="2"/>
        <v>1.39</v>
      </c>
      <c r="J35" s="768">
        <f t="shared" ref="J35:L35" si="17">(F34+F36)/2*$D35</f>
        <v>14.7875</v>
      </c>
      <c r="K35" s="768">
        <f t="shared" si="17"/>
        <v>25.9</v>
      </c>
      <c r="L35" s="768">
        <f t="shared" si="17"/>
        <v>22.05</v>
      </c>
      <c r="M35" s="776">
        <v>14.7875</v>
      </c>
      <c r="N35" s="776">
        <f t="shared" si="1"/>
        <v>0</v>
      </c>
    </row>
    <row r="36" spans="1:14" s="758" customFormat="1" ht="17.25" customHeight="1">
      <c r="A36" s="445">
        <v>17</v>
      </c>
      <c r="B36" s="460">
        <v>13</v>
      </c>
      <c r="C36" s="774">
        <v>210</v>
      </c>
      <c r="D36" s="767" t="s">
        <v>1858</v>
      </c>
      <c r="E36" s="768">
        <v>1.38</v>
      </c>
      <c r="F36" s="768">
        <v>0.85</v>
      </c>
      <c r="G36" s="768">
        <v>1.48</v>
      </c>
      <c r="H36" s="768">
        <v>1.31</v>
      </c>
      <c r="I36" s="768"/>
      <c r="J36" s="766"/>
      <c r="K36" s="766"/>
      <c r="L36" s="766"/>
      <c r="M36" s="776"/>
      <c r="N36" s="776">
        <f t="shared" si="1"/>
        <v>0</v>
      </c>
    </row>
    <row r="37" spans="1:14" s="758" customFormat="1" ht="17.25" customHeight="1">
      <c r="A37" s="445"/>
      <c r="B37" s="460" t="s">
        <v>1858</v>
      </c>
      <c r="C37" s="774"/>
      <c r="D37" s="767">
        <f>C38-C36</f>
        <v>17.5</v>
      </c>
      <c r="E37" s="768" t="s">
        <v>1858</v>
      </c>
      <c r="F37" s="768" t="s">
        <v>1858</v>
      </c>
      <c r="G37" s="768" t="s">
        <v>1858</v>
      </c>
      <c r="H37" s="768" t="s">
        <v>1858</v>
      </c>
      <c r="I37" s="768">
        <f t="shared" si="2"/>
        <v>1.3849999999999998</v>
      </c>
      <c r="J37" s="768">
        <f t="shared" ref="J37:L37" si="18">(F36+F38)/2*$D37</f>
        <v>14.525000000000002</v>
      </c>
      <c r="K37" s="768">
        <f t="shared" si="18"/>
        <v>25.8125</v>
      </c>
      <c r="L37" s="768">
        <f t="shared" si="18"/>
        <v>23.1</v>
      </c>
      <c r="M37" s="776">
        <v>14.525000000000002</v>
      </c>
      <c r="N37" s="776">
        <f t="shared" si="1"/>
        <v>0</v>
      </c>
    </row>
    <row r="38" spans="1:14" s="758" customFormat="1" ht="17.25" customHeight="1">
      <c r="A38" s="445">
        <v>18</v>
      </c>
      <c r="B38" s="460">
        <v>14</v>
      </c>
      <c r="C38" s="774">
        <v>227.5</v>
      </c>
      <c r="D38" s="767" t="s">
        <v>1858</v>
      </c>
      <c r="E38" s="768">
        <v>1.39</v>
      </c>
      <c r="F38" s="768">
        <v>0.81</v>
      </c>
      <c r="G38" s="768">
        <v>1.47</v>
      </c>
      <c r="H38" s="768">
        <v>1.33</v>
      </c>
      <c r="I38" s="768"/>
      <c r="J38" s="766"/>
      <c r="K38" s="766"/>
      <c r="L38" s="766"/>
      <c r="M38" s="776"/>
      <c r="N38" s="776">
        <f t="shared" si="1"/>
        <v>0</v>
      </c>
    </row>
    <row r="39" spans="1:14" s="758" customFormat="1" ht="17.25" customHeight="1">
      <c r="A39" s="445"/>
      <c r="B39" s="460" t="s">
        <v>1858</v>
      </c>
      <c r="C39" s="774"/>
      <c r="D39" s="767">
        <f>C40-C38</f>
        <v>17.5</v>
      </c>
      <c r="E39" s="768" t="s">
        <v>1858</v>
      </c>
      <c r="F39" s="768" t="s">
        <v>1858</v>
      </c>
      <c r="G39" s="768" t="s">
        <v>1858</v>
      </c>
      <c r="H39" s="768" t="s">
        <v>1858</v>
      </c>
      <c r="I39" s="768">
        <f t="shared" si="2"/>
        <v>1.395</v>
      </c>
      <c r="J39" s="768">
        <f t="shared" ref="J39:L39" si="19">(F38+F40)/2*$D39</f>
        <v>15.225000000000001</v>
      </c>
      <c r="K39" s="768">
        <f t="shared" si="19"/>
        <v>27.474999999999998</v>
      </c>
      <c r="L39" s="768">
        <f t="shared" si="19"/>
        <v>19.950000000000003</v>
      </c>
      <c r="M39" s="776">
        <v>15.225000000000001</v>
      </c>
      <c r="N39" s="776">
        <f t="shared" si="1"/>
        <v>0</v>
      </c>
    </row>
    <row r="40" spans="1:14" s="758" customFormat="1" ht="17.25" customHeight="1">
      <c r="A40" s="445">
        <v>19</v>
      </c>
      <c r="B40" s="460">
        <v>15</v>
      </c>
      <c r="C40" s="774">
        <v>245</v>
      </c>
      <c r="D40" s="767" t="s">
        <v>1858</v>
      </c>
      <c r="E40" s="768">
        <v>1.4</v>
      </c>
      <c r="F40" s="768">
        <v>0.93</v>
      </c>
      <c r="G40" s="768">
        <v>1.67</v>
      </c>
      <c r="H40" s="768">
        <v>0.95</v>
      </c>
      <c r="I40" s="768"/>
      <c r="J40" s="766"/>
      <c r="K40" s="766"/>
      <c r="L40" s="766"/>
      <c r="M40" s="776"/>
      <c r="N40" s="776">
        <f t="shared" si="1"/>
        <v>0</v>
      </c>
    </row>
    <row r="41" spans="1:14" s="758" customFormat="1" ht="17.25" customHeight="1">
      <c r="A41" s="445"/>
      <c r="B41" s="460" t="s">
        <v>1858</v>
      </c>
      <c r="C41" s="774"/>
      <c r="D41" s="767">
        <f>C42-C40</f>
        <v>18.189999999999998</v>
      </c>
      <c r="E41" s="768" t="s">
        <v>1858</v>
      </c>
      <c r="F41" s="768" t="s">
        <v>1858</v>
      </c>
      <c r="G41" s="768" t="s">
        <v>1858</v>
      </c>
      <c r="H41" s="768" t="s">
        <v>1858</v>
      </c>
      <c r="I41" s="768">
        <f t="shared" si="2"/>
        <v>1.4</v>
      </c>
      <c r="J41" s="768">
        <f t="shared" ref="J41:L41" si="20">(F40+F42)/2*$D41</f>
        <v>17.917149999999999</v>
      </c>
      <c r="K41" s="768">
        <f t="shared" si="20"/>
        <v>32.105350000000001</v>
      </c>
      <c r="L41" s="768">
        <f t="shared" si="20"/>
        <v>15.734349999999997</v>
      </c>
      <c r="M41" s="776">
        <v>17.917150000000003</v>
      </c>
      <c r="N41" s="776">
        <f t="shared" si="1"/>
        <v>0</v>
      </c>
    </row>
    <row r="42" spans="1:14" s="758" customFormat="1" ht="17.25" customHeight="1">
      <c r="A42" s="445">
        <v>20</v>
      </c>
      <c r="B42" s="460" t="s">
        <v>1862</v>
      </c>
      <c r="C42" s="774">
        <v>263.19</v>
      </c>
      <c r="D42" s="767" t="s">
        <v>1858</v>
      </c>
      <c r="E42" s="768">
        <v>1.4</v>
      </c>
      <c r="F42" s="768">
        <v>1.04</v>
      </c>
      <c r="G42" s="768">
        <v>1.86</v>
      </c>
      <c r="H42" s="768">
        <v>0.78</v>
      </c>
      <c r="I42" s="768"/>
      <c r="J42" s="766"/>
      <c r="K42" s="766"/>
      <c r="L42" s="766"/>
      <c r="M42" s="776"/>
      <c r="N42" s="776">
        <f t="shared" si="1"/>
        <v>0</v>
      </c>
    </row>
    <row r="43" spans="1:14" s="758" customFormat="1" ht="17.25" customHeight="1">
      <c r="A43" s="445"/>
      <c r="B43" s="460" t="s">
        <v>1858</v>
      </c>
      <c r="C43" s="774"/>
      <c r="D43" s="767">
        <f>C44-C42</f>
        <v>16.810000000000002</v>
      </c>
      <c r="E43" s="768" t="s">
        <v>1858</v>
      </c>
      <c r="F43" s="768" t="s">
        <v>1858</v>
      </c>
      <c r="G43" s="768" t="s">
        <v>1858</v>
      </c>
      <c r="H43" s="768" t="s">
        <v>1858</v>
      </c>
      <c r="I43" s="768">
        <f t="shared" si="2"/>
        <v>1.4049999999999998</v>
      </c>
      <c r="J43" s="768">
        <f t="shared" ref="J43:L43" si="21">(F42+F44)/2*$D43</f>
        <v>18.154800000000005</v>
      </c>
      <c r="K43" s="768">
        <f t="shared" si="21"/>
        <v>32.527350000000006</v>
      </c>
      <c r="L43" s="768">
        <f t="shared" si="21"/>
        <v>13.195850000000002</v>
      </c>
      <c r="M43" s="776">
        <v>18.154799999999998</v>
      </c>
      <c r="N43" s="776">
        <f t="shared" si="1"/>
        <v>0</v>
      </c>
    </row>
    <row r="44" spans="1:14" s="758" customFormat="1" ht="17.25" customHeight="1">
      <c r="A44" s="445">
        <v>21</v>
      </c>
      <c r="B44" s="460">
        <v>16</v>
      </c>
      <c r="C44" s="774">
        <v>280</v>
      </c>
      <c r="D44" s="767" t="s">
        <v>1858</v>
      </c>
      <c r="E44" s="768">
        <v>1.41</v>
      </c>
      <c r="F44" s="768">
        <v>1.1200000000000001</v>
      </c>
      <c r="G44" s="768">
        <v>2.0099999999999998</v>
      </c>
      <c r="H44" s="768">
        <v>0.79</v>
      </c>
      <c r="I44" s="768"/>
      <c r="J44" s="766"/>
      <c r="K44" s="766"/>
      <c r="L44" s="766"/>
      <c r="M44" s="776"/>
      <c r="N44" s="776">
        <f t="shared" si="1"/>
        <v>0</v>
      </c>
    </row>
    <row r="45" spans="1:14" s="758" customFormat="1" ht="17.25" customHeight="1">
      <c r="A45" s="445"/>
      <c r="B45" s="460" t="s">
        <v>1858</v>
      </c>
      <c r="C45" s="774"/>
      <c r="D45" s="767">
        <f>C46-C44</f>
        <v>17.5</v>
      </c>
      <c r="E45" s="768" t="s">
        <v>1858</v>
      </c>
      <c r="F45" s="768" t="s">
        <v>1858</v>
      </c>
      <c r="G45" s="768" t="s">
        <v>1858</v>
      </c>
      <c r="H45" s="768" t="s">
        <v>1858</v>
      </c>
      <c r="I45" s="768">
        <f t="shared" si="2"/>
        <v>1.42</v>
      </c>
      <c r="J45" s="768">
        <f t="shared" ref="J45:L45" si="22">(F44+F46)/2*$D45</f>
        <v>20.037500000000001</v>
      </c>
      <c r="K45" s="768">
        <f t="shared" si="22"/>
        <v>36.662499999999994</v>
      </c>
      <c r="L45" s="768">
        <f t="shared" si="22"/>
        <v>13.912500000000001</v>
      </c>
      <c r="M45" s="776">
        <v>20.037500000000001</v>
      </c>
      <c r="N45" s="776">
        <f t="shared" si="1"/>
        <v>0</v>
      </c>
    </row>
    <row r="46" spans="1:14" s="758" customFormat="1" ht="17.25" customHeight="1">
      <c r="A46" s="445">
        <v>22</v>
      </c>
      <c r="B46" s="460">
        <v>17</v>
      </c>
      <c r="C46" s="774">
        <v>297.5</v>
      </c>
      <c r="D46" s="767" t="s">
        <v>1858</v>
      </c>
      <c r="E46" s="768">
        <v>1.43</v>
      </c>
      <c r="F46" s="768">
        <v>1.17</v>
      </c>
      <c r="G46" s="768">
        <v>2.1800000000000002</v>
      </c>
      <c r="H46" s="768">
        <v>0.8</v>
      </c>
      <c r="I46" s="768"/>
      <c r="J46" s="766"/>
      <c r="K46" s="766"/>
      <c r="L46" s="766"/>
      <c r="M46" s="776"/>
      <c r="N46" s="776">
        <f t="shared" si="1"/>
        <v>0</v>
      </c>
    </row>
    <row r="47" spans="1:14" s="758" customFormat="1" ht="17.25" customHeight="1">
      <c r="A47" s="445"/>
      <c r="B47" s="460" t="s">
        <v>1858</v>
      </c>
      <c r="C47" s="774"/>
      <c r="D47" s="767">
        <f>C48-C46</f>
        <v>17.5</v>
      </c>
      <c r="E47" s="768" t="s">
        <v>1858</v>
      </c>
      <c r="F47" s="768" t="s">
        <v>1858</v>
      </c>
      <c r="G47" s="768" t="s">
        <v>1858</v>
      </c>
      <c r="H47" s="768" t="s">
        <v>1858</v>
      </c>
      <c r="I47" s="768">
        <f t="shared" si="2"/>
        <v>1.4750000000000001</v>
      </c>
      <c r="J47" s="768">
        <f t="shared" ref="J47:L47" si="23">(F46+F48)/2*$D47</f>
        <v>20.474999999999998</v>
      </c>
      <c r="K47" s="768">
        <f t="shared" si="23"/>
        <v>39.375</v>
      </c>
      <c r="L47" s="768">
        <f t="shared" si="23"/>
        <v>15.6625</v>
      </c>
      <c r="M47" s="776">
        <v>20.474999999999998</v>
      </c>
      <c r="N47" s="776">
        <f t="shared" si="1"/>
        <v>0</v>
      </c>
    </row>
    <row r="48" spans="1:14" s="758" customFormat="1" ht="17.25" customHeight="1">
      <c r="A48" s="445">
        <v>23</v>
      </c>
      <c r="B48" s="460">
        <v>18</v>
      </c>
      <c r="C48" s="774">
        <v>315</v>
      </c>
      <c r="D48" s="767" t="s">
        <v>1858</v>
      </c>
      <c r="E48" s="768">
        <v>1.52</v>
      </c>
      <c r="F48" s="768">
        <v>1.17</v>
      </c>
      <c r="G48" s="768">
        <v>2.3199999999999998</v>
      </c>
      <c r="H48" s="768">
        <v>0.99</v>
      </c>
      <c r="I48" s="768"/>
      <c r="J48" s="766"/>
      <c r="K48" s="766"/>
      <c r="L48" s="766"/>
      <c r="M48" s="776"/>
      <c r="N48" s="776">
        <f t="shared" si="1"/>
        <v>0</v>
      </c>
    </row>
    <row r="49" spans="1:14" s="758" customFormat="1" ht="17.25" customHeight="1">
      <c r="A49" s="445"/>
      <c r="B49" s="460" t="s">
        <v>1858</v>
      </c>
      <c r="C49" s="774"/>
      <c r="D49" s="767">
        <f>C50-C48</f>
        <v>17.5</v>
      </c>
      <c r="E49" s="768" t="s">
        <v>1858</v>
      </c>
      <c r="F49" s="768" t="s">
        <v>1858</v>
      </c>
      <c r="G49" s="768" t="s">
        <v>1858</v>
      </c>
      <c r="H49" s="768" t="s">
        <v>1858</v>
      </c>
      <c r="I49" s="768">
        <f t="shared" si="2"/>
        <v>1.5449999999999999</v>
      </c>
      <c r="J49" s="768">
        <f t="shared" ref="J49:L49" si="24">(F48+F50)/2*$D49</f>
        <v>19.074999999999996</v>
      </c>
      <c r="K49" s="768">
        <f t="shared" si="24"/>
        <v>35.787500000000001</v>
      </c>
      <c r="L49" s="768">
        <f t="shared" si="24"/>
        <v>20.387499999999999</v>
      </c>
      <c r="M49" s="776">
        <v>19.074999999999996</v>
      </c>
      <c r="N49" s="776">
        <f t="shared" si="1"/>
        <v>0</v>
      </c>
    </row>
    <row r="50" spans="1:14" s="758" customFormat="1" ht="17.25" customHeight="1">
      <c r="A50" s="445">
        <v>24</v>
      </c>
      <c r="B50" s="460">
        <v>19</v>
      </c>
      <c r="C50" s="774">
        <v>332.5</v>
      </c>
      <c r="D50" s="767" t="s">
        <v>1858</v>
      </c>
      <c r="E50" s="768">
        <v>1.57</v>
      </c>
      <c r="F50" s="768">
        <v>1.01</v>
      </c>
      <c r="G50" s="768">
        <v>1.77</v>
      </c>
      <c r="H50" s="768">
        <v>1.34</v>
      </c>
      <c r="I50" s="768"/>
      <c r="J50" s="766"/>
      <c r="K50" s="766"/>
      <c r="L50" s="766"/>
      <c r="M50" s="776"/>
      <c r="N50" s="776">
        <f t="shared" si="1"/>
        <v>0</v>
      </c>
    </row>
    <row r="51" spans="1:14" s="758" customFormat="1" ht="17.25" customHeight="1">
      <c r="A51" s="445"/>
      <c r="B51" s="460" t="s">
        <v>1858</v>
      </c>
      <c r="C51" s="774"/>
      <c r="D51" s="767">
        <f>C52-C50</f>
        <v>17.5</v>
      </c>
      <c r="E51" s="768" t="s">
        <v>1858</v>
      </c>
      <c r="F51" s="768" t="s">
        <v>1858</v>
      </c>
      <c r="G51" s="768" t="s">
        <v>1858</v>
      </c>
      <c r="H51" s="768" t="s">
        <v>1858</v>
      </c>
      <c r="I51" s="768">
        <f t="shared" si="2"/>
        <v>1.605</v>
      </c>
      <c r="J51" s="768">
        <f t="shared" ref="J51:L51" si="25">(F50+F52)/2*$D51</f>
        <v>16.362500000000001</v>
      </c>
      <c r="K51" s="768">
        <f t="shared" si="25"/>
        <v>33.25</v>
      </c>
      <c r="L51" s="768">
        <f t="shared" si="25"/>
        <v>27.562500000000004</v>
      </c>
      <c r="M51" s="776">
        <v>16.362500000000001</v>
      </c>
      <c r="N51" s="776">
        <f t="shared" si="1"/>
        <v>0</v>
      </c>
    </row>
    <row r="52" spans="1:14" s="758" customFormat="1" ht="17.25" customHeight="1">
      <c r="A52" s="445">
        <v>25</v>
      </c>
      <c r="B52" s="460">
        <v>20</v>
      </c>
      <c r="C52" s="774">
        <v>350</v>
      </c>
      <c r="D52" s="767" t="s">
        <v>1858</v>
      </c>
      <c r="E52" s="768">
        <v>1.64</v>
      </c>
      <c r="F52" s="768">
        <v>0.86</v>
      </c>
      <c r="G52" s="768">
        <v>2.0299999999999998</v>
      </c>
      <c r="H52" s="768">
        <v>1.81</v>
      </c>
      <c r="I52" s="768"/>
      <c r="J52" s="766"/>
      <c r="K52" s="766"/>
      <c r="L52" s="766"/>
      <c r="M52" s="776"/>
      <c r="N52" s="776">
        <f t="shared" si="1"/>
        <v>0</v>
      </c>
    </row>
    <row r="53" spans="1:14" s="758" customFormat="1" ht="17.25" customHeight="1">
      <c r="A53" s="445"/>
      <c r="B53" s="460" t="s">
        <v>1858</v>
      </c>
      <c r="C53" s="774"/>
      <c r="D53" s="767">
        <f>C54-C52</f>
        <v>21.20999999999998</v>
      </c>
      <c r="E53" s="768" t="s">
        <v>1858</v>
      </c>
      <c r="F53" s="768" t="s">
        <v>1858</v>
      </c>
      <c r="G53" s="768" t="s">
        <v>1858</v>
      </c>
      <c r="H53" s="768" t="s">
        <v>1858</v>
      </c>
      <c r="I53" s="768">
        <f t="shared" si="2"/>
        <v>0.82</v>
      </c>
      <c r="J53" s="768">
        <f t="shared" ref="J53:L53" si="26">(F52+F54)/2*$D53</f>
        <v>9.1202999999999914</v>
      </c>
      <c r="K53" s="768">
        <f t="shared" si="26"/>
        <v>21.528149999999979</v>
      </c>
      <c r="L53" s="768">
        <f t="shared" si="26"/>
        <v>19.195049999999981</v>
      </c>
      <c r="M53" s="776">
        <v>9.1203000000000003</v>
      </c>
      <c r="N53" s="776">
        <f t="shared" si="1"/>
        <v>0</v>
      </c>
    </row>
    <row r="54" spans="1:14" s="758" customFormat="1" ht="17.25" customHeight="1">
      <c r="A54" s="445">
        <v>26</v>
      </c>
      <c r="B54" s="460" t="s">
        <v>1863</v>
      </c>
      <c r="C54" s="774">
        <v>371.21</v>
      </c>
      <c r="D54" s="767" t="s">
        <v>1858</v>
      </c>
      <c r="E54" s="768">
        <v>0</v>
      </c>
      <c r="F54" s="768">
        <v>0</v>
      </c>
      <c r="G54" s="768">
        <v>0</v>
      </c>
      <c r="H54" s="768">
        <v>0</v>
      </c>
      <c r="I54" s="768"/>
      <c r="J54" s="766"/>
      <c r="K54" s="766"/>
      <c r="L54" s="766"/>
      <c r="M54" s="776"/>
      <c r="N54" s="776">
        <f t="shared" si="1"/>
        <v>0</v>
      </c>
    </row>
    <row r="55" spans="1:14" s="758" customFormat="1" ht="17.25" customHeight="1">
      <c r="A55" s="445"/>
      <c r="B55" s="460" t="s">
        <v>1858</v>
      </c>
      <c r="C55" s="774"/>
      <c r="D55" s="767">
        <f>C56-C54</f>
        <v>13.79000000000002</v>
      </c>
      <c r="E55" s="768" t="s">
        <v>1858</v>
      </c>
      <c r="F55" s="768" t="s">
        <v>1858</v>
      </c>
      <c r="G55" s="768" t="s">
        <v>1858</v>
      </c>
      <c r="H55" s="768" t="s">
        <v>1858</v>
      </c>
      <c r="I55" s="768">
        <f t="shared" si="2"/>
        <v>0.82499999999999996</v>
      </c>
      <c r="J55" s="768">
        <f t="shared" ref="J55:L55" si="27">(F54+F56)/2*$D55</f>
        <v>6.68815000000001</v>
      </c>
      <c r="K55" s="768">
        <f t="shared" si="27"/>
        <v>14.27265000000002</v>
      </c>
      <c r="L55" s="768">
        <f t="shared" si="27"/>
        <v>8.963500000000014</v>
      </c>
      <c r="M55" s="776">
        <v>6.6881499999999994</v>
      </c>
      <c r="N55" s="776">
        <f t="shared" si="1"/>
        <v>-1.0658141036401503E-14</v>
      </c>
    </row>
    <row r="56" spans="1:14" s="758" customFormat="1" ht="17.25" customHeight="1">
      <c r="A56" s="445">
        <v>27</v>
      </c>
      <c r="B56" s="460">
        <v>21</v>
      </c>
      <c r="C56" s="774">
        <v>385</v>
      </c>
      <c r="D56" s="767" t="s">
        <v>1858</v>
      </c>
      <c r="E56" s="768">
        <v>1.65</v>
      </c>
      <c r="F56" s="768">
        <v>0.97</v>
      </c>
      <c r="G56" s="768">
        <v>2.0699999999999998</v>
      </c>
      <c r="H56" s="768">
        <v>1.3</v>
      </c>
      <c r="I56" s="768"/>
      <c r="J56" s="766"/>
      <c r="K56" s="766"/>
      <c r="L56" s="766"/>
      <c r="M56" s="776"/>
      <c r="N56" s="776">
        <f t="shared" si="1"/>
        <v>0</v>
      </c>
    </row>
    <row r="57" spans="1:14" s="758" customFormat="1" ht="17.25" customHeight="1">
      <c r="A57" s="445"/>
      <c r="B57" s="460" t="s">
        <v>1858</v>
      </c>
      <c r="C57" s="774"/>
      <c r="D57" s="767">
        <f>C58-C56</f>
        <v>17.5</v>
      </c>
      <c r="E57" s="768" t="s">
        <v>1858</v>
      </c>
      <c r="F57" s="768" t="s">
        <v>1858</v>
      </c>
      <c r="G57" s="768" t="s">
        <v>1858</v>
      </c>
      <c r="H57" s="768" t="s">
        <v>1858</v>
      </c>
      <c r="I57" s="768">
        <f t="shared" si="2"/>
        <v>1.62</v>
      </c>
      <c r="J57" s="768">
        <f t="shared" ref="J57:L57" si="28">(F56+F58)/2*$D57</f>
        <v>16.8</v>
      </c>
      <c r="K57" s="768">
        <f t="shared" si="28"/>
        <v>34.65</v>
      </c>
      <c r="L57" s="768">
        <f t="shared" si="28"/>
        <v>21.7</v>
      </c>
      <c r="M57" s="776">
        <v>16.8</v>
      </c>
      <c r="N57" s="776">
        <f t="shared" si="1"/>
        <v>0</v>
      </c>
    </row>
    <row r="58" spans="1:14" s="758" customFormat="1" ht="17.25" customHeight="1">
      <c r="A58" s="445">
        <v>28</v>
      </c>
      <c r="B58" s="460">
        <v>22</v>
      </c>
      <c r="C58" s="774">
        <v>402.5</v>
      </c>
      <c r="D58" s="767" t="s">
        <v>1858</v>
      </c>
      <c r="E58" s="768">
        <v>1.59</v>
      </c>
      <c r="F58" s="768">
        <v>0.95</v>
      </c>
      <c r="G58" s="768">
        <v>1.89</v>
      </c>
      <c r="H58" s="768">
        <v>1.18</v>
      </c>
      <c r="I58" s="768"/>
      <c r="J58" s="766"/>
      <c r="K58" s="766"/>
      <c r="L58" s="766"/>
      <c r="M58" s="776"/>
      <c r="N58" s="776">
        <f t="shared" si="1"/>
        <v>0</v>
      </c>
    </row>
    <row r="59" spans="1:14" s="758" customFormat="1" ht="17.25" customHeight="1">
      <c r="A59" s="445"/>
      <c r="B59" s="460" t="s">
        <v>1858</v>
      </c>
      <c r="C59" s="774"/>
      <c r="D59" s="767">
        <f>C60-C58</f>
        <v>17.5</v>
      </c>
      <c r="E59" s="768" t="s">
        <v>1858</v>
      </c>
      <c r="F59" s="768" t="s">
        <v>1858</v>
      </c>
      <c r="G59" s="768" t="s">
        <v>1858</v>
      </c>
      <c r="H59" s="768" t="s">
        <v>1858</v>
      </c>
      <c r="I59" s="768">
        <f t="shared" si="2"/>
        <v>1.5950000000000002</v>
      </c>
      <c r="J59" s="768">
        <f t="shared" ref="J59:L59" si="29">(F58+F60)/2*$D59</f>
        <v>16.45</v>
      </c>
      <c r="K59" s="768">
        <f t="shared" si="29"/>
        <v>33.162500000000001</v>
      </c>
      <c r="L59" s="768">
        <f t="shared" si="29"/>
        <v>21.787500000000001</v>
      </c>
      <c r="M59" s="776">
        <v>16.45</v>
      </c>
      <c r="N59" s="776">
        <f t="shared" si="1"/>
        <v>0</v>
      </c>
    </row>
    <row r="60" spans="1:14" s="758" customFormat="1" ht="17.25" customHeight="1">
      <c r="A60" s="445">
        <v>29</v>
      </c>
      <c r="B60" s="460">
        <v>23</v>
      </c>
      <c r="C60" s="774">
        <v>420</v>
      </c>
      <c r="D60" s="767" t="s">
        <v>1858</v>
      </c>
      <c r="E60" s="768">
        <v>1.6</v>
      </c>
      <c r="F60" s="768">
        <v>0.93</v>
      </c>
      <c r="G60" s="768">
        <v>1.9</v>
      </c>
      <c r="H60" s="768">
        <v>1.31</v>
      </c>
      <c r="I60" s="768"/>
      <c r="J60" s="766"/>
      <c r="K60" s="766"/>
      <c r="L60" s="766"/>
      <c r="M60" s="776"/>
      <c r="N60" s="776">
        <f t="shared" si="1"/>
        <v>0</v>
      </c>
    </row>
    <row r="61" spans="1:14" s="758" customFormat="1" ht="17.25" customHeight="1">
      <c r="A61" s="445"/>
      <c r="B61" s="460" t="s">
        <v>1858</v>
      </c>
      <c r="C61" s="774"/>
      <c r="D61" s="767">
        <f>C62-C60</f>
        <v>17.5</v>
      </c>
      <c r="E61" s="768" t="s">
        <v>1858</v>
      </c>
      <c r="F61" s="768" t="s">
        <v>1858</v>
      </c>
      <c r="G61" s="768" t="s">
        <v>1858</v>
      </c>
      <c r="H61" s="768" t="s">
        <v>1858</v>
      </c>
      <c r="I61" s="768">
        <f t="shared" si="2"/>
        <v>1.58</v>
      </c>
      <c r="J61" s="768">
        <f t="shared" ref="J61:L61" si="30">(F60+F62)/2*$D61</f>
        <v>17.0625</v>
      </c>
      <c r="K61" s="768">
        <f t="shared" si="30"/>
        <v>32.375</v>
      </c>
      <c r="L61" s="768">
        <f t="shared" si="30"/>
        <v>20.212500000000002</v>
      </c>
      <c r="M61" s="776">
        <v>17.0625</v>
      </c>
      <c r="N61" s="776">
        <f t="shared" si="1"/>
        <v>0</v>
      </c>
    </row>
    <row r="62" spans="1:14" s="758" customFormat="1" ht="17.25" customHeight="1">
      <c r="A62" s="445">
        <v>30</v>
      </c>
      <c r="B62" s="460">
        <v>24</v>
      </c>
      <c r="C62" s="774">
        <v>437.5</v>
      </c>
      <c r="D62" s="767" t="s">
        <v>1858</v>
      </c>
      <c r="E62" s="768">
        <v>1.56</v>
      </c>
      <c r="F62" s="768">
        <v>1.02</v>
      </c>
      <c r="G62" s="768">
        <v>1.8</v>
      </c>
      <c r="H62" s="768">
        <v>1</v>
      </c>
      <c r="I62" s="768"/>
      <c r="J62" s="766"/>
      <c r="K62" s="766"/>
      <c r="L62" s="766"/>
      <c r="M62" s="776"/>
      <c r="N62" s="776">
        <f t="shared" si="1"/>
        <v>0</v>
      </c>
    </row>
    <row r="63" spans="1:14" s="758" customFormat="1" ht="17.25" customHeight="1">
      <c r="A63" s="445"/>
      <c r="B63" s="460" t="s">
        <v>1858</v>
      </c>
      <c r="C63" s="774"/>
      <c r="D63" s="767">
        <f>C64-C62</f>
        <v>17.5</v>
      </c>
      <c r="E63" s="768" t="s">
        <v>1858</v>
      </c>
      <c r="F63" s="768" t="s">
        <v>1858</v>
      </c>
      <c r="G63" s="768" t="s">
        <v>1858</v>
      </c>
      <c r="H63" s="768" t="s">
        <v>1858</v>
      </c>
      <c r="I63" s="768">
        <f t="shared" si="2"/>
        <v>1.57</v>
      </c>
      <c r="J63" s="768">
        <f t="shared" ref="J63:L63" si="31">(F62+F64)/2*$D63</f>
        <v>17.850000000000001</v>
      </c>
      <c r="K63" s="768">
        <f t="shared" si="31"/>
        <v>31.937500000000004</v>
      </c>
      <c r="L63" s="768">
        <f t="shared" si="31"/>
        <v>16.099999999999998</v>
      </c>
      <c r="M63" s="776">
        <v>17.850000000000001</v>
      </c>
      <c r="N63" s="776">
        <f t="shared" si="1"/>
        <v>0</v>
      </c>
    </row>
    <row r="64" spans="1:14" s="758" customFormat="1" ht="17.25" customHeight="1">
      <c r="A64" s="445">
        <v>31</v>
      </c>
      <c r="B64" s="460">
        <v>25</v>
      </c>
      <c r="C64" s="774">
        <v>455</v>
      </c>
      <c r="D64" s="767" t="s">
        <v>1858</v>
      </c>
      <c r="E64" s="768">
        <v>1.58</v>
      </c>
      <c r="F64" s="768">
        <v>1.02</v>
      </c>
      <c r="G64" s="768">
        <v>1.85</v>
      </c>
      <c r="H64" s="768">
        <v>0.84</v>
      </c>
      <c r="I64" s="768"/>
      <c r="J64" s="766"/>
      <c r="K64" s="766"/>
      <c r="L64" s="766"/>
      <c r="M64" s="776"/>
      <c r="N64" s="776">
        <f t="shared" si="1"/>
        <v>0</v>
      </c>
    </row>
    <row r="65" spans="1:14" s="758" customFormat="1" ht="17.25" customHeight="1">
      <c r="A65" s="445"/>
      <c r="B65" s="460" t="s">
        <v>1858</v>
      </c>
      <c r="C65" s="774"/>
      <c r="D65" s="767">
        <f>C66-C64</f>
        <v>14.259999999999991</v>
      </c>
      <c r="E65" s="768" t="s">
        <v>1858</v>
      </c>
      <c r="F65" s="768" t="s">
        <v>1858</v>
      </c>
      <c r="G65" s="768" t="s">
        <v>1858</v>
      </c>
      <c r="H65" s="768" t="s">
        <v>1858</v>
      </c>
      <c r="I65" s="768">
        <f t="shared" si="2"/>
        <v>1.605</v>
      </c>
      <c r="J65" s="768">
        <f t="shared" ref="J65:L65" si="32">(F64+F66)/2*$D65</f>
        <v>14.759099999999993</v>
      </c>
      <c r="K65" s="768">
        <f t="shared" si="32"/>
        <v>26.594899999999981</v>
      </c>
      <c r="L65" s="768">
        <f t="shared" si="32"/>
        <v>12.192299999999992</v>
      </c>
      <c r="M65" s="776">
        <v>14.759100000000002</v>
      </c>
      <c r="N65" s="776">
        <f t="shared" si="1"/>
        <v>0</v>
      </c>
    </row>
    <row r="66" spans="1:14" s="758" customFormat="1" ht="17.25" customHeight="1">
      <c r="A66" s="445">
        <v>32</v>
      </c>
      <c r="B66" s="460">
        <v>26</v>
      </c>
      <c r="C66" s="774">
        <v>469.26</v>
      </c>
      <c r="D66" s="767" t="s">
        <v>1858</v>
      </c>
      <c r="E66" s="768">
        <v>1.63</v>
      </c>
      <c r="F66" s="768">
        <v>1.05</v>
      </c>
      <c r="G66" s="768">
        <v>1.88</v>
      </c>
      <c r="H66" s="768">
        <v>0.87</v>
      </c>
      <c r="I66" s="768"/>
      <c r="J66" s="766"/>
      <c r="K66" s="766"/>
      <c r="L66" s="766"/>
      <c r="M66" s="776"/>
      <c r="N66" s="776">
        <f t="shared" si="1"/>
        <v>0</v>
      </c>
    </row>
    <row r="67" spans="1:14" s="758" customFormat="1" ht="17.25" customHeight="1">
      <c r="A67" s="445"/>
      <c r="B67" s="460" t="s">
        <v>1858</v>
      </c>
      <c r="C67" s="774"/>
      <c r="D67" s="767">
        <f>C68-C66</f>
        <v>3.7400000000000091</v>
      </c>
      <c r="E67" s="768" t="s">
        <v>1858</v>
      </c>
      <c r="F67" s="768" t="s">
        <v>1858</v>
      </c>
      <c r="G67" s="768" t="s">
        <v>1858</v>
      </c>
      <c r="H67" s="768" t="s">
        <v>1858</v>
      </c>
      <c r="I67" s="768">
        <f t="shared" si="2"/>
        <v>1.6549999999999998</v>
      </c>
      <c r="J67" s="768">
        <f t="shared" ref="J67:L67" si="33">(F66+F68)/2*$D67</f>
        <v>4.6376000000000115</v>
      </c>
      <c r="K67" s="768">
        <f t="shared" si="33"/>
        <v>9.499600000000024</v>
      </c>
      <c r="L67" s="768">
        <f t="shared" si="33"/>
        <v>4.8059000000000118</v>
      </c>
      <c r="M67" s="776">
        <v>4.6375999999999999</v>
      </c>
      <c r="N67" s="776">
        <f t="shared" si="1"/>
        <v>-1.1546319456101628E-14</v>
      </c>
    </row>
    <row r="68" spans="1:14" s="758" customFormat="1" ht="17.25" customHeight="1">
      <c r="A68" s="445">
        <v>33</v>
      </c>
      <c r="B68" s="460">
        <v>27</v>
      </c>
      <c r="C68" s="774">
        <v>473</v>
      </c>
      <c r="D68" s="767" t="s">
        <v>1858</v>
      </c>
      <c r="E68" s="768">
        <v>1.68</v>
      </c>
      <c r="F68" s="768">
        <v>1.43</v>
      </c>
      <c r="G68" s="768">
        <v>3.2</v>
      </c>
      <c r="H68" s="768">
        <v>1.7</v>
      </c>
      <c r="I68" s="768"/>
      <c r="J68" s="768"/>
      <c r="K68" s="768"/>
      <c r="L68" s="768"/>
    </row>
    <row r="69" spans="1:14" s="757" customFormat="1" ht="25.5" customHeight="1">
      <c r="A69" s="950" t="s">
        <v>1864</v>
      </c>
      <c r="B69" s="951"/>
      <c r="C69" s="951"/>
      <c r="D69" s="951"/>
      <c r="E69" s="951"/>
      <c r="F69" s="951"/>
      <c r="G69" s="951"/>
      <c r="H69" s="952"/>
      <c r="I69" s="775"/>
      <c r="J69" s="769">
        <f>SUM(J4:J68)</f>
        <v>468.50970000000007</v>
      </c>
      <c r="K69" s="769">
        <f>SUM(K4:K68)</f>
        <v>859.04664999999989</v>
      </c>
      <c r="L69" s="769">
        <f>SUM(L4:L68)</f>
        <v>472.13665000000009</v>
      </c>
      <c r="M69" s="759"/>
      <c r="N69" s="757">
        <f>SUM(N5:N67)</f>
        <v>0.31254999999998634</v>
      </c>
    </row>
    <row r="70" spans="1:14" s="757" customFormat="1" ht="18.75">
      <c r="A70" s="434"/>
      <c r="B70" s="760"/>
      <c r="C70" s="760"/>
      <c r="D70" s="761"/>
      <c r="E70" s="762"/>
      <c r="F70" s="762"/>
      <c r="G70" s="762"/>
      <c r="H70" s="762"/>
      <c r="I70" s="762"/>
      <c r="J70" s="762"/>
      <c r="K70" s="762"/>
      <c r="L70" s="762"/>
    </row>
    <row r="71" spans="1:14" ht="17.45" customHeight="1">
      <c r="A71" s="772"/>
      <c r="B71" s="931" t="s">
        <v>1500</v>
      </c>
      <c r="C71" s="931"/>
      <c r="D71" s="931"/>
      <c r="E71" s="749"/>
      <c r="F71" s="783"/>
      <c r="G71" s="783"/>
      <c r="H71" s="931" t="s">
        <v>1501</v>
      </c>
      <c r="I71" s="931"/>
      <c r="J71" s="931"/>
      <c r="K71" s="931"/>
      <c r="L71" s="931"/>
    </row>
    <row r="72" spans="1:14">
      <c r="A72" s="772"/>
      <c r="B72" s="749"/>
      <c r="C72" s="749"/>
      <c r="D72" s="749"/>
      <c r="E72" s="749"/>
      <c r="F72" s="749"/>
      <c r="G72" s="749"/>
      <c r="H72" s="783"/>
      <c r="I72" s="783"/>
      <c r="J72" s="783"/>
      <c r="K72" s="783"/>
      <c r="L72" s="783"/>
    </row>
    <row r="73" spans="1:14">
      <c r="A73" s="772"/>
      <c r="B73" s="749"/>
      <c r="C73" s="749"/>
      <c r="D73" s="749"/>
      <c r="E73" s="749"/>
      <c r="F73" s="749"/>
      <c r="G73" s="749"/>
      <c r="H73" s="783"/>
      <c r="I73" s="783"/>
      <c r="J73" s="783"/>
      <c r="K73" s="783"/>
      <c r="L73" s="783"/>
    </row>
    <row r="74" spans="1:14">
      <c r="A74" s="772"/>
      <c r="B74" s="749"/>
      <c r="C74" s="749"/>
      <c r="D74" s="749"/>
      <c r="E74" s="749"/>
      <c r="F74" s="749"/>
      <c r="G74" s="749"/>
      <c r="H74" s="783"/>
      <c r="I74" s="783"/>
      <c r="J74" s="783"/>
      <c r="K74" s="783"/>
      <c r="L74" s="783"/>
    </row>
    <row r="75" spans="1:14">
      <c r="B75" s="749"/>
      <c r="C75" s="749"/>
      <c r="D75" s="749"/>
      <c r="E75" s="749"/>
      <c r="F75" s="749"/>
      <c r="G75" s="749"/>
      <c r="H75" s="783"/>
      <c r="I75" s="783"/>
      <c r="J75" s="783"/>
      <c r="K75" s="783"/>
      <c r="L75" s="783"/>
    </row>
    <row r="76" spans="1:14" ht="17.45" customHeight="1">
      <c r="B76" s="931" t="s">
        <v>1868</v>
      </c>
      <c r="C76" s="931"/>
      <c r="D76" s="931"/>
      <c r="E76" s="749"/>
      <c r="F76" s="783"/>
      <c r="G76" s="783"/>
      <c r="H76" s="931" t="s">
        <v>1502</v>
      </c>
      <c r="I76" s="931"/>
      <c r="J76" s="931"/>
      <c r="K76" s="931"/>
      <c r="L76" s="931"/>
    </row>
    <row r="77" spans="1:14">
      <c r="B77" s="749"/>
      <c r="C77" s="749"/>
      <c r="D77" s="749"/>
      <c r="E77" s="749"/>
      <c r="F77" s="749"/>
      <c r="G77" s="749"/>
      <c r="H77" s="783"/>
      <c r="I77" s="783"/>
      <c r="J77" s="783"/>
      <c r="K77" s="783"/>
      <c r="L77" s="783"/>
    </row>
  </sheetData>
  <mergeCells count="12">
    <mergeCell ref="B71:D71"/>
    <mergeCell ref="B76:D76"/>
    <mergeCell ref="A1:L1"/>
    <mergeCell ref="A69:H69"/>
    <mergeCell ref="A2:A3"/>
    <mergeCell ref="C2:C3"/>
    <mergeCell ref="I2:L2"/>
    <mergeCell ref="B2:B3"/>
    <mergeCell ref="D2:D3"/>
    <mergeCell ref="E2:H2"/>
    <mergeCell ref="H71:L71"/>
    <mergeCell ref="H76:L76"/>
  </mergeCells>
  <pageMargins left="0.78740157480314965" right="0.59055118110236227" top="0.59055118110236227" bottom="0.59055118110236227" header="0.19685039370078741" footer="0.19685039370078741"/>
  <pageSetup paperSize="9" fitToHeight="0"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GB399"/>
  <sheetViews>
    <sheetView zoomScale="70" zoomScaleNormal="70" workbookViewId="0">
      <selection activeCell="A11" sqref="A11:D224"/>
    </sheetView>
  </sheetViews>
  <sheetFormatPr defaultColWidth="11.1640625" defaultRowHeight="15.75"/>
  <cols>
    <col min="1" max="1" width="6.5" style="613" customWidth="1"/>
    <col min="2" max="2" width="74" style="612" customWidth="1"/>
    <col min="3" max="3" width="11.6640625" style="615" customWidth="1"/>
    <col min="4" max="4" width="54.83203125" style="616" customWidth="1"/>
    <col min="5" max="5" width="16.33203125" style="617" customWidth="1"/>
    <col min="6" max="6" width="20.83203125" style="611" customWidth="1"/>
    <col min="7" max="7" width="38.83203125" style="612" customWidth="1"/>
    <col min="8" max="8" width="46.83203125" style="612" customWidth="1"/>
    <col min="9" max="11" width="6.83203125" style="612" customWidth="1"/>
    <col min="12" max="16384" width="11.1640625" style="592"/>
  </cols>
  <sheetData>
    <row r="1" spans="1:11" ht="28.15" customHeight="1">
      <c r="A1" s="960" t="s">
        <v>1700</v>
      </c>
      <c r="B1" s="960"/>
      <c r="C1" s="960"/>
      <c r="D1" s="960"/>
      <c r="E1" s="960"/>
      <c r="F1" s="591"/>
      <c r="G1" s="592"/>
      <c r="H1" s="592"/>
      <c r="I1" s="592"/>
      <c r="J1" s="592"/>
      <c r="K1" s="592"/>
    </row>
    <row r="2" spans="1:11" ht="22.9" customHeight="1">
      <c r="A2" s="961" t="s">
        <v>1699</v>
      </c>
      <c r="B2" s="961"/>
      <c r="C2" s="961"/>
      <c r="D2" s="961"/>
      <c r="E2" s="961"/>
      <c r="F2" s="591"/>
      <c r="G2" s="592"/>
      <c r="H2" s="592"/>
      <c r="I2" s="592"/>
      <c r="J2" s="592"/>
      <c r="K2" s="592"/>
    </row>
    <row r="3" spans="1:11" s="597" customFormat="1" ht="33" customHeight="1">
      <c r="A3" s="593" t="s">
        <v>1368</v>
      </c>
      <c r="B3" s="593" t="s">
        <v>1498</v>
      </c>
      <c r="C3" s="593" t="s">
        <v>1370</v>
      </c>
      <c r="D3" s="594" t="s">
        <v>1499</v>
      </c>
      <c r="E3" s="595" t="s">
        <v>17</v>
      </c>
      <c r="F3" s="596"/>
      <c r="G3" s="597" t="s">
        <v>1701</v>
      </c>
    </row>
    <row r="4" spans="1:11" s="597" customFormat="1" ht="24.75" customHeight="1">
      <c r="A4" s="653" t="s">
        <v>795</v>
      </c>
      <c r="B4" s="654" t="s">
        <v>1688</v>
      </c>
      <c r="C4" s="583"/>
      <c r="D4" s="593"/>
      <c r="E4" s="595"/>
      <c r="F4" s="596"/>
      <c r="G4" s="583"/>
    </row>
    <row r="5" spans="1:11" s="600" customFormat="1">
      <c r="A5" s="645" t="s">
        <v>364</v>
      </c>
      <c r="B5" s="655" t="s">
        <v>1504</v>
      </c>
      <c r="C5" s="646"/>
      <c r="D5" s="661"/>
      <c r="E5" s="599"/>
      <c r="F5" s="596"/>
      <c r="G5" s="583"/>
    </row>
    <row r="6" spans="1:11" s="600" customFormat="1">
      <c r="A6" s="646">
        <v>1</v>
      </c>
      <c r="B6" s="655" t="s">
        <v>1505</v>
      </c>
      <c r="C6" s="646"/>
      <c r="D6" s="661"/>
      <c r="E6" s="582"/>
      <c r="F6" s="579"/>
      <c r="G6" s="582"/>
    </row>
    <row r="7" spans="1:11" s="600" customFormat="1" ht="31.5">
      <c r="A7" s="646">
        <v>2</v>
      </c>
      <c r="B7" s="656" t="s">
        <v>1506</v>
      </c>
      <c r="C7" s="646" t="s">
        <v>1507</v>
      </c>
      <c r="D7" s="661"/>
      <c r="E7" s="582">
        <v>1</v>
      </c>
      <c r="F7" s="579"/>
      <c r="G7" s="647">
        <v>1</v>
      </c>
    </row>
    <row r="8" spans="1:11" s="600" customFormat="1">
      <c r="A8" s="646">
        <v>3</v>
      </c>
      <c r="B8" s="655" t="s">
        <v>1508</v>
      </c>
      <c r="C8" s="646"/>
      <c r="D8" s="661"/>
      <c r="E8" s="582"/>
      <c r="F8" s="579"/>
      <c r="G8" s="647"/>
    </row>
    <row r="9" spans="1:11" s="600" customFormat="1">
      <c r="A9" s="646">
        <v>4</v>
      </c>
      <c r="B9" s="656" t="s">
        <v>1689</v>
      </c>
      <c r="C9" s="646" t="s">
        <v>1690</v>
      </c>
      <c r="D9" s="661"/>
      <c r="E9" s="582">
        <v>0</v>
      </c>
      <c r="F9" s="579"/>
      <c r="G9" s="658">
        <v>0</v>
      </c>
    </row>
    <row r="10" spans="1:11" s="600" customFormat="1">
      <c r="A10" s="646">
        <v>5</v>
      </c>
      <c r="B10" s="656" t="s">
        <v>1509</v>
      </c>
      <c r="C10" s="646" t="s">
        <v>52</v>
      </c>
      <c r="D10" s="661" t="s">
        <v>1702</v>
      </c>
      <c r="E10" s="582">
        <f>170*0.3/100</f>
        <v>0.51</v>
      </c>
      <c r="F10" s="579"/>
      <c r="G10" s="647">
        <v>0.51</v>
      </c>
    </row>
    <row r="11" spans="1:11" s="600" customFormat="1">
      <c r="A11" s="646">
        <v>6</v>
      </c>
      <c r="B11" s="656" t="s">
        <v>1497</v>
      </c>
      <c r="C11" s="646" t="s">
        <v>52</v>
      </c>
      <c r="D11" s="661"/>
      <c r="E11" s="582"/>
      <c r="F11" s="579"/>
      <c r="G11" s="647">
        <v>0.48199999999999998</v>
      </c>
    </row>
    <row r="12" spans="1:11" s="600" customFormat="1">
      <c r="A12" s="646">
        <v>7</v>
      </c>
      <c r="B12" s="656" t="s">
        <v>1510</v>
      </c>
      <c r="C12" s="646" t="s">
        <v>52</v>
      </c>
      <c r="D12" s="661"/>
      <c r="E12" s="582"/>
      <c r="F12" s="579"/>
      <c r="G12" s="647">
        <v>1.1240000000000001</v>
      </c>
    </row>
    <row r="13" spans="1:11" s="600" customFormat="1">
      <c r="A13" s="646">
        <v>8</v>
      </c>
      <c r="B13" s="656" t="s">
        <v>1511</v>
      </c>
      <c r="C13" s="646" t="s">
        <v>43</v>
      </c>
      <c r="D13" s="661"/>
      <c r="E13" s="582"/>
      <c r="F13" s="579"/>
      <c r="G13" s="647">
        <v>14.916</v>
      </c>
    </row>
    <row r="14" spans="1:11" s="600" customFormat="1">
      <c r="A14" s="646">
        <v>9</v>
      </c>
      <c r="B14" s="656" t="s">
        <v>1512</v>
      </c>
      <c r="C14" s="646" t="s">
        <v>52</v>
      </c>
      <c r="D14" s="661"/>
      <c r="E14" s="582"/>
      <c r="F14" s="579"/>
      <c r="G14" s="647">
        <v>0.34</v>
      </c>
    </row>
    <row r="15" spans="1:11" s="600" customFormat="1">
      <c r="A15" s="646">
        <v>10</v>
      </c>
      <c r="B15" s="656" t="s">
        <v>1513</v>
      </c>
      <c r="C15" s="646" t="s">
        <v>43</v>
      </c>
      <c r="D15" s="661"/>
      <c r="E15" s="582"/>
      <c r="F15" s="579"/>
      <c r="G15" s="647">
        <v>18.2</v>
      </c>
    </row>
    <row r="16" spans="1:11" s="600" customFormat="1">
      <c r="A16" s="646">
        <v>11</v>
      </c>
      <c r="B16" s="656" t="s">
        <v>1514</v>
      </c>
      <c r="C16" s="646" t="s">
        <v>43</v>
      </c>
      <c r="D16" s="661"/>
      <c r="E16" s="582"/>
      <c r="F16" s="579"/>
      <c r="G16" s="647">
        <v>1.8</v>
      </c>
    </row>
    <row r="17" spans="1:7" s="600" customFormat="1">
      <c r="A17" s="646">
        <v>12</v>
      </c>
      <c r="B17" s="656" t="s">
        <v>1515</v>
      </c>
      <c r="C17" s="646" t="s">
        <v>86</v>
      </c>
      <c r="D17" s="661"/>
      <c r="E17" s="582"/>
      <c r="F17" s="579"/>
      <c r="G17" s="647">
        <v>0.16900000000000001</v>
      </c>
    </row>
    <row r="18" spans="1:7" s="600" customFormat="1">
      <c r="A18" s="646">
        <v>13</v>
      </c>
      <c r="B18" s="656" t="s">
        <v>1516</v>
      </c>
      <c r="C18" s="646" t="s">
        <v>1494</v>
      </c>
      <c r="D18" s="661"/>
      <c r="E18" s="582"/>
      <c r="F18" s="579"/>
      <c r="G18" s="647">
        <v>1</v>
      </c>
    </row>
    <row r="19" spans="1:7" s="600" customFormat="1">
      <c r="A19" s="646">
        <v>14</v>
      </c>
      <c r="B19" s="656" t="s">
        <v>1517</v>
      </c>
      <c r="C19" s="646" t="s">
        <v>1494</v>
      </c>
      <c r="D19" s="661"/>
      <c r="E19" s="582"/>
      <c r="F19" s="579"/>
      <c r="G19" s="647">
        <v>1</v>
      </c>
    </row>
    <row r="20" spans="1:7" s="600" customFormat="1">
      <c r="A20" s="646">
        <v>15</v>
      </c>
      <c r="B20" s="656" t="s">
        <v>1518</v>
      </c>
      <c r="C20" s="646" t="s">
        <v>43</v>
      </c>
      <c r="D20" s="661"/>
      <c r="E20" s="582"/>
      <c r="F20" s="579"/>
      <c r="G20" s="647">
        <v>12</v>
      </c>
    </row>
    <row r="21" spans="1:7" s="600" customFormat="1">
      <c r="A21" s="646">
        <v>16</v>
      </c>
      <c r="B21" s="656" t="s">
        <v>1519</v>
      </c>
      <c r="C21" s="646" t="s">
        <v>427</v>
      </c>
      <c r="D21" s="661"/>
      <c r="E21" s="582"/>
      <c r="F21" s="579"/>
      <c r="G21" s="647">
        <v>40</v>
      </c>
    </row>
    <row r="22" spans="1:7" s="600" customFormat="1">
      <c r="A22" s="646">
        <v>17</v>
      </c>
      <c r="B22" s="656" t="s">
        <v>1520</v>
      </c>
      <c r="C22" s="646" t="s">
        <v>270</v>
      </c>
      <c r="D22" s="661"/>
      <c r="E22" s="582"/>
      <c r="F22" s="579"/>
      <c r="G22" s="647">
        <v>5</v>
      </c>
    </row>
    <row r="23" spans="1:7" s="600" customFormat="1">
      <c r="A23" s="646">
        <v>18</v>
      </c>
      <c r="B23" s="656" t="s">
        <v>1521</v>
      </c>
      <c r="C23" s="646" t="s">
        <v>279</v>
      </c>
      <c r="D23" s="661"/>
      <c r="E23" s="582"/>
      <c r="F23" s="579"/>
      <c r="G23" s="647">
        <v>4</v>
      </c>
    </row>
    <row r="24" spans="1:7" s="600" customFormat="1" ht="31.5">
      <c r="A24" s="646">
        <v>19</v>
      </c>
      <c r="B24" s="656" t="s">
        <v>1522</v>
      </c>
      <c r="C24" s="646" t="s">
        <v>296</v>
      </c>
      <c r="D24" s="661"/>
      <c r="E24" s="582"/>
      <c r="F24" s="579"/>
      <c r="G24" s="647">
        <v>0.31</v>
      </c>
    </row>
    <row r="25" spans="1:7" s="600" customFormat="1" ht="31.5">
      <c r="A25" s="646">
        <v>20</v>
      </c>
      <c r="B25" s="656" t="s">
        <v>1523</v>
      </c>
      <c r="C25" s="646" t="s">
        <v>427</v>
      </c>
      <c r="D25" s="661"/>
      <c r="E25" s="582"/>
      <c r="F25" s="579"/>
      <c r="G25" s="647">
        <v>2</v>
      </c>
    </row>
    <row r="26" spans="1:7" s="600" customFormat="1">
      <c r="A26" s="646">
        <v>21</v>
      </c>
      <c r="B26" s="656" t="s">
        <v>1524</v>
      </c>
      <c r="C26" s="646" t="s">
        <v>109</v>
      </c>
      <c r="D26" s="661"/>
      <c r="E26" s="582"/>
      <c r="F26" s="579"/>
      <c r="G26" s="647">
        <v>17.530100000000001</v>
      </c>
    </row>
    <row r="27" spans="1:7" s="600" customFormat="1">
      <c r="A27" s="646">
        <v>22</v>
      </c>
      <c r="B27" s="656" t="s">
        <v>1525</v>
      </c>
      <c r="C27" s="646" t="s">
        <v>296</v>
      </c>
      <c r="D27" s="661"/>
      <c r="E27" s="582"/>
      <c r="F27" s="579"/>
      <c r="G27" s="647">
        <v>3.36</v>
      </c>
    </row>
    <row r="28" spans="1:7" s="600" customFormat="1">
      <c r="A28" s="646">
        <v>23</v>
      </c>
      <c r="B28" s="656" t="s">
        <v>1526</v>
      </c>
      <c r="C28" s="646" t="s">
        <v>1527</v>
      </c>
      <c r="D28" s="661"/>
      <c r="E28" s="582"/>
      <c r="F28" s="579"/>
      <c r="G28" s="647">
        <v>480</v>
      </c>
    </row>
    <row r="29" spans="1:7" s="600" customFormat="1">
      <c r="A29" s="646">
        <v>24</v>
      </c>
      <c r="B29" s="656" t="s">
        <v>1528</v>
      </c>
      <c r="C29" s="646" t="s">
        <v>43</v>
      </c>
      <c r="D29" s="661"/>
      <c r="E29" s="582"/>
      <c r="F29" s="579"/>
      <c r="G29" s="647">
        <v>38.42</v>
      </c>
    </row>
    <row r="30" spans="1:7" s="600" customFormat="1">
      <c r="A30" s="646">
        <v>25</v>
      </c>
      <c r="B30" s="656" t="s">
        <v>1529</v>
      </c>
      <c r="C30" s="646" t="s">
        <v>494</v>
      </c>
      <c r="D30" s="661"/>
      <c r="E30" s="582"/>
      <c r="F30" s="579"/>
      <c r="G30" s="648">
        <v>9.6</v>
      </c>
    </row>
    <row r="31" spans="1:7" s="600" customFormat="1">
      <c r="A31" s="646">
        <v>26</v>
      </c>
      <c r="B31" s="656" t="s">
        <v>1530</v>
      </c>
      <c r="C31" s="646" t="s">
        <v>309</v>
      </c>
      <c r="D31" s="661"/>
      <c r="E31" s="582"/>
      <c r="F31" s="579"/>
      <c r="G31" s="647">
        <v>10</v>
      </c>
    </row>
    <row r="32" spans="1:7" s="600" customFormat="1">
      <c r="A32" s="646">
        <v>27</v>
      </c>
      <c r="B32" s="655" t="s">
        <v>1531</v>
      </c>
      <c r="C32" s="646"/>
      <c r="D32" s="661"/>
      <c r="E32" s="582"/>
      <c r="F32" s="579"/>
      <c r="G32" s="647"/>
    </row>
    <row r="33" spans="1:7" s="600" customFormat="1">
      <c r="A33" s="646">
        <v>28</v>
      </c>
      <c r="B33" s="656" t="s">
        <v>1532</v>
      </c>
      <c r="C33" s="646" t="s">
        <v>43</v>
      </c>
      <c r="D33" s="661"/>
      <c r="E33" s="582"/>
      <c r="F33" s="579"/>
      <c r="G33" s="649">
        <v>2.08</v>
      </c>
    </row>
    <row r="34" spans="1:7" s="600" customFormat="1">
      <c r="A34" s="646">
        <v>29</v>
      </c>
      <c r="B34" s="656" t="s">
        <v>1533</v>
      </c>
      <c r="C34" s="646" t="s">
        <v>43</v>
      </c>
      <c r="D34" s="661"/>
      <c r="E34" s="582"/>
      <c r="F34" s="579"/>
      <c r="G34" s="647">
        <v>2.08</v>
      </c>
    </row>
    <row r="35" spans="1:7" s="600" customFormat="1">
      <c r="A35" s="646">
        <v>30</v>
      </c>
      <c r="B35" s="656" t="s">
        <v>1448</v>
      </c>
      <c r="C35" s="646" t="s">
        <v>192</v>
      </c>
      <c r="D35" s="661"/>
      <c r="E35" s="582"/>
      <c r="F35" s="579"/>
      <c r="G35" s="649">
        <v>0.21560000000000001</v>
      </c>
    </row>
    <row r="36" spans="1:7" s="600" customFormat="1">
      <c r="A36" s="646">
        <v>31</v>
      </c>
      <c r="B36" s="656" t="s">
        <v>1452</v>
      </c>
      <c r="C36" s="646" t="s">
        <v>192</v>
      </c>
      <c r="D36" s="661"/>
      <c r="E36" s="582"/>
      <c r="F36" s="579"/>
      <c r="G36" s="647">
        <v>0.21560000000000001</v>
      </c>
    </row>
    <row r="37" spans="1:7" s="600" customFormat="1">
      <c r="A37" s="646">
        <v>32</v>
      </c>
      <c r="B37" s="656" t="s">
        <v>1450</v>
      </c>
      <c r="C37" s="646" t="s">
        <v>192</v>
      </c>
      <c r="D37" s="661"/>
      <c r="E37" s="582"/>
      <c r="F37" s="579"/>
      <c r="G37" s="647">
        <v>0.33760000000000001</v>
      </c>
    </row>
    <row r="38" spans="1:7" s="600" customFormat="1">
      <c r="A38" s="646">
        <v>33</v>
      </c>
      <c r="B38" s="656" t="s">
        <v>1454</v>
      </c>
      <c r="C38" s="646" t="s">
        <v>192</v>
      </c>
      <c r="D38" s="661"/>
      <c r="E38" s="582"/>
      <c r="F38" s="579"/>
      <c r="G38" s="647">
        <v>0.33760000000000001</v>
      </c>
    </row>
    <row r="39" spans="1:7" s="600" customFormat="1">
      <c r="A39" s="646">
        <v>34</v>
      </c>
      <c r="B39" s="656" t="s">
        <v>1534</v>
      </c>
      <c r="C39" s="646" t="s">
        <v>86</v>
      </c>
      <c r="D39" s="661"/>
      <c r="E39" s="582"/>
      <c r="F39" s="579"/>
      <c r="G39" s="647">
        <v>1.3860000000000001</v>
      </c>
    </row>
    <row r="40" spans="1:7" s="600" customFormat="1">
      <c r="A40" s="646">
        <v>35</v>
      </c>
      <c r="B40" s="655" t="s">
        <v>1535</v>
      </c>
      <c r="C40" s="646"/>
      <c r="D40" s="661"/>
      <c r="E40" s="582"/>
      <c r="F40" s="579"/>
      <c r="G40" s="647"/>
    </row>
    <row r="41" spans="1:7" s="600" customFormat="1">
      <c r="A41" s="646">
        <v>36</v>
      </c>
      <c r="B41" s="656" t="s">
        <v>1497</v>
      </c>
      <c r="C41" s="646" t="s">
        <v>52</v>
      </c>
      <c r="D41" s="661"/>
      <c r="E41" s="582"/>
      <c r="F41" s="579"/>
      <c r="G41" s="647">
        <v>0.123</v>
      </c>
    </row>
    <row r="42" spans="1:7" s="600" customFormat="1">
      <c r="A42" s="646">
        <v>37</v>
      </c>
      <c r="B42" s="656" t="s">
        <v>1588</v>
      </c>
      <c r="C42" s="646" t="s">
        <v>52</v>
      </c>
      <c r="D42" s="661"/>
      <c r="E42" s="582"/>
      <c r="F42" s="579"/>
      <c r="G42" s="658">
        <v>0</v>
      </c>
    </row>
    <row r="43" spans="1:7" s="600" customFormat="1">
      <c r="A43" s="646">
        <v>38</v>
      </c>
      <c r="B43" s="656" t="s">
        <v>1536</v>
      </c>
      <c r="C43" s="646" t="s">
        <v>43</v>
      </c>
      <c r="D43" s="661"/>
      <c r="E43" s="582"/>
      <c r="F43" s="579"/>
      <c r="G43" s="647">
        <v>3.68</v>
      </c>
    </row>
    <row r="44" spans="1:7" s="600" customFormat="1">
      <c r="A44" s="646">
        <v>39</v>
      </c>
      <c r="B44" s="656" t="s">
        <v>1537</v>
      </c>
      <c r="C44" s="646" t="s">
        <v>1538</v>
      </c>
      <c r="D44" s="661"/>
      <c r="E44" s="582"/>
      <c r="F44" s="579"/>
      <c r="G44" s="647">
        <v>2</v>
      </c>
    </row>
    <row r="45" spans="1:7" s="600" customFormat="1">
      <c r="A45" s="646">
        <v>40</v>
      </c>
      <c r="B45" s="656" t="s">
        <v>1539</v>
      </c>
      <c r="C45" s="646" t="s">
        <v>1538</v>
      </c>
      <c r="D45" s="661"/>
      <c r="E45" s="582"/>
      <c r="F45" s="579"/>
      <c r="G45" s="647">
        <v>8</v>
      </c>
    </row>
    <row r="46" spans="1:7" s="600" customFormat="1">
      <c r="A46" s="646">
        <v>41</v>
      </c>
      <c r="B46" s="656" t="s">
        <v>1540</v>
      </c>
      <c r="C46" s="646" t="s">
        <v>1538</v>
      </c>
      <c r="D46" s="661"/>
      <c r="E46" s="582"/>
      <c r="F46" s="579"/>
      <c r="G46" s="647">
        <v>6</v>
      </c>
    </row>
    <row r="47" spans="1:7" s="600" customFormat="1">
      <c r="A47" s="646">
        <v>42</v>
      </c>
      <c r="B47" s="656" t="s">
        <v>1541</v>
      </c>
      <c r="C47" s="646" t="s">
        <v>52</v>
      </c>
      <c r="D47" s="661"/>
      <c r="E47" s="582"/>
      <c r="F47" s="579"/>
      <c r="G47" s="647">
        <v>0.17599999999999999</v>
      </c>
    </row>
    <row r="48" spans="1:7" s="600" customFormat="1">
      <c r="A48" s="646">
        <v>43</v>
      </c>
      <c r="B48" s="656" t="s">
        <v>1542</v>
      </c>
      <c r="C48" s="646" t="s">
        <v>43</v>
      </c>
      <c r="D48" s="661"/>
      <c r="E48" s="582"/>
      <c r="F48" s="579"/>
      <c r="G48" s="647">
        <v>19.888000000000002</v>
      </c>
    </row>
    <row r="49" spans="1:7" s="600" customFormat="1">
      <c r="A49" s="646">
        <v>44</v>
      </c>
      <c r="B49" s="656" t="s">
        <v>1543</v>
      </c>
      <c r="C49" s="646" t="s">
        <v>192</v>
      </c>
      <c r="D49" s="661"/>
      <c r="E49" s="582"/>
      <c r="F49" s="579"/>
      <c r="G49" s="647">
        <v>2.9546000000000001</v>
      </c>
    </row>
    <row r="50" spans="1:7" s="600" customFormat="1">
      <c r="A50" s="646">
        <v>45</v>
      </c>
      <c r="B50" s="656" t="s">
        <v>1544</v>
      </c>
      <c r="C50" s="646" t="s">
        <v>192</v>
      </c>
      <c r="D50" s="661"/>
      <c r="E50" s="582"/>
      <c r="F50" s="579"/>
      <c r="G50" s="647">
        <v>2.9546000000000001</v>
      </c>
    </row>
    <row r="51" spans="1:7" s="600" customFormat="1">
      <c r="A51" s="646">
        <v>46</v>
      </c>
      <c r="B51" s="656" t="s">
        <v>1545</v>
      </c>
      <c r="C51" s="646" t="s">
        <v>427</v>
      </c>
      <c r="D51" s="661"/>
      <c r="E51" s="582"/>
      <c r="F51" s="579"/>
      <c r="G51" s="647">
        <v>100</v>
      </c>
    </row>
    <row r="52" spans="1:7" s="600" customFormat="1" ht="31.5">
      <c r="A52" s="646">
        <v>47</v>
      </c>
      <c r="B52" s="656" t="s">
        <v>1546</v>
      </c>
      <c r="C52" s="646" t="s">
        <v>1547</v>
      </c>
      <c r="D52" s="661"/>
      <c r="E52" s="582"/>
      <c r="F52" s="579"/>
      <c r="G52" s="647">
        <v>1.22</v>
      </c>
    </row>
    <row r="53" spans="1:7" s="600" customFormat="1" ht="31.5">
      <c r="A53" s="646">
        <v>48</v>
      </c>
      <c r="B53" s="656" t="s">
        <v>1548</v>
      </c>
      <c r="C53" s="646" t="s">
        <v>1547</v>
      </c>
      <c r="D53" s="661"/>
      <c r="E53" s="582"/>
      <c r="F53" s="579"/>
      <c r="G53" s="647">
        <v>0.96</v>
      </c>
    </row>
    <row r="54" spans="1:7" s="600" customFormat="1" ht="31.5">
      <c r="A54" s="646">
        <v>49</v>
      </c>
      <c r="B54" s="656" t="s">
        <v>1549</v>
      </c>
      <c r="C54" s="646" t="s">
        <v>1547</v>
      </c>
      <c r="D54" s="661"/>
      <c r="E54" s="582"/>
      <c r="F54" s="579"/>
      <c r="G54" s="647">
        <v>0.25</v>
      </c>
    </row>
    <row r="55" spans="1:7" s="600" customFormat="1">
      <c r="A55" s="646">
        <v>50</v>
      </c>
      <c r="B55" s="655" t="s">
        <v>1550</v>
      </c>
      <c r="C55" s="646"/>
      <c r="D55" s="661"/>
      <c r="E55" s="582"/>
      <c r="F55" s="579"/>
      <c r="G55" s="647"/>
    </row>
    <row r="56" spans="1:7" s="600" customFormat="1">
      <c r="A56" s="646">
        <v>51</v>
      </c>
      <c r="B56" s="656" t="s">
        <v>1497</v>
      </c>
      <c r="C56" s="646" t="s">
        <v>52</v>
      </c>
      <c r="D56" s="661"/>
      <c r="E56" s="582"/>
      <c r="F56" s="579"/>
      <c r="G56" s="647">
        <v>5.2999999999999999E-2</v>
      </c>
    </row>
    <row r="57" spans="1:7" s="600" customFormat="1">
      <c r="A57" s="646">
        <v>52</v>
      </c>
      <c r="B57" s="656" t="s">
        <v>1510</v>
      </c>
      <c r="C57" s="646" t="s">
        <v>52</v>
      </c>
      <c r="D57" s="661"/>
      <c r="E57" s="582"/>
      <c r="F57" s="579"/>
      <c r="G57" s="647">
        <v>4.7E-2</v>
      </c>
    </row>
    <row r="58" spans="1:7" s="600" customFormat="1">
      <c r="A58" s="646">
        <v>53</v>
      </c>
      <c r="B58" s="656" t="s">
        <v>1536</v>
      </c>
      <c r="C58" s="646" t="s">
        <v>43</v>
      </c>
      <c r="D58" s="661"/>
      <c r="E58" s="582"/>
      <c r="F58" s="579"/>
      <c r="G58" s="647">
        <v>4.5</v>
      </c>
    </row>
    <row r="59" spans="1:7" s="600" customFormat="1">
      <c r="A59" s="646">
        <v>54</v>
      </c>
      <c r="B59" s="656" t="s">
        <v>1551</v>
      </c>
      <c r="C59" s="646" t="s">
        <v>86</v>
      </c>
      <c r="D59" s="661"/>
      <c r="E59" s="582"/>
      <c r="F59" s="579"/>
      <c r="G59" s="647">
        <v>0.21</v>
      </c>
    </row>
    <row r="60" spans="1:7" s="600" customFormat="1">
      <c r="A60" s="646">
        <v>55</v>
      </c>
      <c r="B60" s="656" t="s">
        <v>1552</v>
      </c>
      <c r="C60" s="646" t="s">
        <v>43</v>
      </c>
      <c r="D60" s="661"/>
      <c r="E60" s="582"/>
      <c r="F60" s="579"/>
      <c r="G60" s="647">
        <v>12.6</v>
      </c>
    </row>
    <row r="61" spans="1:7" s="600" customFormat="1" ht="31.5">
      <c r="A61" s="646">
        <v>56</v>
      </c>
      <c r="B61" s="656" t="s">
        <v>1553</v>
      </c>
      <c r="C61" s="646" t="s">
        <v>192</v>
      </c>
      <c r="D61" s="661"/>
      <c r="E61" s="582"/>
      <c r="F61" s="579"/>
      <c r="G61" s="647">
        <v>0.9476</v>
      </c>
    </row>
    <row r="62" spans="1:7" s="600" customFormat="1">
      <c r="A62" s="646">
        <v>57</v>
      </c>
      <c r="B62" s="656" t="s">
        <v>1554</v>
      </c>
      <c r="C62" s="646" t="s">
        <v>192</v>
      </c>
      <c r="D62" s="661"/>
      <c r="E62" s="582"/>
      <c r="F62" s="579"/>
      <c r="G62" s="647">
        <v>9.2624999999999993</v>
      </c>
    </row>
    <row r="63" spans="1:7" s="600" customFormat="1">
      <c r="A63" s="646">
        <v>58</v>
      </c>
      <c r="B63" s="656" t="s">
        <v>1555</v>
      </c>
      <c r="C63" s="646" t="s">
        <v>192</v>
      </c>
      <c r="D63" s="661"/>
      <c r="E63" s="582"/>
      <c r="F63" s="579"/>
      <c r="G63" s="647">
        <v>9.2624999999999993</v>
      </c>
    </row>
    <row r="64" spans="1:7" s="600" customFormat="1">
      <c r="A64" s="646">
        <v>59</v>
      </c>
      <c r="B64" s="656" t="s">
        <v>1556</v>
      </c>
      <c r="C64" s="646" t="s">
        <v>192</v>
      </c>
      <c r="D64" s="661"/>
      <c r="E64" s="582"/>
      <c r="F64" s="579"/>
      <c r="G64" s="647">
        <v>9.2624999999999993</v>
      </c>
    </row>
    <row r="65" spans="1:7" s="600" customFormat="1">
      <c r="A65" s="646">
        <v>60</v>
      </c>
      <c r="B65" s="656" t="s">
        <v>1557</v>
      </c>
      <c r="C65" s="646" t="s">
        <v>43</v>
      </c>
      <c r="D65" s="661"/>
      <c r="E65" s="582"/>
      <c r="F65" s="579"/>
      <c r="G65" s="647">
        <v>12.6</v>
      </c>
    </row>
    <row r="66" spans="1:7" s="600" customFormat="1">
      <c r="A66" s="646">
        <v>61</v>
      </c>
      <c r="B66" s="656" t="s">
        <v>1691</v>
      </c>
      <c r="C66" s="646" t="s">
        <v>43</v>
      </c>
      <c r="D66" s="661"/>
      <c r="E66" s="582"/>
      <c r="F66" s="579"/>
      <c r="G66" s="658">
        <v>0</v>
      </c>
    </row>
    <row r="67" spans="1:7" s="600" customFormat="1">
      <c r="A67" s="646">
        <v>62</v>
      </c>
      <c r="B67" s="655" t="s">
        <v>1558</v>
      </c>
      <c r="C67" s="646"/>
      <c r="D67" s="661"/>
      <c r="E67" s="582"/>
      <c r="F67" s="579"/>
      <c r="G67" s="647"/>
    </row>
    <row r="68" spans="1:7" s="600" customFormat="1">
      <c r="A68" s="646">
        <v>63</v>
      </c>
      <c r="B68" s="656" t="s">
        <v>1497</v>
      </c>
      <c r="C68" s="646" t="s">
        <v>52</v>
      </c>
      <c r="D68" s="661"/>
      <c r="E68" s="582"/>
      <c r="F68" s="579"/>
      <c r="G68" s="647">
        <v>2.21</v>
      </c>
    </row>
    <row r="69" spans="1:7" s="600" customFormat="1">
      <c r="A69" s="646">
        <v>64</v>
      </c>
      <c r="B69" s="656" t="s">
        <v>1588</v>
      </c>
      <c r="C69" s="646"/>
      <c r="D69" s="661"/>
      <c r="E69" s="582"/>
      <c r="F69" s="579"/>
      <c r="G69" s="647"/>
    </row>
    <row r="70" spans="1:7" s="600" customFormat="1">
      <c r="A70" s="646">
        <v>65</v>
      </c>
      <c r="B70" s="656" t="s">
        <v>1510</v>
      </c>
      <c r="C70" s="646" t="s">
        <v>52</v>
      </c>
      <c r="D70" s="661"/>
      <c r="E70" s="582"/>
      <c r="F70" s="579"/>
      <c r="G70" s="647">
        <v>0.42</v>
      </c>
    </row>
    <row r="71" spans="1:7" s="600" customFormat="1">
      <c r="A71" s="646">
        <v>66</v>
      </c>
      <c r="B71" s="656" t="s">
        <v>1536</v>
      </c>
      <c r="C71" s="646" t="s">
        <v>43</v>
      </c>
      <c r="D71" s="661"/>
      <c r="E71" s="582"/>
      <c r="F71" s="579"/>
      <c r="G71" s="647">
        <v>10</v>
      </c>
    </row>
    <row r="72" spans="1:7" s="600" customFormat="1">
      <c r="A72" s="646">
        <v>67</v>
      </c>
      <c r="B72" s="656" t="s">
        <v>1559</v>
      </c>
      <c r="C72" s="646" t="s">
        <v>192</v>
      </c>
      <c r="D72" s="661"/>
      <c r="E72" s="582"/>
      <c r="F72" s="579"/>
      <c r="G72" s="647">
        <v>7.4059999999999997</v>
      </c>
    </row>
    <row r="73" spans="1:7" s="600" customFormat="1">
      <c r="A73" s="646">
        <v>68</v>
      </c>
      <c r="B73" s="656" t="s">
        <v>1560</v>
      </c>
      <c r="C73" s="646" t="s">
        <v>192</v>
      </c>
      <c r="D73" s="661"/>
      <c r="E73" s="582"/>
      <c r="F73" s="579"/>
      <c r="G73" s="647">
        <v>14.811999999999999</v>
      </c>
    </row>
    <row r="74" spans="1:7" s="600" customFormat="1">
      <c r="A74" s="646">
        <v>69</v>
      </c>
      <c r="B74" s="656" t="s">
        <v>1561</v>
      </c>
      <c r="C74" s="646" t="s">
        <v>192</v>
      </c>
      <c r="D74" s="661"/>
      <c r="E74" s="582"/>
      <c r="F74" s="579"/>
      <c r="G74" s="647">
        <v>14.811999999999999</v>
      </c>
    </row>
    <row r="75" spans="1:7" s="600" customFormat="1" ht="31.5">
      <c r="A75" s="646">
        <v>70</v>
      </c>
      <c r="B75" s="656" t="s">
        <v>1562</v>
      </c>
      <c r="C75" s="646" t="s">
        <v>192</v>
      </c>
      <c r="D75" s="661"/>
      <c r="E75" s="582"/>
      <c r="F75" s="579"/>
      <c r="G75" s="647">
        <v>3.29</v>
      </c>
    </row>
    <row r="76" spans="1:7" s="600" customFormat="1">
      <c r="A76" s="646">
        <v>71</v>
      </c>
      <c r="B76" s="655" t="s">
        <v>1563</v>
      </c>
      <c r="C76" s="646"/>
      <c r="D76" s="661"/>
      <c r="E76" s="582"/>
      <c r="F76" s="579"/>
      <c r="G76" s="647"/>
    </row>
    <row r="77" spans="1:7" s="600" customFormat="1">
      <c r="A77" s="646">
        <v>72</v>
      </c>
      <c r="B77" s="656" t="s">
        <v>1564</v>
      </c>
      <c r="C77" s="646" t="s">
        <v>43</v>
      </c>
      <c r="D77" s="661"/>
      <c r="E77" s="582"/>
      <c r="F77" s="579"/>
      <c r="G77" s="647" t="s">
        <v>1687</v>
      </c>
    </row>
    <row r="78" spans="1:7" s="600" customFormat="1">
      <c r="A78" s="646">
        <v>73</v>
      </c>
      <c r="B78" s="656" t="s">
        <v>1692</v>
      </c>
      <c r="C78" s="646" t="s">
        <v>52</v>
      </c>
      <c r="D78" s="661"/>
      <c r="E78" s="582"/>
      <c r="F78" s="579"/>
      <c r="G78" s="658">
        <v>0</v>
      </c>
    </row>
    <row r="79" spans="1:7" s="600" customFormat="1">
      <c r="A79" s="646">
        <v>74</v>
      </c>
      <c r="B79" s="656" t="s">
        <v>1495</v>
      </c>
      <c r="C79" s="646" t="s">
        <v>52</v>
      </c>
      <c r="D79" s="661"/>
      <c r="E79" s="582"/>
      <c r="F79" s="579"/>
      <c r="G79" s="647">
        <v>2.7079</v>
      </c>
    </row>
    <row r="80" spans="1:7" s="600" customFormat="1">
      <c r="A80" s="646">
        <v>75</v>
      </c>
      <c r="B80" s="656" t="s">
        <v>1565</v>
      </c>
      <c r="C80" s="646" t="s">
        <v>52</v>
      </c>
      <c r="D80" s="661"/>
      <c r="E80" s="582"/>
      <c r="F80" s="579"/>
      <c r="G80" s="647">
        <v>0.62890000000000001</v>
      </c>
    </row>
    <row r="81" spans="1:7" s="600" customFormat="1">
      <c r="A81" s="646">
        <v>76</v>
      </c>
      <c r="B81" s="656" t="s">
        <v>1566</v>
      </c>
      <c r="C81" s="646" t="s">
        <v>43</v>
      </c>
      <c r="D81" s="661"/>
      <c r="E81" s="582"/>
      <c r="F81" s="579"/>
      <c r="G81" s="647">
        <v>383.34739999999999</v>
      </c>
    </row>
    <row r="82" spans="1:7" s="600" customFormat="1">
      <c r="A82" s="646">
        <v>77</v>
      </c>
      <c r="B82" s="656" t="s">
        <v>1567</v>
      </c>
      <c r="C82" s="646" t="s">
        <v>109</v>
      </c>
      <c r="D82" s="661"/>
      <c r="E82" s="582"/>
      <c r="F82" s="579"/>
      <c r="G82" s="647">
        <v>675.6</v>
      </c>
    </row>
    <row r="83" spans="1:7" s="600" customFormat="1">
      <c r="A83" s="646">
        <v>78</v>
      </c>
      <c r="B83" s="656" t="s">
        <v>1568</v>
      </c>
      <c r="C83" s="646" t="s">
        <v>52</v>
      </c>
      <c r="D83" s="661"/>
      <c r="E83" s="582"/>
      <c r="F83" s="579"/>
      <c r="G83" s="647">
        <v>1.3512</v>
      </c>
    </row>
    <row r="84" spans="1:7" s="600" customFormat="1">
      <c r="A84" s="646">
        <v>79</v>
      </c>
      <c r="B84" s="656" t="s">
        <v>1569</v>
      </c>
      <c r="C84" s="646" t="s">
        <v>52</v>
      </c>
      <c r="D84" s="661"/>
      <c r="E84" s="582"/>
      <c r="F84" s="579"/>
      <c r="G84" s="647">
        <v>1.7315</v>
      </c>
    </row>
    <row r="85" spans="1:7" s="600" customFormat="1" ht="31.5">
      <c r="A85" s="646">
        <v>80</v>
      </c>
      <c r="B85" s="656" t="s">
        <v>1496</v>
      </c>
      <c r="C85" s="646" t="s">
        <v>86</v>
      </c>
      <c r="D85" s="661"/>
      <c r="E85" s="582"/>
      <c r="F85" s="579"/>
      <c r="G85" s="647">
        <v>6.7560000000000002</v>
      </c>
    </row>
    <row r="86" spans="1:7" s="600" customFormat="1" ht="31.5">
      <c r="A86" s="646">
        <v>81</v>
      </c>
      <c r="B86" s="656" t="s">
        <v>1570</v>
      </c>
      <c r="C86" s="646" t="s">
        <v>86</v>
      </c>
      <c r="D86" s="661"/>
      <c r="E86" s="582"/>
      <c r="F86" s="579"/>
      <c r="G86" s="647">
        <v>6.7560000000000002</v>
      </c>
    </row>
    <row r="87" spans="1:7" s="600" customFormat="1">
      <c r="A87" s="646">
        <v>82</v>
      </c>
      <c r="B87" s="655" t="s">
        <v>1571</v>
      </c>
      <c r="C87" s="646"/>
      <c r="D87" s="661"/>
      <c r="E87" s="582"/>
      <c r="F87" s="579"/>
      <c r="G87" s="647"/>
    </row>
    <row r="88" spans="1:7" s="600" customFormat="1" ht="31.5">
      <c r="A88" s="646">
        <v>83</v>
      </c>
      <c r="B88" s="656" t="s">
        <v>1693</v>
      </c>
      <c r="C88" s="646" t="s">
        <v>1684</v>
      </c>
      <c r="D88" s="661"/>
      <c r="E88" s="582"/>
      <c r="F88" s="579"/>
      <c r="G88" s="658">
        <v>0</v>
      </c>
    </row>
    <row r="89" spans="1:7" s="600" customFormat="1" ht="31.5">
      <c r="A89" s="646">
        <v>84</v>
      </c>
      <c r="B89" s="656" t="s">
        <v>1572</v>
      </c>
      <c r="C89" s="646" t="s">
        <v>309</v>
      </c>
      <c r="D89" s="661"/>
      <c r="E89" s="582"/>
      <c r="F89" s="579"/>
      <c r="G89" s="647">
        <v>2</v>
      </c>
    </row>
    <row r="90" spans="1:7" s="600" customFormat="1" ht="31.5">
      <c r="A90" s="646">
        <v>85</v>
      </c>
      <c r="B90" s="656" t="s">
        <v>1573</v>
      </c>
      <c r="C90" s="646" t="s">
        <v>43</v>
      </c>
      <c r="D90" s="661"/>
      <c r="E90" s="582"/>
      <c r="F90" s="579"/>
      <c r="G90" s="647">
        <v>3.8</v>
      </c>
    </row>
    <row r="91" spans="1:7" s="600" customFormat="1">
      <c r="A91" s="646">
        <v>86</v>
      </c>
      <c r="B91" s="656" t="s">
        <v>1574</v>
      </c>
      <c r="C91" s="646" t="s">
        <v>43</v>
      </c>
      <c r="D91" s="661"/>
      <c r="E91" s="582"/>
      <c r="F91" s="579"/>
      <c r="G91" s="647">
        <v>3.8</v>
      </c>
    </row>
    <row r="92" spans="1:7" s="600" customFormat="1">
      <c r="A92" s="646">
        <v>87</v>
      </c>
      <c r="B92" s="656" t="s">
        <v>1575</v>
      </c>
      <c r="C92" s="646" t="s">
        <v>43</v>
      </c>
      <c r="D92" s="661"/>
      <c r="E92" s="582"/>
      <c r="F92" s="579"/>
      <c r="G92" s="647">
        <v>0.05</v>
      </c>
    </row>
    <row r="93" spans="1:7" s="600" customFormat="1">
      <c r="A93" s="646">
        <v>88</v>
      </c>
      <c r="B93" s="656" t="s">
        <v>1576</v>
      </c>
      <c r="C93" s="646" t="s">
        <v>192</v>
      </c>
      <c r="D93" s="661"/>
      <c r="E93" s="582"/>
      <c r="F93" s="579"/>
      <c r="G93" s="647">
        <v>2.3999999999999998E-3</v>
      </c>
    </row>
    <row r="94" spans="1:7" s="600" customFormat="1" ht="31.5">
      <c r="A94" s="646">
        <v>89</v>
      </c>
      <c r="B94" s="656" t="s">
        <v>1577</v>
      </c>
      <c r="C94" s="646" t="s">
        <v>192</v>
      </c>
      <c r="D94" s="661"/>
      <c r="E94" s="582"/>
      <c r="F94" s="579"/>
      <c r="G94" s="647">
        <v>5.0000000000000001E-4</v>
      </c>
    </row>
    <row r="95" spans="1:7" s="600" customFormat="1">
      <c r="A95" s="646">
        <v>90</v>
      </c>
      <c r="B95" s="656" t="s">
        <v>1578</v>
      </c>
      <c r="C95" s="646" t="s">
        <v>296</v>
      </c>
      <c r="D95" s="661"/>
      <c r="E95" s="582"/>
      <c r="F95" s="579"/>
      <c r="G95" s="647">
        <v>3.5000000000000003E-2</v>
      </c>
    </row>
    <row r="96" spans="1:7" s="600" customFormat="1">
      <c r="A96" s="646">
        <v>91</v>
      </c>
      <c r="B96" s="656" t="s">
        <v>1579</v>
      </c>
      <c r="C96" s="646" t="s">
        <v>296</v>
      </c>
      <c r="D96" s="661"/>
      <c r="E96" s="582"/>
      <c r="F96" s="579"/>
      <c r="G96" s="647">
        <v>0.104</v>
      </c>
    </row>
    <row r="97" spans="1:7" s="600" customFormat="1">
      <c r="A97" s="646">
        <v>92</v>
      </c>
      <c r="B97" s="656" t="s">
        <v>1580</v>
      </c>
      <c r="C97" s="646" t="s">
        <v>427</v>
      </c>
      <c r="D97" s="661"/>
      <c r="E97" s="582"/>
      <c r="F97" s="579"/>
      <c r="G97" s="647">
        <v>6</v>
      </c>
    </row>
    <row r="98" spans="1:7" s="600" customFormat="1">
      <c r="A98" s="646">
        <v>93</v>
      </c>
      <c r="B98" s="656" t="s">
        <v>1581</v>
      </c>
      <c r="C98" s="646" t="s">
        <v>427</v>
      </c>
      <c r="D98" s="661"/>
      <c r="E98" s="582"/>
      <c r="F98" s="579"/>
      <c r="G98" s="647">
        <v>2</v>
      </c>
    </row>
    <row r="99" spans="1:7" s="600" customFormat="1">
      <c r="A99" s="646">
        <v>94</v>
      </c>
      <c r="B99" s="656" t="s">
        <v>1588</v>
      </c>
      <c r="C99" s="646" t="s">
        <v>52</v>
      </c>
      <c r="D99" s="661"/>
      <c r="E99" s="582"/>
      <c r="F99" s="579"/>
      <c r="G99" s="658">
        <v>0</v>
      </c>
    </row>
    <row r="100" spans="1:7" s="600" customFormat="1">
      <c r="A100" s="646">
        <v>95</v>
      </c>
      <c r="B100" s="655" t="s">
        <v>1582</v>
      </c>
      <c r="C100" s="646"/>
      <c r="D100" s="661"/>
      <c r="E100" s="582"/>
      <c r="F100" s="579"/>
      <c r="G100" s="647"/>
    </row>
    <row r="101" spans="1:7" s="600" customFormat="1">
      <c r="A101" s="646">
        <v>96</v>
      </c>
      <c r="B101" s="655" t="s">
        <v>1583</v>
      </c>
      <c r="C101" s="646"/>
      <c r="D101" s="661"/>
      <c r="E101" s="582"/>
      <c r="F101" s="579"/>
      <c r="G101" s="647"/>
    </row>
    <row r="102" spans="1:7" s="600" customFormat="1">
      <c r="A102" s="646">
        <v>97</v>
      </c>
      <c r="B102" s="656" t="s">
        <v>1694</v>
      </c>
      <c r="C102" s="646" t="s">
        <v>116</v>
      </c>
      <c r="D102" s="661"/>
      <c r="E102" s="582"/>
      <c r="F102" s="579"/>
      <c r="G102" s="650"/>
    </row>
    <row r="103" spans="1:7" s="600" customFormat="1" ht="31.5">
      <c r="A103" s="646">
        <v>98</v>
      </c>
      <c r="B103" s="656" t="s">
        <v>1584</v>
      </c>
      <c r="C103" s="646" t="s">
        <v>43</v>
      </c>
      <c r="D103" s="661"/>
      <c r="E103" s="582"/>
      <c r="F103" s="579"/>
      <c r="G103" s="651">
        <v>161.80500000000001</v>
      </c>
    </row>
    <row r="104" spans="1:7" s="600" customFormat="1">
      <c r="A104" s="646">
        <v>99</v>
      </c>
      <c r="B104" s="656" t="s">
        <v>1576</v>
      </c>
      <c r="C104" s="646" t="s">
        <v>192</v>
      </c>
      <c r="D104" s="661"/>
      <c r="E104" s="582"/>
      <c r="F104" s="579"/>
      <c r="G104" s="651">
        <v>8.6578999999999997</v>
      </c>
    </row>
    <row r="105" spans="1:7" s="600" customFormat="1" ht="31.5">
      <c r="A105" s="646">
        <v>100</v>
      </c>
      <c r="B105" s="656" t="s">
        <v>1577</v>
      </c>
      <c r="C105" s="646" t="s">
        <v>192</v>
      </c>
      <c r="D105" s="661"/>
      <c r="E105" s="582"/>
      <c r="F105" s="579"/>
      <c r="G105" s="651">
        <v>20.636899999999997</v>
      </c>
    </row>
    <row r="106" spans="1:7" s="600" customFormat="1">
      <c r="A106" s="646">
        <v>101</v>
      </c>
      <c r="B106" s="656" t="s">
        <v>1585</v>
      </c>
      <c r="C106" s="646" t="s">
        <v>1409</v>
      </c>
      <c r="D106" s="661"/>
      <c r="E106" s="582"/>
      <c r="F106" s="579"/>
      <c r="G106" s="651">
        <v>2592</v>
      </c>
    </row>
    <row r="107" spans="1:7" s="600" customFormat="1">
      <c r="A107" s="646">
        <v>102</v>
      </c>
      <c r="B107" s="656" t="s">
        <v>1578</v>
      </c>
      <c r="C107" s="646" t="s">
        <v>296</v>
      </c>
      <c r="D107" s="661"/>
      <c r="E107" s="582"/>
      <c r="F107" s="579"/>
      <c r="G107" s="651">
        <v>3.1265999999999998</v>
      </c>
    </row>
    <row r="108" spans="1:7" s="600" customFormat="1">
      <c r="A108" s="646">
        <v>103</v>
      </c>
      <c r="B108" s="656" t="s">
        <v>1695</v>
      </c>
      <c r="C108" s="646" t="s">
        <v>296</v>
      </c>
      <c r="D108" s="661"/>
      <c r="E108" s="582"/>
      <c r="F108" s="579"/>
      <c r="G108" s="651">
        <v>0</v>
      </c>
    </row>
    <row r="109" spans="1:7" s="600" customFormat="1">
      <c r="A109" s="646">
        <v>104</v>
      </c>
      <c r="B109" s="656" t="s">
        <v>1586</v>
      </c>
      <c r="C109" s="646" t="s">
        <v>427</v>
      </c>
      <c r="D109" s="661"/>
      <c r="E109" s="582"/>
      <c r="F109" s="579"/>
      <c r="G109" s="651">
        <v>48</v>
      </c>
    </row>
    <row r="110" spans="1:7" s="600" customFormat="1">
      <c r="A110" s="646">
        <v>105</v>
      </c>
      <c r="B110" s="656" t="s">
        <v>1696</v>
      </c>
      <c r="C110" s="646" t="s">
        <v>427</v>
      </c>
      <c r="D110" s="661"/>
      <c r="E110" s="582"/>
      <c r="F110" s="579"/>
      <c r="G110" s="650">
        <v>0</v>
      </c>
    </row>
    <row r="111" spans="1:7" s="600" customFormat="1">
      <c r="A111" s="646">
        <v>106</v>
      </c>
      <c r="B111" s="656" t="s">
        <v>1580</v>
      </c>
      <c r="C111" s="646" t="s">
        <v>427</v>
      </c>
      <c r="D111" s="661"/>
      <c r="E111" s="582"/>
      <c r="F111" s="579"/>
      <c r="G111" s="650">
        <v>24</v>
      </c>
    </row>
    <row r="112" spans="1:7" s="600" customFormat="1">
      <c r="A112" s="646">
        <v>107</v>
      </c>
      <c r="B112" s="656" t="s">
        <v>1581</v>
      </c>
      <c r="C112" s="646" t="s">
        <v>427</v>
      </c>
      <c r="D112" s="661"/>
      <c r="E112" s="582"/>
      <c r="F112" s="579"/>
      <c r="G112" s="650">
        <v>12</v>
      </c>
    </row>
    <row r="113" spans="1:7" s="600" customFormat="1">
      <c r="A113" s="646">
        <v>108</v>
      </c>
      <c r="B113" s="656" t="s">
        <v>1575</v>
      </c>
      <c r="C113" s="646" t="s">
        <v>43</v>
      </c>
      <c r="D113" s="661"/>
      <c r="E113" s="582"/>
      <c r="F113" s="579"/>
      <c r="G113" s="651">
        <v>0</v>
      </c>
    </row>
    <row r="114" spans="1:7" s="600" customFormat="1" ht="31.5">
      <c r="A114" s="646">
        <v>109</v>
      </c>
      <c r="B114" s="656" t="s">
        <v>1697</v>
      </c>
      <c r="C114" s="646" t="s">
        <v>43</v>
      </c>
      <c r="D114" s="661"/>
      <c r="E114" s="582"/>
      <c r="F114" s="579"/>
      <c r="G114" s="658">
        <v>0</v>
      </c>
    </row>
    <row r="115" spans="1:7" s="600" customFormat="1">
      <c r="A115" s="646">
        <v>110</v>
      </c>
      <c r="B115" s="656" t="s">
        <v>1587</v>
      </c>
      <c r="C115" s="646" t="s">
        <v>43</v>
      </c>
      <c r="D115" s="661"/>
      <c r="E115" s="582"/>
      <c r="F115" s="579"/>
      <c r="G115" s="651">
        <v>3.0158999999999998</v>
      </c>
    </row>
    <row r="116" spans="1:7" s="600" customFormat="1">
      <c r="A116" s="646">
        <v>111</v>
      </c>
      <c r="B116" s="656" t="s">
        <v>1588</v>
      </c>
      <c r="C116" s="646" t="s">
        <v>52</v>
      </c>
      <c r="D116" s="661"/>
      <c r="E116" s="582"/>
      <c r="F116" s="579"/>
      <c r="G116" s="659">
        <v>1.6482000000000001</v>
      </c>
    </row>
    <row r="117" spans="1:7" s="600" customFormat="1" ht="47.25">
      <c r="A117" s="646">
        <v>112</v>
      </c>
      <c r="B117" s="656" t="s">
        <v>1589</v>
      </c>
      <c r="C117" s="646" t="s">
        <v>1590</v>
      </c>
      <c r="D117" s="661"/>
      <c r="E117" s="582"/>
      <c r="F117" s="579"/>
      <c r="G117" s="651">
        <v>18</v>
      </c>
    </row>
    <row r="118" spans="1:7" s="600" customFormat="1" ht="31.5">
      <c r="A118" s="646">
        <v>113</v>
      </c>
      <c r="B118" s="656" t="s">
        <v>1591</v>
      </c>
      <c r="C118" s="646" t="s">
        <v>1592</v>
      </c>
      <c r="D118" s="661"/>
      <c r="E118" s="582"/>
      <c r="F118" s="579"/>
      <c r="G118" s="651">
        <v>1.7999999999999998</v>
      </c>
    </row>
    <row r="119" spans="1:7" s="600" customFormat="1">
      <c r="A119" s="646">
        <v>114</v>
      </c>
      <c r="B119" s="655" t="s">
        <v>1593</v>
      </c>
      <c r="C119" s="646"/>
      <c r="D119" s="661"/>
      <c r="E119" s="582"/>
      <c r="F119" s="579"/>
      <c r="G119" s="647"/>
    </row>
    <row r="120" spans="1:7" s="600" customFormat="1">
      <c r="A120" s="646">
        <v>115</v>
      </c>
      <c r="B120" s="656" t="s">
        <v>1594</v>
      </c>
      <c r="C120" s="646" t="s">
        <v>86</v>
      </c>
      <c r="D120" s="661"/>
      <c r="E120" s="582"/>
      <c r="F120" s="579"/>
      <c r="G120" s="647">
        <v>4.36E-2</v>
      </c>
    </row>
    <row r="121" spans="1:7" s="600" customFormat="1">
      <c r="A121" s="646">
        <v>116</v>
      </c>
      <c r="B121" s="656" t="s">
        <v>1595</v>
      </c>
      <c r="C121" s="646" t="s">
        <v>43</v>
      </c>
      <c r="D121" s="661"/>
      <c r="E121" s="582"/>
      <c r="F121" s="579"/>
      <c r="G121" s="647">
        <v>3.6579999999999999</v>
      </c>
    </row>
    <row r="122" spans="1:7" s="600" customFormat="1">
      <c r="A122" s="646">
        <v>117</v>
      </c>
      <c r="B122" s="656" t="s">
        <v>1596</v>
      </c>
      <c r="C122" s="646" t="s">
        <v>86</v>
      </c>
      <c r="D122" s="661"/>
      <c r="E122" s="582"/>
      <c r="F122" s="579"/>
      <c r="G122" s="647">
        <v>1.7436</v>
      </c>
    </row>
    <row r="123" spans="1:7" s="600" customFormat="1">
      <c r="A123" s="646">
        <v>118</v>
      </c>
      <c r="B123" s="656" t="s">
        <v>1597</v>
      </c>
      <c r="C123" s="646" t="s">
        <v>192</v>
      </c>
      <c r="D123" s="661"/>
      <c r="E123" s="582"/>
      <c r="F123" s="579"/>
      <c r="G123" s="647">
        <v>3.7627999999999999</v>
      </c>
    </row>
    <row r="124" spans="1:7" s="600" customFormat="1">
      <c r="A124" s="646">
        <v>119</v>
      </c>
      <c r="B124" s="656" t="s">
        <v>1598</v>
      </c>
      <c r="C124" s="646" t="s">
        <v>192</v>
      </c>
      <c r="D124" s="661"/>
      <c r="E124" s="582"/>
      <c r="F124" s="579"/>
      <c r="G124" s="647">
        <v>2.1234999999999999</v>
      </c>
    </row>
    <row r="125" spans="1:7" s="600" customFormat="1">
      <c r="A125" s="646">
        <v>120</v>
      </c>
      <c r="B125" s="656" t="s">
        <v>1599</v>
      </c>
      <c r="C125" s="646" t="s">
        <v>43</v>
      </c>
      <c r="D125" s="661"/>
      <c r="E125" s="582"/>
      <c r="F125" s="579"/>
      <c r="G125" s="647">
        <v>65.8</v>
      </c>
    </row>
    <row r="126" spans="1:7" s="600" customFormat="1">
      <c r="A126" s="646">
        <v>121</v>
      </c>
      <c r="B126" s="656" t="s">
        <v>1600</v>
      </c>
      <c r="C126" s="646" t="s">
        <v>109</v>
      </c>
      <c r="D126" s="661"/>
      <c r="E126" s="582"/>
      <c r="F126" s="579"/>
      <c r="G126" s="647">
        <v>92</v>
      </c>
    </row>
    <row r="127" spans="1:7" s="600" customFormat="1">
      <c r="A127" s="646">
        <v>122</v>
      </c>
      <c r="B127" s="655" t="s">
        <v>1601</v>
      </c>
      <c r="C127" s="646"/>
      <c r="D127" s="661"/>
      <c r="E127" s="582"/>
      <c r="F127" s="579"/>
      <c r="G127" s="647"/>
    </row>
    <row r="128" spans="1:7" s="600" customFormat="1">
      <c r="A128" s="646">
        <v>123</v>
      </c>
      <c r="B128" s="656" t="s">
        <v>1602</v>
      </c>
      <c r="C128" s="646" t="s">
        <v>52</v>
      </c>
      <c r="D128" s="661"/>
      <c r="E128" s="582"/>
      <c r="F128" s="579"/>
      <c r="G128" s="647">
        <v>1.2631000000000001</v>
      </c>
    </row>
    <row r="129" spans="1:7" s="600" customFormat="1">
      <c r="A129" s="646">
        <v>124</v>
      </c>
      <c r="B129" s="656" t="s">
        <v>1603</v>
      </c>
      <c r="C129" s="646" t="s">
        <v>86</v>
      </c>
      <c r="D129" s="661"/>
      <c r="E129" s="582"/>
      <c r="F129" s="579"/>
      <c r="G129" s="647">
        <v>0.46970000000000001</v>
      </c>
    </row>
    <row r="130" spans="1:7" s="600" customFormat="1">
      <c r="A130" s="646">
        <v>125</v>
      </c>
      <c r="B130" s="656" t="s">
        <v>1513</v>
      </c>
      <c r="C130" s="646" t="s">
        <v>43</v>
      </c>
      <c r="D130" s="661"/>
      <c r="E130" s="582"/>
      <c r="F130" s="579"/>
      <c r="G130" s="647">
        <v>4.4400000000000004</v>
      </c>
    </row>
    <row r="131" spans="1:7" s="600" customFormat="1">
      <c r="A131" s="646">
        <v>126</v>
      </c>
      <c r="B131" s="656" t="s">
        <v>1604</v>
      </c>
      <c r="C131" s="646" t="s">
        <v>43</v>
      </c>
      <c r="D131" s="661"/>
      <c r="E131" s="582"/>
      <c r="F131" s="579"/>
      <c r="G131" s="647">
        <v>16.3</v>
      </c>
    </row>
    <row r="132" spans="1:7" s="600" customFormat="1" ht="31.5">
      <c r="A132" s="646">
        <v>127</v>
      </c>
      <c r="B132" s="656" t="s">
        <v>1605</v>
      </c>
      <c r="C132" s="646" t="s">
        <v>192</v>
      </c>
      <c r="D132" s="661"/>
      <c r="E132" s="582"/>
      <c r="F132" s="579"/>
      <c r="G132" s="647">
        <v>1.52E-2</v>
      </c>
    </row>
    <row r="133" spans="1:7" s="600" customFormat="1" ht="31.5">
      <c r="A133" s="646">
        <v>128</v>
      </c>
      <c r="B133" s="656" t="s">
        <v>1606</v>
      </c>
      <c r="C133" s="646" t="s">
        <v>192</v>
      </c>
      <c r="D133" s="661"/>
      <c r="E133" s="582"/>
      <c r="F133" s="579"/>
      <c r="G133" s="647">
        <v>1.0851999999999999</v>
      </c>
    </row>
    <row r="134" spans="1:7" s="600" customFormat="1">
      <c r="A134" s="646">
        <v>129</v>
      </c>
      <c r="B134" s="656" t="s">
        <v>1607</v>
      </c>
      <c r="C134" s="646" t="s">
        <v>109</v>
      </c>
      <c r="D134" s="661"/>
      <c r="E134" s="582"/>
      <c r="F134" s="579"/>
      <c r="G134" s="647">
        <v>7.15</v>
      </c>
    </row>
    <row r="135" spans="1:7" s="600" customFormat="1">
      <c r="A135" s="646">
        <v>130</v>
      </c>
      <c r="B135" s="655" t="s">
        <v>1608</v>
      </c>
      <c r="C135" s="646"/>
      <c r="D135" s="661"/>
      <c r="E135" s="582"/>
      <c r="F135" s="579"/>
      <c r="G135" s="647"/>
    </row>
    <row r="136" spans="1:7" s="600" customFormat="1">
      <c r="A136" s="646">
        <v>131</v>
      </c>
      <c r="B136" s="655" t="s">
        <v>1609</v>
      </c>
      <c r="C136" s="646"/>
      <c r="D136" s="661"/>
      <c r="E136" s="582"/>
      <c r="F136" s="579"/>
      <c r="G136" s="647"/>
    </row>
    <row r="137" spans="1:7" s="600" customFormat="1">
      <c r="A137" s="646">
        <v>132</v>
      </c>
      <c r="B137" s="656" t="s">
        <v>1610</v>
      </c>
      <c r="C137" s="646" t="s">
        <v>427</v>
      </c>
      <c r="D137" s="661"/>
      <c r="E137" s="582"/>
      <c r="F137" s="579"/>
      <c r="G137" s="647">
        <v>32</v>
      </c>
    </row>
    <row r="138" spans="1:7" s="600" customFormat="1">
      <c r="A138" s="646">
        <v>133</v>
      </c>
      <c r="B138" s="656" t="s">
        <v>1611</v>
      </c>
      <c r="C138" s="646" t="s">
        <v>43</v>
      </c>
      <c r="D138" s="661"/>
      <c r="E138" s="582"/>
      <c r="F138" s="579"/>
      <c r="G138" s="647">
        <v>0.1043</v>
      </c>
    </row>
    <row r="139" spans="1:7" s="600" customFormat="1">
      <c r="A139" s="646">
        <v>134</v>
      </c>
      <c r="B139" s="656" t="s">
        <v>1612</v>
      </c>
      <c r="C139" s="646" t="s">
        <v>109</v>
      </c>
      <c r="D139" s="661"/>
      <c r="E139" s="582"/>
      <c r="F139" s="579"/>
      <c r="G139" s="647">
        <v>3.4</v>
      </c>
    </row>
    <row r="140" spans="1:7" s="600" customFormat="1">
      <c r="A140" s="646">
        <v>135</v>
      </c>
      <c r="B140" s="655" t="s">
        <v>1613</v>
      </c>
      <c r="C140" s="646"/>
      <c r="D140" s="661"/>
      <c r="E140" s="582"/>
      <c r="F140" s="579"/>
      <c r="G140" s="647"/>
    </row>
    <row r="141" spans="1:7" s="600" customFormat="1" ht="31.5">
      <c r="A141" s="646">
        <v>136</v>
      </c>
      <c r="B141" s="656" t="s">
        <v>1614</v>
      </c>
      <c r="C141" s="646" t="s">
        <v>192</v>
      </c>
      <c r="D141" s="661"/>
      <c r="E141" s="582"/>
      <c r="F141" s="579"/>
      <c r="G141" s="647">
        <v>4.4066999999999998</v>
      </c>
    </row>
    <row r="142" spans="1:7" s="600" customFormat="1" ht="31.5">
      <c r="A142" s="646">
        <v>137</v>
      </c>
      <c r="B142" s="656" t="s">
        <v>1615</v>
      </c>
      <c r="C142" s="646" t="s">
        <v>192</v>
      </c>
      <c r="D142" s="661"/>
      <c r="E142" s="582"/>
      <c r="F142" s="579"/>
      <c r="G142" s="647">
        <v>0.12570000000000001</v>
      </c>
    </row>
    <row r="143" spans="1:7" s="600" customFormat="1">
      <c r="A143" s="646">
        <v>138</v>
      </c>
      <c r="B143" s="656" t="s">
        <v>1616</v>
      </c>
      <c r="C143" s="646" t="s">
        <v>43</v>
      </c>
      <c r="D143" s="661"/>
      <c r="E143" s="582"/>
      <c r="F143" s="579"/>
      <c r="G143" s="647">
        <v>43.88</v>
      </c>
    </row>
    <row r="144" spans="1:7" s="600" customFormat="1">
      <c r="A144" s="646">
        <v>139</v>
      </c>
      <c r="B144" s="656" t="s">
        <v>1617</v>
      </c>
      <c r="C144" s="646" t="s">
        <v>192</v>
      </c>
      <c r="D144" s="661"/>
      <c r="E144" s="582"/>
      <c r="F144" s="579"/>
      <c r="G144" s="647">
        <v>1.8228</v>
      </c>
    </row>
    <row r="145" spans="1:7" s="600" customFormat="1">
      <c r="A145" s="646">
        <v>140</v>
      </c>
      <c r="B145" s="656" t="s">
        <v>1618</v>
      </c>
      <c r="C145" s="646" t="s">
        <v>296</v>
      </c>
      <c r="D145" s="661"/>
      <c r="E145" s="582"/>
      <c r="F145" s="579"/>
      <c r="G145" s="647">
        <v>1.792</v>
      </c>
    </row>
    <row r="146" spans="1:7" s="600" customFormat="1">
      <c r="A146" s="646">
        <v>141</v>
      </c>
      <c r="B146" s="656" t="s">
        <v>1619</v>
      </c>
      <c r="C146" s="646" t="s">
        <v>192</v>
      </c>
      <c r="D146" s="661"/>
      <c r="E146" s="582"/>
      <c r="F146" s="579"/>
      <c r="G146" s="647">
        <v>1.752</v>
      </c>
    </row>
    <row r="147" spans="1:7" s="600" customFormat="1">
      <c r="A147" s="646">
        <v>142</v>
      </c>
      <c r="B147" s="656" t="s">
        <v>1620</v>
      </c>
      <c r="C147" s="646" t="s">
        <v>192</v>
      </c>
      <c r="D147" s="661"/>
      <c r="E147" s="582"/>
      <c r="F147" s="579"/>
      <c r="G147" s="647">
        <v>1.752</v>
      </c>
    </row>
    <row r="148" spans="1:7" s="600" customFormat="1">
      <c r="A148" s="646">
        <v>143</v>
      </c>
      <c r="B148" s="656" t="s">
        <v>1621</v>
      </c>
      <c r="C148" s="646" t="s">
        <v>296</v>
      </c>
      <c r="D148" s="661"/>
      <c r="E148" s="582"/>
      <c r="F148" s="579"/>
      <c r="G148" s="647">
        <v>1.776</v>
      </c>
    </row>
    <row r="149" spans="1:7" s="600" customFormat="1">
      <c r="A149" s="646">
        <v>144</v>
      </c>
      <c r="B149" s="656" t="s">
        <v>1622</v>
      </c>
      <c r="C149" s="646" t="s">
        <v>427</v>
      </c>
      <c r="D149" s="661"/>
      <c r="E149" s="582"/>
      <c r="F149" s="579"/>
      <c r="G149" s="647">
        <v>32</v>
      </c>
    </row>
    <row r="150" spans="1:7" s="600" customFormat="1">
      <c r="A150" s="646">
        <v>145</v>
      </c>
      <c r="B150" s="656" t="s">
        <v>1623</v>
      </c>
      <c r="C150" s="646" t="s">
        <v>109</v>
      </c>
      <c r="D150" s="661"/>
      <c r="E150" s="582"/>
      <c r="F150" s="579"/>
      <c r="G150" s="647">
        <v>226.56720000000001</v>
      </c>
    </row>
    <row r="151" spans="1:7" s="600" customFormat="1">
      <c r="A151" s="646">
        <v>146</v>
      </c>
      <c r="B151" s="656" t="s">
        <v>1624</v>
      </c>
      <c r="C151" s="646" t="s">
        <v>109</v>
      </c>
      <c r="D151" s="661"/>
      <c r="E151" s="582"/>
      <c r="F151" s="579"/>
      <c r="G151" s="647">
        <v>8.81</v>
      </c>
    </row>
    <row r="152" spans="1:7" s="600" customFormat="1">
      <c r="A152" s="646">
        <v>147</v>
      </c>
      <c r="B152" s="656" t="s">
        <v>1625</v>
      </c>
      <c r="C152" s="646" t="s">
        <v>109</v>
      </c>
      <c r="D152" s="661"/>
      <c r="E152" s="582"/>
      <c r="F152" s="579"/>
      <c r="G152" s="647">
        <v>226.56720000000001</v>
      </c>
    </row>
    <row r="153" spans="1:7" s="600" customFormat="1">
      <c r="A153" s="646">
        <v>148</v>
      </c>
      <c r="B153" s="656" t="s">
        <v>1626</v>
      </c>
      <c r="C153" s="646" t="s">
        <v>393</v>
      </c>
      <c r="D153" s="661"/>
      <c r="E153" s="582"/>
      <c r="F153" s="579"/>
      <c r="G153" s="647">
        <v>24.38</v>
      </c>
    </row>
    <row r="154" spans="1:7" s="600" customFormat="1">
      <c r="A154" s="646">
        <v>149</v>
      </c>
      <c r="B154" s="656" t="s">
        <v>1627</v>
      </c>
      <c r="C154" s="646" t="s">
        <v>393</v>
      </c>
      <c r="D154" s="661"/>
      <c r="E154" s="582"/>
      <c r="F154" s="579"/>
      <c r="G154" s="647">
        <v>16.899999999999999</v>
      </c>
    </row>
    <row r="155" spans="1:7" s="600" customFormat="1">
      <c r="A155" s="646">
        <v>150</v>
      </c>
      <c r="B155" s="656" t="s">
        <v>1628</v>
      </c>
      <c r="C155" s="646" t="s">
        <v>43</v>
      </c>
      <c r="D155" s="661"/>
      <c r="E155" s="582"/>
      <c r="F155" s="579"/>
      <c r="G155" s="647">
        <v>0.03</v>
      </c>
    </row>
    <row r="156" spans="1:7" s="600" customFormat="1">
      <c r="A156" s="646">
        <v>151</v>
      </c>
      <c r="B156" s="655" t="s">
        <v>1629</v>
      </c>
      <c r="C156" s="646"/>
      <c r="D156" s="661"/>
      <c r="E156" s="582"/>
      <c r="F156" s="579"/>
      <c r="G156" s="647"/>
    </row>
    <row r="157" spans="1:7" s="600" customFormat="1">
      <c r="A157" s="646">
        <v>152</v>
      </c>
      <c r="B157" s="656" t="s">
        <v>1630</v>
      </c>
      <c r="C157" s="646" t="s">
        <v>1631</v>
      </c>
      <c r="D157" s="661"/>
      <c r="E157" s="582"/>
      <c r="F157" s="579"/>
      <c r="G157" s="647">
        <v>8</v>
      </c>
    </row>
    <row r="158" spans="1:7" s="600" customFormat="1">
      <c r="A158" s="646">
        <v>153</v>
      </c>
      <c r="B158" s="656" t="s">
        <v>1632</v>
      </c>
      <c r="C158" s="646" t="s">
        <v>1631</v>
      </c>
      <c r="D158" s="661"/>
      <c r="E158" s="582"/>
      <c r="F158" s="579"/>
      <c r="G158" s="647">
        <v>8</v>
      </c>
    </row>
    <row r="159" spans="1:7" s="600" customFormat="1" ht="31.5">
      <c r="A159" s="646">
        <v>154</v>
      </c>
      <c r="B159" s="656" t="s">
        <v>1633</v>
      </c>
      <c r="C159" s="646" t="s">
        <v>1634</v>
      </c>
      <c r="D159" s="661"/>
      <c r="E159" s="582"/>
      <c r="F159" s="579"/>
      <c r="G159" s="647">
        <v>8</v>
      </c>
    </row>
    <row r="160" spans="1:7" s="600" customFormat="1" ht="31.5">
      <c r="A160" s="646">
        <v>155</v>
      </c>
      <c r="B160" s="656" t="s">
        <v>1635</v>
      </c>
      <c r="C160" s="646" t="s">
        <v>1631</v>
      </c>
      <c r="D160" s="661"/>
      <c r="E160" s="582"/>
      <c r="F160" s="579"/>
      <c r="G160" s="647">
        <v>8</v>
      </c>
    </row>
    <row r="161" spans="1:7" s="600" customFormat="1">
      <c r="A161" s="646">
        <v>156</v>
      </c>
      <c r="B161" s="656" t="s">
        <v>1636</v>
      </c>
      <c r="C161" s="646" t="s">
        <v>1631</v>
      </c>
      <c r="D161" s="661"/>
      <c r="E161" s="582"/>
      <c r="F161" s="579"/>
      <c r="G161" s="647">
        <v>8</v>
      </c>
    </row>
    <row r="162" spans="1:7" s="600" customFormat="1">
      <c r="A162" s="646">
        <v>157</v>
      </c>
      <c r="B162" s="655" t="s">
        <v>1637</v>
      </c>
      <c r="C162" s="646"/>
      <c r="D162" s="661"/>
      <c r="E162" s="582"/>
      <c r="F162" s="579"/>
      <c r="G162" s="647"/>
    </row>
    <row r="163" spans="1:7" s="600" customFormat="1" ht="31.5">
      <c r="A163" s="646">
        <v>158</v>
      </c>
      <c r="B163" s="656" t="s">
        <v>1638</v>
      </c>
      <c r="C163" s="646" t="s">
        <v>192</v>
      </c>
      <c r="D163" s="661"/>
      <c r="E163" s="582"/>
      <c r="F163" s="579"/>
      <c r="G163" s="647">
        <v>6.1499999999999999E-2</v>
      </c>
    </row>
    <row r="164" spans="1:7" s="600" customFormat="1" ht="31.5">
      <c r="A164" s="646">
        <v>159</v>
      </c>
      <c r="B164" s="656" t="s">
        <v>1639</v>
      </c>
      <c r="C164" s="646" t="s">
        <v>192</v>
      </c>
      <c r="D164" s="661"/>
      <c r="E164" s="582"/>
      <c r="F164" s="579"/>
      <c r="G164" s="647">
        <v>2.8727</v>
      </c>
    </row>
    <row r="165" spans="1:7" s="600" customFormat="1" ht="31.5">
      <c r="A165" s="646">
        <v>160</v>
      </c>
      <c r="B165" s="656" t="s">
        <v>1640</v>
      </c>
      <c r="C165" s="646" t="s">
        <v>43</v>
      </c>
      <c r="D165" s="661"/>
      <c r="E165" s="582"/>
      <c r="F165" s="579"/>
      <c r="G165" s="647">
        <v>18.902999999999999</v>
      </c>
    </row>
    <row r="166" spans="1:7" s="600" customFormat="1" ht="31.5">
      <c r="A166" s="646">
        <v>161</v>
      </c>
      <c r="B166" s="656" t="s">
        <v>1641</v>
      </c>
      <c r="C166" s="646" t="s">
        <v>109</v>
      </c>
      <c r="D166" s="661"/>
      <c r="E166" s="582"/>
      <c r="F166" s="579"/>
      <c r="G166" s="647">
        <v>6.15</v>
      </c>
    </row>
    <row r="167" spans="1:7" s="600" customFormat="1">
      <c r="A167" s="646">
        <v>162</v>
      </c>
      <c r="B167" s="656" t="s">
        <v>1642</v>
      </c>
      <c r="C167" s="646" t="s">
        <v>43</v>
      </c>
      <c r="D167" s="661"/>
      <c r="E167" s="582"/>
      <c r="F167" s="579"/>
      <c r="G167" s="647">
        <v>8.6400000000000005E-2</v>
      </c>
    </row>
    <row r="168" spans="1:7" s="600" customFormat="1">
      <c r="A168" s="646">
        <v>163</v>
      </c>
      <c r="B168" s="655" t="s">
        <v>1643</v>
      </c>
      <c r="C168" s="646"/>
      <c r="D168" s="661"/>
      <c r="E168" s="582"/>
      <c r="F168" s="579"/>
      <c r="G168" s="647"/>
    </row>
    <row r="169" spans="1:7" s="600" customFormat="1" ht="31.5">
      <c r="A169" s="646">
        <v>164</v>
      </c>
      <c r="B169" s="656" t="s">
        <v>1644</v>
      </c>
      <c r="C169" s="646" t="s">
        <v>192</v>
      </c>
      <c r="D169" s="661"/>
      <c r="E169" s="582"/>
      <c r="F169" s="579"/>
      <c r="G169" s="647">
        <v>0.9536</v>
      </c>
    </row>
    <row r="170" spans="1:7" s="600" customFormat="1" ht="31.5">
      <c r="A170" s="646">
        <v>165</v>
      </c>
      <c r="B170" s="656" t="s">
        <v>1645</v>
      </c>
      <c r="C170" s="646" t="s">
        <v>109</v>
      </c>
      <c r="D170" s="661"/>
      <c r="E170" s="582"/>
      <c r="F170" s="579"/>
      <c r="G170" s="647">
        <v>41.271999999999998</v>
      </c>
    </row>
    <row r="171" spans="1:7" s="600" customFormat="1">
      <c r="A171" s="646">
        <v>166</v>
      </c>
      <c r="B171" s="656" t="s">
        <v>1646</v>
      </c>
      <c r="C171" s="646" t="s">
        <v>43</v>
      </c>
      <c r="D171" s="661"/>
      <c r="E171" s="582"/>
      <c r="F171" s="579"/>
      <c r="G171" s="647">
        <v>5.75</v>
      </c>
    </row>
    <row r="172" spans="1:7" s="600" customFormat="1">
      <c r="A172" s="646">
        <v>167</v>
      </c>
      <c r="B172" s="656" t="s">
        <v>1647</v>
      </c>
      <c r="C172" s="646" t="s">
        <v>109</v>
      </c>
      <c r="D172" s="661"/>
      <c r="E172" s="582"/>
      <c r="F172" s="579"/>
      <c r="G172" s="647">
        <v>25.2</v>
      </c>
    </row>
    <row r="173" spans="1:7" s="600" customFormat="1">
      <c r="A173" s="646">
        <v>168</v>
      </c>
      <c r="B173" s="655" t="s">
        <v>1648</v>
      </c>
      <c r="C173" s="646"/>
      <c r="D173" s="661"/>
      <c r="E173" s="582"/>
      <c r="F173" s="579"/>
      <c r="G173" s="647"/>
    </row>
    <row r="174" spans="1:7" s="600" customFormat="1">
      <c r="A174" s="646">
        <v>169</v>
      </c>
      <c r="B174" s="656" t="s">
        <v>1649</v>
      </c>
      <c r="C174" s="646" t="s">
        <v>192</v>
      </c>
      <c r="D174" s="661"/>
      <c r="E174" s="582"/>
      <c r="F174" s="579"/>
      <c r="G174" s="647">
        <v>2.2789999999999999</v>
      </c>
    </row>
    <row r="175" spans="1:7" s="600" customFormat="1">
      <c r="A175" s="646">
        <v>170</v>
      </c>
      <c r="B175" s="656" t="s">
        <v>1650</v>
      </c>
      <c r="C175" s="646" t="s">
        <v>192</v>
      </c>
      <c r="D175" s="661"/>
      <c r="E175" s="582"/>
      <c r="F175" s="579"/>
      <c r="G175" s="647">
        <v>2.2789999999999999</v>
      </c>
    </row>
    <row r="176" spans="1:7" s="600" customFormat="1">
      <c r="A176" s="646">
        <v>171</v>
      </c>
      <c r="B176" s="656" t="s">
        <v>1651</v>
      </c>
      <c r="C176" s="646" t="s">
        <v>393</v>
      </c>
      <c r="D176" s="661"/>
      <c r="E176" s="582"/>
      <c r="F176" s="579"/>
      <c r="G176" s="647">
        <v>2279</v>
      </c>
    </row>
    <row r="177" spans="1:7" s="600" customFormat="1">
      <c r="A177" s="646">
        <v>172</v>
      </c>
      <c r="B177" s="656" t="s">
        <v>1652</v>
      </c>
      <c r="C177" s="646" t="s">
        <v>1409</v>
      </c>
      <c r="D177" s="661"/>
      <c r="E177" s="582"/>
      <c r="F177" s="579"/>
      <c r="G177" s="647">
        <v>28</v>
      </c>
    </row>
    <row r="178" spans="1:7" s="600" customFormat="1">
      <c r="A178" s="646">
        <v>173</v>
      </c>
      <c r="B178" s="655" t="s">
        <v>1653</v>
      </c>
      <c r="C178" s="646"/>
      <c r="D178" s="661"/>
      <c r="E178" s="582"/>
      <c r="F178" s="579"/>
      <c r="G178" s="647"/>
    </row>
    <row r="179" spans="1:7" s="600" customFormat="1">
      <c r="A179" s="646">
        <v>174</v>
      </c>
      <c r="B179" s="656" t="s">
        <v>1654</v>
      </c>
      <c r="C179" s="646" t="s">
        <v>192</v>
      </c>
      <c r="D179" s="661"/>
      <c r="E179" s="582"/>
      <c r="F179" s="579"/>
      <c r="G179" s="647">
        <v>0.40339999999999998</v>
      </c>
    </row>
    <row r="180" spans="1:7" s="600" customFormat="1">
      <c r="A180" s="646">
        <v>175</v>
      </c>
      <c r="B180" s="656" t="s">
        <v>1655</v>
      </c>
      <c r="C180" s="646" t="s">
        <v>116</v>
      </c>
      <c r="D180" s="661"/>
      <c r="E180" s="582"/>
      <c r="F180" s="579"/>
      <c r="G180" s="647">
        <v>12</v>
      </c>
    </row>
    <row r="181" spans="1:7" s="600" customFormat="1">
      <c r="A181" s="646">
        <v>176</v>
      </c>
      <c r="B181" s="656" t="s">
        <v>1656</v>
      </c>
      <c r="C181" s="646" t="s">
        <v>43</v>
      </c>
      <c r="D181" s="661"/>
      <c r="E181" s="582"/>
      <c r="F181" s="579"/>
      <c r="G181" s="647">
        <v>2.29</v>
      </c>
    </row>
    <row r="182" spans="1:7" s="600" customFormat="1">
      <c r="A182" s="646">
        <v>177</v>
      </c>
      <c r="B182" s="656" t="s">
        <v>1657</v>
      </c>
      <c r="C182" s="646" t="s">
        <v>192</v>
      </c>
      <c r="D182" s="661"/>
      <c r="E182" s="582"/>
      <c r="F182" s="579"/>
      <c r="G182" s="647">
        <v>0.1426</v>
      </c>
    </row>
    <row r="183" spans="1:7" s="600" customFormat="1">
      <c r="A183" s="646">
        <v>178</v>
      </c>
      <c r="B183" s="656" t="s">
        <v>1651</v>
      </c>
      <c r="C183" s="646" t="s">
        <v>393</v>
      </c>
      <c r="D183" s="661"/>
      <c r="E183" s="582"/>
      <c r="F183" s="579"/>
      <c r="G183" s="647">
        <v>142.63</v>
      </c>
    </row>
    <row r="184" spans="1:7" s="600" customFormat="1">
      <c r="A184" s="646">
        <v>179</v>
      </c>
      <c r="B184" s="656" t="s">
        <v>1658</v>
      </c>
      <c r="C184" s="646" t="s">
        <v>427</v>
      </c>
      <c r="D184" s="661"/>
      <c r="E184" s="582"/>
      <c r="F184" s="579"/>
      <c r="G184" s="648">
        <v>64</v>
      </c>
    </row>
    <row r="185" spans="1:7" s="600" customFormat="1">
      <c r="A185" s="646">
        <v>180</v>
      </c>
      <c r="B185" s="656" t="s">
        <v>1659</v>
      </c>
      <c r="C185" s="646" t="s">
        <v>427</v>
      </c>
      <c r="D185" s="661"/>
      <c r="E185" s="582"/>
      <c r="F185" s="579"/>
      <c r="G185" s="647">
        <v>64</v>
      </c>
    </row>
    <row r="186" spans="1:7" s="600" customFormat="1">
      <c r="A186" s="646">
        <v>181</v>
      </c>
      <c r="B186" s="656" t="s">
        <v>1660</v>
      </c>
      <c r="C186" s="646" t="s">
        <v>393</v>
      </c>
      <c r="D186" s="661"/>
      <c r="E186" s="582"/>
      <c r="F186" s="579"/>
      <c r="G186" s="647">
        <v>99.11</v>
      </c>
    </row>
    <row r="187" spans="1:7" s="600" customFormat="1">
      <c r="A187" s="646">
        <v>182</v>
      </c>
      <c r="B187" s="656" t="s">
        <v>1661</v>
      </c>
      <c r="C187" s="646" t="s">
        <v>296</v>
      </c>
      <c r="D187" s="661"/>
      <c r="E187" s="582"/>
      <c r="F187" s="579"/>
      <c r="G187" s="647">
        <v>1.2E-2</v>
      </c>
    </row>
    <row r="188" spans="1:7" s="600" customFormat="1">
      <c r="A188" s="646">
        <v>183</v>
      </c>
      <c r="B188" s="655" t="s">
        <v>1662</v>
      </c>
      <c r="C188" s="646"/>
      <c r="D188" s="661"/>
      <c r="E188" s="582"/>
      <c r="F188" s="579"/>
      <c r="G188" s="647"/>
    </row>
    <row r="189" spans="1:7" s="600" customFormat="1">
      <c r="A189" s="646">
        <v>184</v>
      </c>
      <c r="B189" s="656" t="s">
        <v>1663</v>
      </c>
      <c r="C189" s="646" t="s">
        <v>109</v>
      </c>
      <c r="D189" s="661"/>
      <c r="E189" s="582"/>
      <c r="F189" s="579"/>
      <c r="G189" s="647">
        <v>66</v>
      </c>
    </row>
    <row r="190" spans="1:7" s="600" customFormat="1" ht="31.5">
      <c r="A190" s="646">
        <v>185</v>
      </c>
      <c r="B190" s="656" t="s">
        <v>1664</v>
      </c>
      <c r="C190" s="646" t="s">
        <v>86</v>
      </c>
      <c r="D190" s="661"/>
      <c r="E190" s="582"/>
      <c r="F190" s="579"/>
      <c r="G190" s="647">
        <v>0.66</v>
      </c>
    </row>
    <row r="191" spans="1:7" s="600" customFormat="1" ht="31.5">
      <c r="A191" s="646">
        <v>186</v>
      </c>
      <c r="B191" s="656" t="s">
        <v>1665</v>
      </c>
      <c r="C191" s="646" t="s">
        <v>86</v>
      </c>
      <c r="D191" s="661"/>
      <c r="E191" s="582"/>
      <c r="F191" s="579"/>
      <c r="G191" s="647">
        <v>0.66</v>
      </c>
    </row>
    <row r="192" spans="1:7" s="600" customFormat="1">
      <c r="A192" s="646">
        <v>187</v>
      </c>
      <c r="B192" s="656" t="s">
        <v>1666</v>
      </c>
      <c r="C192" s="646" t="s">
        <v>52</v>
      </c>
      <c r="D192" s="661"/>
      <c r="E192" s="582"/>
      <c r="F192" s="579"/>
      <c r="G192" s="647">
        <v>5.91E-2</v>
      </c>
    </row>
    <row r="193" spans="1:7" s="600" customFormat="1">
      <c r="A193" s="646">
        <v>188</v>
      </c>
      <c r="B193" s="656" t="s">
        <v>1667</v>
      </c>
      <c r="C193" s="646" t="s">
        <v>109</v>
      </c>
      <c r="D193" s="661"/>
      <c r="E193" s="582"/>
      <c r="F193" s="579"/>
      <c r="G193" s="647">
        <v>6.6</v>
      </c>
    </row>
    <row r="194" spans="1:7" s="600" customFormat="1">
      <c r="A194" s="646">
        <v>189</v>
      </c>
      <c r="B194" s="656" t="s">
        <v>1668</v>
      </c>
      <c r="C194" s="646" t="s">
        <v>109</v>
      </c>
      <c r="D194" s="661"/>
      <c r="E194" s="582"/>
      <c r="F194" s="580">
        <f>403.85*0.25/100</f>
        <v>1.009625</v>
      </c>
      <c r="G194" s="647">
        <v>6.6</v>
      </c>
    </row>
    <row r="195" spans="1:7" s="600" customFormat="1">
      <c r="A195" s="646">
        <v>190</v>
      </c>
      <c r="B195" s="655" t="s">
        <v>1669</v>
      </c>
      <c r="C195" s="646"/>
      <c r="D195" s="661"/>
      <c r="E195" s="582"/>
      <c r="F195" s="579">
        <f>403.85*0.15/100</f>
        <v>0.60577499999999995</v>
      </c>
      <c r="G195" s="647"/>
    </row>
    <row r="196" spans="1:7" s="600" customFormat="1">
      <c r="A196" s="646">
        <v>191</v>
      </c>
      <c r="B196" s="656" t="s">
        <v>1670</v>
      </c>
      <c r="C196" s="646" t="s">
        <v>393</v>
      </c>
      <c r="D196" s="661"/>
      <c r="E196" s="635"/>
      <c r="F196" s="579">
        <f>403.85/100-76*0.3/100</f>
        <v>3.8104999999999998</v>
      </c>
      <c r="G196" s="647">
        <v>99.4</v>
      </c>
    </row>
    <row r="197" spans="1:7" s="600" customFormat="1">
      <c r="A197" s="646">
        <v>192</v>
      </c>
      <c r="B197" s="656" t="s">
        <v>1671</v>
      </c>
      <c r="C197" s="646" t="s">
        <v>296</v>
      </c>
      <c r="D197" s="661"/>
      <c r="E197" s="635"/>
      <c r="F197" s="579">
        <f>F196</f>
        <v>3.8104999999999998</v>
      </c>
      <c r="G197" s="647">
        <v>5.5E-2</v>
      </c>
    </row>
    <row r="198" spans="1:7" s="600" customFormat="1">
      <c r="A198" s="646">
        <v>193</v>
      </c>
      <c r="B198" s="656" t="s">
        <v>1672</v>
      </c>
      <c r="C198" s="646" t="s">
        <v>427</v>
      </c>
      <c r="D198" s="661"/>
      <c r="E198" s="636"/>
      <c r="F198" s="582">
        <f>125*0.24/100+38*8*0.2/100</f>
        <v>0.90800000000000014</v>
      </c>
      <c r="G198" s="647">
        <v>4</v>
      </c>
    </row>
    <row r="199" spans="1:7" s="600" customFormat="1">
      <c r="A199" s="646">
        <v>194</v>
      </c>
      <c r="B199" s="656" t="s">
        <v>1673</v>
      </c>
      <c r="C199" s="646" t="s">
        <v>427</v>
      </c>
      <c r="D199" s="661"/>
      <c r="E199" s="582"/>
      <c r="F199" s="582">
        <f>125*0.02+38*8*0.009</f>
        <v>5.2359999999999998</v>
      </c>
      <c r="G199" s="647">
        <v>4</v>
      </c>
    </row>
    <row r="200" spans="1:7" s="600" customFormat="1">
      <c r="A200" s="646">
        <v>195</v>
      </c>
      <c r="B200" s="656" t="s">
        <v>1674</v>
      </c>
      <c r="C200" s="646" t="s">
        <v>427</v>
      </c>
      <c r="D200" s="661"/>
      <c r="E200" s="582"/>
      <c r="F200" s="582">
        <f>(358*0.4+125*0.2+358*0.3)*0.1+38*(1.2+1)*2*0.15*0.05</f>
        <v>28.814000000000004</v>
      </c>
      <c r="G200" s="647">
        <v>16</v>
      </c>
    </row>
    <row r="201" spans="1:7" s="600" customFormat="1">
      <c r="A201" s="646">
        <v>196</v>
      </c>
      <c r="B201" s="655" t="s">
        <v>1675</v>
      </c>
      <c r="C201" s="646"/>
      <c r="D201" s="661"/>
      <c r="E201" s="582"/>
      <c r="F201" s="582">
        <f xml:space="preserve"> 125*0.1+38*(1.2+1)*2*0.1</f>
        <v>29.220000000000002</v>
      </c>
      <c r="G201" s="647"/>
    </row>
    <row r="202" spans="1:7" s="600" customFormat="1">
      <c r="A202" s="646">
        <v>197</v>
      </c>
      <c r="B202" s="656" t="s">
        <v>1532</v>
      </c>
      <c r="C202" s="646" t="s">
        <v>43</v>
      </c>
      <c r="D202" s="661"/>
      <c r="E202" s="582"/>
      <c r="F202" s="582">
        <v>358</v>
      </c>
      <c r="G202" s="647">
        <v>0.93600000000000005</v>
      </c>
    </row>
    <row r="203" spans="1:7" s="600" customFormat="1">
      <c r="A203" s="646">
        <v>198</v>
      </c>
      <c r="B203" s="656" t="s">
        <v>1676</v>
      </c>
      <c r="C203" s="646" t="s">
        <v>43</v>
      </c>
      <c r="D203" s="661"/>
      <c r="E203" s="582"/>
      <c r="F203" s="582">
        <v>125</v>
      </c>
      <c r="G203" s="647">
        <v>7.1999999999999995E-2</v>
      </c>
    </row>
    <row r="204" spans="1:7" s="600" customFormat="1">
      <c r="A204" s="646">
        <v>199</v>
      </c>
      <c r="B204" s="656" t="s">
        <v>1677</v>
      </c>
      <c r="C204" s="646" t="s">
        <v>43</v>
      </c>
      <c r="D204" s="661"/>
      <c r="E204" s="635"/>
      <c r="F204" s="582">
        <f>38*8</f>
        <v>304</v>
      </c>
      <c r="G204" s="647">
        <v>0.4</v>
      </c>
    </row>
    <row r="205" spans="1:7" s="600" customFormat="1">
      <c r="A205" s="646">
        <v>200</v>
      </c>
      <c r="B205" s="656" t="s">
        <v>1678</v>
      </c>
      <c r="C205" s="646" t="s">
        <v>86</v>
      </c>
      <c r="D205" s="661"/>
      <c r="E205" s="582"/>
      <c r="F205" s="582">
        <f>358*0.3</f>
        <v>107.39999999999999</v>
      </c>
      <c r="G205" s="647">
        <v>4.3200000000000002E-2</v>
      </c>
    </row>
    <row r="206" spans="1:7" s="597" customFormat="1" ht="31.5">
      <c r="A206" s="646">
        <v>201</v>
      </c>
      <c r="B206" s="656" t="s">
        <v>1679</v>
      </c>
      <c r="C206" s="646" t="s">
        <v>427</v>
      </c>
      <c r="D206" s="593"/>
      <c r="E206" s="621"/>
      <c r="F206" s="621">
        <f>(1387.61+1929.21-358*0.35-125*0.1-38*1.2*1.2)*0.1</f>
        <v>312.43</v>
      </c>
      <c r="G206" s="647">
        <v>2</v>
      </c>
    </row>
    <row r="207" spans="1:7" s="597" customFormat="1">
      <c r="A207" s="646">
        <v>202</v>
      </c>
      <c r="B207" s="656" t="s">
        <v>1680</v>
      </c>
      <c r="C207" s="646" t="s">
        <v>116</v>
      </c>
      <c r="D207" s="593"/>
      <c r="E207" s="621"/>
      <c r="F207" s="621">
        <f>F206*10</f>
        <v>3124.3</v>
      </c>
      <c r="G207" s="647">
        <v>69.12</v>
      </c>
    </row>
    <row r="208" spans="1:7" s="597" customFormat="1">
      <c r="A208" s="646">
        <v>203</v>
      </c>
      <c r="B208" s="656" t="s">
        <v>1681</v>
      </c>
      <c r="C208" s="646" t="s">
        <v>427</v>
      </c>
      <c r="D208" s="593"/>
      <c r="E208" s="621"/>
      <c r="F208" s="621">
        <f>576*0.15*0.05</f>
        <v>4.3199999999999994</v>
      </c>
      <c r="G208" s="651">
        <v>2</v>
      </c>
    </row>
    <row r="209" spans="1:7" s="602" customFormat="1">
      <c r="A209" s="644" t="s">
        <v>1254</v>
      </c>
      <c r="B209" s="657" t="s">
        <v>1698</v>
      </c>
      <c r="C209" s="657"/>
      <c r="D209" s="662"/>
      <c r="E209" s="621"/>
      <c r="F209" s="621">
        <f>576*0.11*0.2</f>
        <v>12.672000000000001</v>
      </c>
      <c r="G209" s="660"/>
    </row>
    <row r="210" spans="1:7" s="602" customFormat="1">
      <c r="A210" s="645" t="s">
        <v>364</v>
      </c>
      <c r="B210" s="655" t="s">
        <v>1550</v>
      </c>
      <c r="C210" s="645"/>
      <c r="D210" s="662"/>
      <c r="E210" s="621"/>
      <c r="F210" s="621">
        <f>576*(0.15*2+0.11)</f>
        <v>236.16</v>
      </c>
      <c r="G210" s="652"/>
    </row>
    <row r="211" spans="1:7" s="602" customFormat="1">
      <c r="A211" s="646">
        <v>1</v>
      </c>
      <c r="B211" s="656" t="s">
        <v>1682</v>
      </c>
      <c r="C211" s="646" t="s">
        <v>43</v>
      </c>
      <c r="D211" s="662"/>
      <c r="E211" s="635"/>
      <c r="F211" s="635">
        <f>576*0.15*2</f>
        <v>172.79999999999998</v>
      </c>
      <c r="G211" s="647">
        <v>12.6</v>
      </c>
    </row>
    <row r="212" spans="1:7" s="602" customFormat="1">
      <c r="A212" s="646">
        <v>2</v>
      </c>
      <c r="B212" s="655" t="s">
        <v>1571</v>
      </c>
      <c r="C212" s="646"/>
      <c r="D212" s="662"/>
      <c r="E212" s="582"/>
      <c r="F212" s="622"/>
      <c r="G212" s="647"/>
    </row>
    <row r="213" spans="1:7" s="602" customFormat="1" ht="31.5">
      <c r="A213" s="646">
        <v>3</v>
      </c>
      <c r="B213" s="656" t="s">
        <v>1683</v>
      </c>
      <c r="C213" s="646" t="s">
        <v>1684</v>
      </c>
      <c r="D213" s="662"/>
      <c r="E213" s="635"/>
      <c r="F213" s="639"/>
      <c r="G213" s="647">
        <v>2</v>
      </c>
    </row>
    <row r="214" spans="1:7" s="602" customFormat="1">
      <c r="A214" s="646">
        <v>4</v>
      </c>
      <c r="B214" s="655" t="s">
        <v>1583</v>
      </c>
      <c r="C214" s="646"/>
      <c r="D214" s="662"/>
      <c r="E214" s="635"/>
      <c r="F214" s="639"/>
      <c r="G214" s="647"/>
    </row>
    <row r="215" spans="1:7" s="602" customFormat="1">
      <c r="A215" s="646">
        <v>5</v>
      </c>
      <c r="B215" s="656" t="s">
        <v>1685</v>
      </c>
      <c r="C215" s="646" t="s">
        <v>116</v>
      </c>
      <c r="D215" s="662"/>
      <c r="E215" s="635"/>
      <c r="F215" s="639"/>
      <c r="G215" s="647">
        <v>321.89999999999998</v>
      </c>
    </row>
    <row r="216" spans="1:7" s="602" customFormat="1">
      <c r="A216" s="646">
        <v>6</v>
      </c>
      <c r="B216" s="656" t="s">
        <v>1579</v>
      </c>
      <c r="C216" s="646" t="s">
        <v>296</v>
      </c>
      <c r="D216" s="662"/>
      <c r="E216" s="635"/>
      <c r="F216" s="622"/>
      <c r="G216" s="647">
        <v>6.3491999999999997</v>
      </c>
    </row>
    <row r="217" spans="1:7" s="602" customFormat="1" ht="31.5">
      <c r="A217" s="646">
        <v>7</v>
      </c>
      <c r="B217" s="656" t="s">
        <v>1686</v>
      </c>
      <c r="C217" s="646" t="s">
        <v>43</v>
      </c>
      <c r="D217" s="662"/>
      <c r="E217" s="638"/>
      <c r="F217" s="622"/>
      <c r="G217" s="647">
        <v>157.28110000000001</v>
      </c>
    </row>
    <row r="218" spans="1:7" s="602" customFormat="1">
      <c r="A218" s="585"/>
      <c r="B218" s="581"/>
      <c r="C218" s="586"/>
      <c r="D218" s="445"/>
      <c r="E218" s="582"/>
      <c r="F218" s="622"/>
    </row>
    <row r="219" spans="1:7" s="602" customFormat="1">
      <c r="A219" s="585"/>
      <c r="B219" s="581"/>
      <c r="C219" s="586"/>
      <c r="D219" s="445"/>
      <c r="E219" s="582"/>
      <c r="F219" s="622"/>
    </row>
    <row r="220" spans="1:7" s="602" customFormat="1">
      <c r="A220" s="632"/>
      <c r="B220" s="633"/>
      <c r="C220" s="634"/>
      <c r="D220" s="637"/>
      <c r="E220" s="635"/>
      <c r="F220" s="582">
        <v>21</v>
      </c>
    </row>
    <row r="221" spans="1:7" s="602" customFormat="1">
      <c r="A221" s="632"/>
      <c r="B221" s="633"/>
      <c r="C221" s="634"/>
      <c r="D221" s="637"/>
      <c r="E221" s="635"/>
      <c r="F221" s="582">
        <f>347/100</f>
        <v>3.47</v>
      </c>
    </row>
    <row r="222" spans="1:7" s="602" customFormat="1">
      <c r="A222" s="632"/>
      <c r="B222" s="633"/>
      <c r="C222" s="634"/>
      <c r="D222" s="637"/>
      <c r="E222" s="635"/>
      <c r="F222" s="582">
        <v>8</v>
      </c>
    </row>
    <row r="223" spans="1:7" s="602" customFormat="1">
      <c r="A223" s="632"/>
      <c r="B223" s="633"/>
      <c r="C223" s="634"/>
      <c r="D223" s="637"/>
      <c r="E223" s="635"/>
      <c r="F223" s="582">
        <v>12</v>
      </c>
    </row>
    <row r="224" spans="1:7" s="602" customFormat="1">
      <c r="A224" s="632"/>
      <c r="B224" s="633"/>
      <c r="C224" s="634"/>
      <c r="D224" s="637"/>
      <c r="E224" s="635"/>
      <c r="F224" s="582">
        <v>9</v>
      </c>
    </row>
    <row r="225" spans="1:6" s="602" customFormat="1">
      <c r="A225" s="632"/>
      <c r="B225" s="633"/>
      <c r="C225" s="634"/>
      <c r="D225" s="637"/>
      <c r="E225" s="635"/>
      <c r="F225" s="582">
        <v>33</v>
      </c>
    </row>
    <row r="226" spans="1:6" s="602" customFormat="1">
      <c r="A226" s="632"/>
      <c r="B226" s="633"/>
      <c r="C226" s="634"/>
      <c r="D226" s="637"/>
      <c r="E226" s="635"/>
      <c r="F226" s="582">
        <v>8</v>
      </c>
    </row>
    <row r="227" spans="1:6" s="602" customFormat="1">
      <c r="A227" s="640"/>
      <c r="B227" s="641"/>
      <c r="C227" s="634"/>
      <c r="D227" s="637"/>
      <c r="E227" s="635"/>
      <c r="F227" s="622"/>
    </row>
    <row r="228" spans="1:6" s="602" customFormat="1">
      <c r="A228" s="632"/>
      <c r="B228" s="633"/>
      <c r="C228" s="634"/>
      <c r="D228" s="637"/>
      <c r="E228" s="635"/>
      <c r="F228" s="622"/>
    </row>
    <row r="229" spans="1:6" s="602" customFormat="1">
      <c r="A229" s="587"/>
      <c r="B229" s="584"/>
      <c r="C229" s="586"/>
      <c r="D229" s="445"/>
      <c r="E229" s="582"/>
      <c r="F229" s="622"/>
    </row>
    <row r="230" spans="1:6" s="602" customFormat="1">
      <c r="A230" s="585"/>
      <c r="B230" s="588"/>
      <c r="C230" s="586"/>
      <c r="D230" s="445"/>
      <c r="E230" s="582"/>
      <c r="F230" s="622"/>
    </row>
    <row r="231" spans="1:6" s="602" customFormat="1">
      <c r="A231" s="585"/>
      <c r="B231" s="581"/>
      <c r="C231" s="586"/>
      <c r="D231" s="623"/>
      <c r="E231" s="582"/>
      <c r="F231" s="582">
        <v>13.417999999999999</v>
      </c>
    </row>
    <row r="232" spans="1:6" s="602" customFormat="1">
      <c r="A232" s="585"/>
      <c r="B232" s="581"/>
      <c r="C232" s="586"/>
      <c r="D232" s="623"/>
      <c r="E232" s="582"/>
      <c r="F232" s="582">
        <v>0.78800000000000003</v>
      </c>
    </row>
    <row r="233" spans="1:6" s="602" customFormat="1">
      <c r="A233" s="585"/>
      <c r="B233" s="581"/>
      <c r="C233" s="586"/>
      <c r="D233" s="623"/>
      <c r="E233" s="582"/>
      <c r="F233" s="582">
        <v>0.03</v>
      </c>
    </row>
    <row r="234" spans="1:6" s="602" customFormat="1">
      <c r="A234" s="585"/>
      <c r="B234" s="581"/>
      <c r="C234" s="586"/>
      <c r="D234" s="623"/>
      <c r="E234" s="582"/>
      <c r="F234" s="582">
        <v>1.393</v>
      </c>
    </row>
    <row r="235" spans="1:6" s="602" customFormat="1">
      <c r="A235" s="585"/>
      <c r="B235" s="581"/>
      <c r="C235" s="586"/>
      <c r="D235" s="623"/>
      <c r="E235" s="582"/>
      <c r="F235" s="582">
        <v>3.246</v>
      </c>
    </row>
    <row r="236" spans="1:6" s="602" customFormat="1">
      <c r="A236" s="585"/>
      <c r="B236" s="581"/>
      <c r="C236" s="586"/>
      <c r="D236" s="623"/>
      <c r="E236" s="582"/>
      <c r="F236" s="582">
        <v>4.5999999999999999E-2</v>
      </c>
    </row>
    <row r="237" spans="1:6" s="602" customFormat="1">
      <c r="A237" s="585"/>
      <c r="B237" s="581"/>
      <c r="C237" s="586"/>
      <c r="D237" s="623"/>
      <c r="E237" s="582"/>
      <c r="F237" s="582">
        <v>4.2999999999999997E-2</v>
      </c>
    </row>
    <row r="238" spans="1:6" s="602" customFormat="1">
      <c r="A238" s="585"/>
      <c r="B238" s="581"/>
      <c r="C238" s="586"/>
      <c r="D238" s="623"/>
      <c r="E238" s="582"/>
      <c r="F238" s="582">
        <v>0.32600000000000001</v>
      </c>
    </row>
    <row r="239" spans="1:6" s="602" customFormat="1">
      <c r="A239" s="585"/>
      <c r="B239" s="581"/>
      <c r="C239" s="586"/>
      <c r="D239" s="623"/>
      <c r="E239" s="582"/>
      <c r="F239" s="582">
        <v>1.7999999999999999E-2</v>
      </c>
    </row>
    <row r="240" spans="1:6" s="602" customFormat="1">
      <c r="A240" s="585"/>
      <c r="B240" s="581"/>
      <c r="C240" s="586"/>
      <c r="D240" s="445"/>
      <c r="E240" s="582"/>
      <c r="F240" s="582">
        <v>6.9000000000000006E-2</v>
      </c>
    </row>
    <row r="241" spans="1:6" s="602" customFormat="1">
      <c r="A241" s="585"/>
      <c r="B241" s="581"/>
      <c r="C241" s="586"/>
      <c r="D241" s="623"/>
      <c r="E241" s="582"/>
      <c r="F241" s="582">
        <v>0.39200000000000002</v>
      </c>
    </row>
    <row r="242" spans="1:6" s="602" customFormat="1">
      <c r="A242" s="585"/>
      <c r="B242" s="581"/>
      <c r="C242" s="586"/>
      <c r="D242" s="445"/>
      <c r="E242" s="582"/>
      <c r="F242" s="582">
        <v>5</v>
      </c>
    </row>
    <row r="243" spans="1:6" s="602" customFormat="1">
      <c r="A243" s="585"/>
      <c r="B243" s="581"/>
      <c r="C243" s="586"/>
      <c r="D243" s="623"/>
      <c r="E243" s="582"/>
      <c r="F243" s="582">
        <v>8.9860000000000007</v>
      </c>
    </row>
    <row r="244" spans="1:6" s="602" customFormat="1">
      <c r="A244" s="585"/>
      <c r="B244" s="581"/>
      <c r="C244" s="586"/>
      <c r="D244" s="623"/>
      <c r="E244" s="582"/>
      <c r="F244" s="582">
        <v>5.2999999999999999E-2</v>
      </c>
    </row>
    <row r="245" spans="1:6" s="602" customFormat="1">
      <c r="A245" s="632"/>
      <c r="B245" s="633"/>
      <c r="C245" s="634"/>
      <c r="D245" s="637"/>
      <c r="E245" s="635"/>
      <c r="F245" s="635">
        <v>2</v>
      </c>
    </row>
    <row r="246" spans="1:6" s="602" customFormat="1">
      <c r="A246" s="632"/>
      <c r="B246" s="633"/>
      <c r="C246" s="634"/>
      <c r="D246" s="637"/>
      <c r="E246" s="635"/>
      <c r="F246" s="635">
        <v>1</v>
      </c>
    </row>
    <row r="247" spans="1:6" s="602" customFormat="1">
      <c r="A247" s="585"/>
      <c r="B247" s="581"/>
      <c r="C247" s="586"/>
      <c r="D247" s="445"/>
      <c r="E247" s="582"/>
      <c r="F247" s="582">
        <v>2</v>
      </c>
    </row>
    <row r="248" spans="1:6" s="602" customFormat="1">
      <c r="A248" s="632"/>
      <c r="B248" s="633"/>
      <c r="C248" s="634"/>
      <c r="D248" s="637"/>
      <c r="E248" s="635"/>
      <c r="F248" s="635">
        <v>1</v>
      </c>
    </row>
    <row r="249" spans="1:6" s="602" customFormat="1">
      <c r="A249" s="585"/>
      <c r="B249" s="581"/>
      <c r="C249" s="586"/>
      <c r="D249" s="445"/>
      <c r="E249" s="582"/>
      <c r="F249" s="582">
        <v>1</v>
      </c>
    </row>
    <row r="250" spans="1:6" s="602" customFormat="1">
      <c r="A250" s="585"/>
      <c r="B250" s="581"/>
      <c r="C250" s="586"/>
      <c r="D250" s="445"/>
      <c r="E250" s="582"/>
      <c r="F250" s="582">
        <v>2</v>
      </c>
    </row>
    <row r="251" spans="1:6" s="602" customFormat="1">
      <c r="A251" s="585"/>
      <c r="B251" s="581"/>
      <c r="C251" s="586"/>
      <c r="D251" s="445"/>
      <c r="E251" s="582"/>
      <c r="F251" s="582">
        <v>2</v>
      </c>
    </row>
    <row r="252" spans="1:6" s="602" customFormat="1">
      <c r="A252" s="585"/>
      <c r="B252" s="581"/>
      <c r="C252" s="586"/>
      <c r="D252" s="445"/>
      <c r="E252" s="582"/>
      <c r="F252" s="582">
        <v>0.02</v>
      </c>
    </row>
    <row r="253" spans="1:6" s="602" customFormat="1">
      <c r="A253" s="585"/>
      <c r="B253" s="581"/>
      <c r="C253" s="586"/>
      <c r="D253" s="445"/>
      <c r="E253" s="582"/>
      <c r="F253" s="582">
        <v>2</v>
      </c>
    </row>
    <row r="254" spans="1:6" s="602" customFormat="1">
      <c r="A254" s="585"/>
      <c r="B254" s="581"/>
      <c r="C254" s="586"/>
      <c r="D254" s="445"/>
      <c r="E254" s="582"/>
      <c r="F254" s="582">
        <v>1</v>
      </c>
    </row>
    <row r="255" spans="1:6" s="602" customFormat="1">
      <c r="A255" s="585"/>
      <c r="B255" s="581"/>
      <c r="C255" s="586"/>
      <c r="D255" s="445"/>
      <c r="E255" s="582"/>
      <c r="F255" s="582">
        <v>1</v>
      </c>
    </row>
    <row r="256" spans="1:6" s="602" customFormat="1">
      <c r="A256" s="585"/>
      <c r="B256" s="581"/>
      <c r="C256" s="586"/>
      <c r="D256" s="445"/>
      <c r="E256" s="582"/>
      <c r="F256" s="582">
        <v>1</v>
      </c>
    </row>
    <row r="257" spans="1:6" s="602" customFormat="1">
      <c r="A257" s="585"/>
      <c r="B257" s="581"/>
      <c r="C257" s="586"/>
      <c r="D257" s="445"/>
      <c r="E257" s="582"/>
      <c r="F257" s="582">
        <v>1</v>
      </c>
    </row>
    <row r="258" spans="1:6" s="602" customFormat="1">
      <c r="A258" s="585"/>
      <c r="B258" s="581"/>
      <c r="C258" s="586"/>
      <c r="D258" s="445"/>
      <c r="E258" s="582"/>
      <c r="F258" s="582">
        <v>2</v>
      </c>
    </row>
    <row r="259" spans="1:6" s="602" customFormat="1">
      <c r="A259" s="585"/>
      <c r="B259" s="581"/>
      <c r="C259" s="586"/>
      <c r="D259" s="445"/>
      <c r="E259" s="582"/>
      <c r="F259" s="582">
        <v>2</v>
      </c>
    </row>
    <row r="260" spans="1:6" s="602" customFormat="1">
      <c r="A260" s="585"/>
      <c r="B260" s="581"/>
      <c r="C260" s="586"/>
      <c r="D260" s="445"/>
      <c r="E260" s="582"/>
      <c r="F260" s="582">
        <v>1</v>
      </c>
    </row>
    <row r="261" spans="1:6" s="602" customFormat="1">
      <c r="A261" s="585"/>
      <c r="B261" s="581"/>
      <c r="C261" s="586"/>
      <c r="D261" s="445"/>
      <c r="E261" s="582"/>
      <c r="F261" s="582">
        <v>0.22</v>
      </c>
    </row>
    <row r="262" spans="1:6" s="602" customFormat="1">
      <c r="A262" s="585"/>
      <c r="B262" s="581"/>
      <c r="C262" s="586"/>
      <c r="D262" s="445"/>
      <c r="E262" s="582"/>
      <c r="F262" s="582">
        <v>2.5999999999999999E-2</v>
      </c>
    </row>
    <row r="263" spans="1:6" s="602" customFormat="1">
      <c r="A263" s="585"/>
      <c r="B263" s="581"/>
      <c r="C263" s="586"/>
      <c r="D263" s="445"/>
      <c r="E263" s="582"/>
      <c r="F263" s="582">
        <v>0.27</v>
      </c>
    </row>
    <row r="264" spans="1:6" s="602" customFormat="1">
      <c r="A264" s="585"/>
      <c r="B264" s="581"/>
      <c r="C264" s="586"/>
      <c r="D264" s="445"/>
      <c r="E264" s="582"/>
      <c r="F264" s="582">
        <v>2E-3</v>
      </c>
    </row>
    <row r="265" spans="1:6" s="602" customFormat="1">
      <c r="A265" s="585"/>
      <c r="B265" s="581"/>
      <c r="C265" s="586"/>
      <c r="D265" s="445"/>
      <c r="E265" s="582"/>
      <c r="F265" s="582">
        <v>0.03</v>
      </c>
    </row>
    <row r="266" spans="1:6" s="602" customFormat="1">
      <c r="A266" s="585"/>
      <c r="B266" s="581"/>
      <c r="C266" s="586"/>
      <c r="D266" s="445"/>
      <c r="E266" s="582"/>
      <c r="F266" s="582">
        <v>1</v>
      </c>
    </row>
    <row r="267" spans="1:6" s="602" customFormat="1">
      <c r="A267" s="585"/>
      <c r="B267" s="581"/>
      <c r="C267" s="586"/>
      <c r="D267" s="445"/>
      <c r="E267" s="582"/>
      <c r="F267" s="582">
        <v>1</v>
      </c>
    </row>
    <row r="268" spans="1:6" s="602" customFormat="1">
      <c r="A268" s="585"/>
      <c r="B268" s="581"/>
      <c r="C268" s="586"/>
      <c r="D268" s="445"/>
      <c r="E268" s="582"/>
      <c r="F268" s="582">
        <v>1</v>
      </c>
    </row>
    <row r="269" spans="1:6" s="602" customFormat="1">
      <c r="A269" s="585"/>
      <c r="B269" s="581"/>
      <c r="C269" s="586"/>
      <c r="D269" s="445"/>
      <c r="E269" s="582"/>
      <c r="F269" s="582">
        <v>1</v>
      </c>
    </row>
    <row r="270" spans="1:6" s="602" customFormat="1">
      <c r="A270" s="585"/>
      <c r="B270" s="581"/>
      <c r="C270" s="586"/>
      <c r="D270" s="445"/>
      <c r="E270" s="582"/>
      <c r="F270" s="582">
        <v>1</v>
      </c>
    </row>
    <row r="271" spans="1:6" s="602" customFormat="1">
      <c r="A271" s="585"/>
      <c r="B271" s="581"/>
      <c r="C271" s="586"/>
      <c r="D271" s="445"/>
      <c r="E271" s="582"/>
      <c r="F271" s="582">
        <v>1.7999999999999999E-2</v>
      </c>
    </row>
    <row r="272" spans="1:6" s="602" customFormat="1">
      <c r="A272" s="585"/>
      <c r="B272" s="581"/>
      <c r="C272" s="586"/>
      <c r="D272" s="445"/>
      <c r="E272" s="582"/>
      <c r="F272" s="582">
        <v>1</v>
      </c>
    </row>
    <row r="273" spans="1:6" s="602" customFormat="1">
      <c r="A273" s="585"/>
      <c r="B273" s="581"/>
      <c r="C273" s="586"/>
      <c r="D273" s="445"/>
      <c r="E273" s="582"/>
      <c r="F273" s="582">
        <v>0.04</v>
      </c>
    </row>
    <row r="274" spans="1:6" s="602" customFormat="1">
      <c r="A274" s="585"/>
      <c r="B274" s="581"/>
      <c r="C274" s="586"/>
      <c r="D274" s="445"/>
      <c r="E274" s="582"/>
      <c r="F274" s="582">
        <v>2</v>
      </c>
    </row>
    <row r="275" spans="1:6" s="602" customFormat="1">
      <c r="A275" s="585"/>
      <c r="B275" s="581"/>
      <c r="C275" s="586"/>
      <c r="D275" s="445"/>
      <c r="E275" s="582"/>
      <c r="F275" s="582">
        <v>2</v>
      </c>
    </row>
    <row r="276" spans="1:6" s="602" customFormat="1">
      <c r="A276" s="585"/>
      <c r="B276" s="581"/>
      <c r="C276" s="586"/>
      <c r="D276" s="445"/>
      <c r="E276" s="582"/>
      <c r="F276" s="582">
        <v>2</v>
      </c>
    </row>
    <row r="277" spans="1:6" s="602" customFormat="1">
      <c r="A277" s="585"/>
      <c r="B277" s="581"/>
      <c r="C277" s="586"/>
      <c r="D277" s="445"/>
      <c r="E277" s="582"/>
      <c r="F277" s="582">
        <v>4</v>
      </c>
    </row>
    <row r="278" spans="1:6" s="602" customFormat="1">
      <c r="A278" s="585"/>
      <c r="B278" s="581"/>
      <c r="C278" s="586"/>
      <c r="D278" s="445"/>
      <c r="E278" s="582"/>
      <c r="F278" s="582">
        <v>4</v>
      </c>
    </row>
    <row r="279" spans="1:6" s="602" customFormat="1">
      <c r="A279" s="585"/>
      <c r="B279" s="581"/>
      <c r="C279" s="586"/>
      <c r="D279" s="445"/>
      <c r="E279" s="582"/>
      <c r="F279" s="582">
        <v>8</v>
      </c>
    </row>
    <row r="280" spans="1:6" s="602" customFormat="1">
      <c r="A280" s="585"/>
      <c r="B280" s="581"/>
      <c r="C280" s="586"/>
      <c r="D280" s="445"/>
      <c r="E280" s="582"/>
      <c r="F280" s="582">
        <v>9.8000000000000004E-2</v>
      </c>
    </row>
    <row r="281" spans="1:6" s="602" customFormat="1">
      <c r="A281" s="585"/>
      <c r="B281" s="581"/>
      <c r="C281" s="586"/>
      <c r="D281" s="445"/>
      <c r="E281" s="582"/>
      <c r="F281" s="582">
        <v>6.8000000000000005E-2</v>
      </c>
    </row>
    <row r="282" spans="1:6" s="602" customFormat="1">
      <c r="A282" s="585"/>
      <c r="B282" s="581"/>
      <c r="C282" s="586"/>
      <c r="D282" s="445"/>
      <c r="E282" s="582"/>
      <c r="F282" s="582">
        <v>5.6000000000000001E-2</v>
      </c>
    </row>
    <row r="283" spans="1:6" s="602" customFormat="1">
      <c r="A283" s="585"/>
      <c r="B283" s="581"/>
      <c r="C283" s="586"/>
      <c r="D283" s="623"/>
      <c r="E283" s="582"/>
      <c r="F283" s="582">
        <v>9.6000000000000002E-2</v>
      </c>
    </row>
    <row r="284" spans="1:6" s="602" customFormat="1">
      <c r="A284" s="585"/>
      <c r="B284" s="581"/>
      <c r="C284" s="586"/>
      <c r="D284" s="623"/>
      <c r="E284" s="582"/>
      <c r="F284" s="582">
        <v>0.89600000000000002</v>
      </c>
    </row>
    <row r="285" spans="1:6" s="602" customFormat="1">
      <c r="A285" s="585"/>
      <c r="B285" s="581"/>
      <c r="C285" s="586"/>
      <c r="D285" s="623"/>
      <c r="E285" s="582"/>
      <c r="F285" s="582">
        <v>1.87</v>
      </c>
    </row>
    <row r="286" spans="1:6" s="602" customFormat="1">
      <c r="A286" s="632"/>
      <c r="B286" s="633"/>
      <c r="C286" s="634"/>
      <c r="D286" s="637"/>
      <c r="E286" s="635"/>
      <c r="F286" s="635">
        <v>1</v>
      </c>
    </row>
    <row r="287" spans="1:6" s="602" customFormat="1">
      <c r="A287" s="632"/>
      <c r="B287" s="633"/>
      <c r="C287" s="634"/>
      <c r="D287" s="637"/>
      <c r="E287" s="635"/>
      <c r="F287" s="635">
        <v>2</v>
      </c>
    </row>
    <row r="288" spans="1:6" s="602" customFormat="1">
      <c r="A288" s="632"/>
      <c r="B288" s="633"/>
      <c r="C288" s="634"/>
      <c r="D288" s="637"/>
      <c r="E288" s="635"/>
      <c r="F288" s="635">
        <v>1</v>
      </c>
    </row>
    <row r="289" spans="1:6" s="602" customFormat="1">
      <c r="A289" s="632"/>
      <c r="B289" s="633"/>
      <c r="C289" s="634"/>
      <c r="D289" s="637"/>
      <c r="E289" s="635"/>
      <c r="F289" s="635">
        <v>2</v>
      </c>
    </row>
    <row r="290" spans="1:6" s="602" customFormat="1">
      <c r="A290" s="632"/>
      <c r="B290" s="633"/>
      <c r="C290" s="634"/>
      <c r="D290" s="637"/>
      <c r="E290" s="635"/>
      <c r="F290" s="635">
        <v>8</v>
      </c>
    </row>
    <row r="291" spans="1:6" s="602" customFormat="1">
      <c r="A291" s="632"/>
      <c r="B291" s="633"/>
      <c r="C291" s="634"/>
      <c r="D291" s="637"/>
      <c r="E291" s="635"/>
      <c r="F291" s="635">
        <v>1</v>
      </c>
    </row>
    <row r="292" spans="1:6" s="602" customFormat="1">
      <c r="A292" s="632"/>
      <c r="B292" s="633"/>
      <c r="C292" s="634"/>
      <c r="D292" s="637"/>
      <c r="E292" s="635"/>
      <c r="F292" s="635">
        <v>9</v>
      </c>
    </row>
    <row r="293" spans="1:6" s="602" customFormat="1">
      <c r="A293" s="632"/>
      <c r="B293" s="633"/>
      <c r="C293" s="634"/>
      <c r="D293" s="637"/>
      <c r="E293" s="635"/>
      <c r="F293" s="635">
        <v>2</v>
      </c>
    </row>
    <row r="294" spans="1:6" s="602" customFormat="1">
      <c r="A294" s="585"/>
      <c r="B294" s="589"/>
      <c r="C294" s="590"/>
      <c r="D294" s="445"/>
      <c r="E294" s="582"/>
      <c r="F294" s="582"/>
    </row>
    <row r="295" spans="1:6" s="602" customFormat="1">
      <c r="A295" s="585"/>
      <c r="B295" s="581"/>
      <c r="C295" s="586"/>
      <c r="D295" s="445"/>
      <c r="E295" s="582"/>
      <c r="F295" s="582">
        <v>1.496</v>
      </c>
    </row>
    <row r="296" spans="1:6" s="602" customFormat="1">
      <c r="A296" s="585"/>
      <c r="B296" s="581"/>
      <c r="C296" s="586"/>
      <c r="D296" s="445"/>
      <c r="E296" s="582"/>
      <c r="F296" s="582">
        <v>1.81</v>
      </c>
    </row>
    <row r="297" spans="1:6" s="602" customFormat="1">
      <c r="A297" s="585"/>
      <c r="B297" s="581"/>
      <c r="C297" s="586"/>
      <c r="D297" s="445"/>
      <c r="E297" s="582"/>
      <c r="F297" s="582">
        <v>1.82</v>
      </c>
    </row>
    <row r="298" spans="1:6" s="602" customFormat="1">
      <c r="A298" s="585"/>
      <c r="B298" s="581"/>
      <c r="C298" s="586"/>
      <c r="D298" s="445"/>
      <c r="E298" s="582"/>
      <c r="F298" s="582">
        <v>0.09</v>
      </c>
    </row>
    <row r="299" spans="1:6" s="602" customFormat="1">
      <c r="A299" s="585"/>
      <c r="B299" s="581"/>
      <c r="C299" s="586"/>
      <c r="D299" s="623"/>
      <c r="E299" s="582"/>
      <c r="F299" s="582">
        <v>1.637</v>
      </c>
    </row>
    <row r="300" spans="1:6" s="602" customFormat="1">
      <c r="A300" s="585"/>
      <c r="B300" s="581"/>
      <c r="C300" s="586"/>
      <c r="D300" s="445"/>
      <c r="E300" s="582"/>
      <c r="F300" s="582">
        <v>1.4850000000000001</v>
      </c>
    </row>
    <row r="301" spans="1:6" s="602" customFormat="1">
      <c r="A301" s="587"/>
      <c r="B301" s="584"/>
      <c r="C301" s="586"/>
      <c r="D301" s="445"/>
      <c r="E301" s="582"/>
      <c r="F301" s="622"/>
    </row>
    <row r="302" spans="1:6" s="602" customFormat="1">
      <c r="A302" s="585"/>
      <c r="B302" s="588"/>
      <c r="C302" s="586"/>
      <c r="D302" s="445"/>
      <c r="E302" s="582"/>
      <c r="F302" s="622"/>
    </row>
    <row r="303" spans="1:6" s="602" customFormat="1">
      <c r="A303" s="619"/>
      <c r="B303" s="620"/>
      <c r="C303" s="590"/>
      <c r="D303" s="445"/>
      <c r="E303" s="621"/>
      <c r="F303" s="621"/>
    </row>
    <row r="304" spans="1:6" s="602" customFormat="1">
      <c r="A304" s="619"/>
      <c r="B304" s="620"/>
      <c r="C304" s="590"/>
      <c r="D304" s="445"/>
      <c r="E304" s="621"/>
      <c r="F304" s="621"/>
    </row>
    <row r="305" spans="1:6" s="602" customFormat="1">
      <c r="A305" s="619"/>
      <c r="B305" s="620"/>
      <c r="C305" s="590"/>
      <c r="D305" s="445"/>
      <c r="E305" s="621"/>
      <c r="F305" s="621"/>
    </row>
    <row r="306" spans="1:6" s="602" customFormat="1">
      <c r="A306" s="619"/>
      <c r="B306" s="620"/>
      <c r="C306" s="590"/>
      <c r="D306" s="445"/>
      <c r="E306" s="621"/>
      <c r="F306" s="621"/>
    </row>
    <row r="307" spans="1:6" s="602" customFormat="1">
      <c r="A307" s="619"/>
      <c r="B307" s="620"/>
      <c r="C307" s="590"/>
      <c r="D307" s="623"/>
      <c r="E307" s="621"/>
      <c r="F307" s="621"/>
    </row>
    <row r="308" spans="1:6" s="602" customFormat="1">
      <c r="A308" s="619"/>
      <c r="B308" s="620"/>
      <c r="C308" s="590"/>
      <c r="D308" s="623"/>
      <c r="E308" s="621"/>
      <c r="F308" s="621"/>
    </row>
    <row r="309" spans="1:6" s="602" customFormat="1">
      <c r="A309" s="619"/>
      <c r="B309" s="620"/>
      <c r="C309" s="590"/>
      <c r="D309" s="623"/>
      <c r="E309" s="621"/>
      <c r="F309" s="621"/>
    </row>
    <row r="310" spans="1:6" s="602" customFormat="1">
      <c r="A310" s="619"/>
      <c r="B310" s="620"/>
      <c r="C310" s="590"/>
      <c r="D310" s="623"/>
      <c r="E310" s="621"/>
      <c r="F310" s="621"/>
    </row>
    <row r="311" spans="1:6" s="602" customFormat="1">
      <c r="A311" s="619"/>
      <c r="B311" s="620"/>
      <c r="C311" s="590"/>
      <c r="D311" s="445"/>
      <c r="E311" s="621"/>
      <c r="F311" s="621"/>
    </row>
    <row r="312" spans="1:6" s="602" customFormat="1">
      <c r="A312" s="585"/>
      <c r="B312" s="588"/>
      <c r="C312" s="586"/>
      <c r="D312" s="445"/>
      <c r="E312" s="621"/>
      <c r="F312" s="621"/>
    </row>
    <row r="313" spans="1:6" s="602" customFormat="1">
      <c r="A313" s="585"/>
      <c r="B313" s="581"/>
      <c r="C313" s="586"/>
      <c r="D313" s="445"/>
      <c r="E313" s="621"/>
      <c r="F313" s="621"/>
    </row>
    <row r="314" spans="1:6" s="602" customFormat="1">
      <c r="A314" s="585"/>
      <c r="B314" s="581"/>
      <c r="C314" s="586"/>
      <c r="D314" s="445"/>
      <c r="E314" s="621"/>
      <c r="F314" s="621"/>
    </row>
    <row r="315" spans="1:6" s="602" customFormat="1">
      <c r="A315" s="585"/>
      <c r="B315" s="581"/>
      <c r="C315" s="586"/>
      <c r="D315" s="623"/>
      <c r="E315" s="621"/>
      <c r="F315" s="621"/>
    </row>
    <row r="316" spans="1:6" s="602" customFormat="1">
      <c r="A316" s="585"/>
      <c r="B316" s="581"/>
      <c r="C316" s="586"/>
      <c r="D316" s="623"/>
      <c r="E316" s="621"/>
      <c r="F316" s="621"/>
    </row>
    <row r="317" spans="1:6" s="602" customFormat="1">
      <c r="A317" s="585"/>
      <c r="B317" s="581"/>
      <c r="C317" s="586"/>
      <c r="D317" s="623"/>
      <c r="E317" s="621"/>
      <c r="F317" s="621"/>
    </row>
    <row r="318" spans="1:6" s="602" customFormat="1">
      <c r="A318" s="585"/>
      <c r="B318" s="581"/>
      <c r="C318" s="586"/>
      <c r="D318" s="623"/>
      <c r="E318" s="621"/>
      <c r="F318" s="621"/>
    </row>
    <row r="319" spans="1:6" s="602" customFormat="1">
      <c r="A319" s="585"/>
      <c r="B319" s="581"/>
      <c r="C319" s="586"/>
      <c r="D319" s="623"/>
      <c r="E319" s="621"/>
      <c r="F319" s="621"/>
    </row>
    <row r="320" spans="1:6" s="602" customFormat="1">
      <c r="A320" s="585"/>
      <c r="B320" s="581"/>
      <c r="C320" s="586"/>
      <c r="D320" s="623"/>
      <c r="E320" s="621"/>
      <c r="F320" s="621"/>
    </row>
    <row r="321" spans="1:6" s="602" customFormat="1">
      <c r="A321" s="585"/>
      <c r="B321" s="581"/>
      <c r="C321" s="586"/>
      <c r="D321" s="445"/>
      <c r="E321" s="621"/>
      <c r="F321" s="621"/>
    </row>
    <row r="322" spans="1:6" s="602" customFormat="1">
      <c r="A322" s="624"/>
      <c r="B322" s="625"/>
      <c r="C322" s="626"/>
      <c r="D322" s="626"/>
      <c r="E322" s="631"/>
      <c r="F322" s="621"/>
    </row>
    <row r="323" spans="1:6" s="602" customFormat="1">
      <c r="A323" s="585"/>
      <c r="B323" s="581"/>
      <c r="C323" s="586"/>
      <c r="D323" s="445"/>
      <c r="E323" s="621"/>
      <c r="F323" s="621"/>
    </row>
    <row r="324" spans="1:6" s="602" customFormat="1">
      <c r="A324" s="585"/>
      <c r="B324" s="581"/>
      <c r="C324" s="586"/>
      <c r="D324" s="445"/>
      <c r="E324" s="621"/>
      <c r="F324" s="621"/>
    </row>
    <row r="325" spans="1:6" s="602" customFormat="1">
      <c r="A325" s="585"/>
      <c r="B325" s="588"/>
      <c r="C325" s="586"/>
      <c r="D325" s="445"/>
      <c r="E325" s="621"/>
      <c r="F325" s="621"/>
    </row>
    <row r="326" spans="1:6" s="602" customFormat="1">
      <c r="A326" s="619"/>
      <c r="B326" s="620"/>
      <c r="C326" s="590"/>
      <c r="D326" s="627"/>
      <c r="E326" s="621"/>
      <c r="F326" s="621"/>
    </row>
    <row r="327" spans="1:6" s="602" customFormat="1">
      <c r="A327" s="619"/>
      <c r="B327" s="620"/>
      <c r="C327" s="590"/>
      <c r="D327" s="627"/>
      <c r="E327" s="621"/>
      <c r="F327" s="621"/>
    </row>
    <row r="328" spans="1:6" s="602" customFormat="1">
      <c r="A328" s="619"/>
      <c r="B328" s="620"/>
      <c r="C328" s="590"/>
      <c r="D328" s="627"/>
      <c r="E328" s="621"/>
      <c r="F328" s="621"/>
    </row>
    <row r="329" spans="1:6" s="602" customFormat="1">
      <c r="A329" s="619"/>
      <c r="B329" s="620"/>
      <c r="C329" s="590"/>
      <c r="D329" s="586"/>
      <c r="E329" s="621"/>
      <c r="F329" s="621"/>
    </row>
    <row r="330" spans="1:6" s="602" customFormat="1">
      <c r="A330" s="619"/>
      <c r="B330" s="620"/>
      <c r="C330" s="590"/>
      <c r="D330" s="586"/>
      <c r="E330" s="621"/>
      <c r="F330" s="621"/>
    </row>
    <row r="331" spans="1:6" s="602" customFormat="1">
      <c r="A331" s="619"/>
      <c r="B331" s="620"/>
      <c r="C331" s="590"/>
      <c r="D331" s="623"/>
      <c r="E331" s="621"/>
      <c r="F331" s="621"/>
    </row>
    <row r="332" spans="1:6" s="602" customFormat="1">
      <c r="A332" s="619"/>
      <c r="B332" s="620"/>
      <c r="C332" s="590"/>
      <c r="D332" s="623"/>
      <c r="E332" s="621"/>
      <c r="F332" s="621"/>
    </row>
    <row r="333" spans="1:6" s="602" customFormat="1">
      <c r="A333" s="619"/>
      <c r="B333" s="620"/>
      <c r="C333" s="590"/>
      <c r="D333" s="445"/>
      <c r="E333" s="621"/>
      <c r="F333" s="621"/>
    </row>
    <row r="334" spans="1:6" s="602" customFormat="1">
      <c r="A334" s="628"/>
      <c r="B334" s="629"/>
      <c r="C334" s="630"/>
      <c r="D334" s="578"/>
      <c r="E334" s="631"/>
      <c r="F334" s="621"/>
    </row>
    <row r="335" spans="1:6" s="602" customFormat="1">
      <c r="A335" s="585"/>
      <c r="B335" s="581"/>
      <c r="C335" s="586"/>
      <c r="D335" s="445"/>
      <c r="E335" s="621"/>
      <c r="F335" s="621"/>
    </row>
    <row r="336" spans="1:6" s="602" customFormat="1">
      <c r="A336" s="585"/>
      <c r="B336" s="581"/>
      <c r="C336" s="586"/>
      <c r="D336" s="445"/>
      <c r="E336" s="621"/>
      <c r="F336" s="621"/>
    </row>
    <row r="337" spans="1:6" s="602" customFormat="1">
      <c r="A337" s="585"/>
      <c r="B337" s="581"/>
      <c r="C337" s="586"/>
      <c r="D337" s="445"/>
      <c r="E337" s="621"/>
      <c r="F337" s="621"/>
    </row>
    <row r="338" spans="1:6" s="602" customFormat="1">
      <c r="A338" s="585"/>
      <c r="B338" s="581"/>
      <c r="C338" s="586"/>
      <c r="D338" s="445"/>
      <c r="E338" s="621"/>
      <c r="F338" s="621"/>
    </row>
    <row r="339" spans="1:6" s="602" customFormat="1">
      <c r="A339" s="585"/>
      <c r="B339" s="581"/>
      <c r="C339" s="586"/>
      <c r="D339" s="623"/>
      <c r="E339" s="621"/>
      <c r="F339" s="621"/>
    </row>
    <row r="340" spans="1:6" s="602" customFormat="1">
      <c r="A340" s="585"/>
      <c r="B340" s="581"/>
      <c r="C340" s="586"/>
      <c r="D340" s="623"/>
      <c r="E340" s="621"/>
      <c r="F340" s="621"/>
    </row>
    <row r="341" spans="1:6" s="602" customFormat="1" ht="39" customHeight="1">
      <c r="A341" s="585"/>
      <c r="B341" s="581"/>
      <c r="C341" s="586"/>
      <c r="D341" s="623"/>
      <c r="E341" s="621"/>
      <c r="F341" s="621"/>
    </row>
    <row r="342" spans="1:6" s="602" customFormat="1">
      <c r="A342" s="585"/>
      <c r="B342" s="581"/>
      <c r="C342" s="586"/>
      <c r="D342" s="445"/>
      <c r="E342" s="621"/>
      <c r="F342" s="621"/>
    </row>
    <row r="343" spans="1:6" s="602" customFormat="1">
      <c r="A343" s="585"/>
      <c r="B343" s="581"/>
      <c r="C343" s="586"/>
      <c r="D343" s="445"/>
      <c r="E343" s="621"/>
      <c r="F343" s="621"/>
    </row>
    <row r="344" spans="1:6" s="602" customFormat="1">
      <c r="A344" s="585"/>
      <c r="B344" s="581"/>
      <c r="C344" s="586"/>
      <c r="D344" s="623"/>
      <c r="E344" s="621"/>
      <c r="F344" s="621"/>
    </row>
    <row r="345" spans="1:6" s="602" customFormat="1">
      <c r="A345" s="585"/>
      <c r="B345" s="581"/>
      <c r="C345" s="586"/>
      <c r="D345" s="445"/>
      <c r="E345" s="621"/>
      <c r="F345" s="621"/>
    </row>
    <row r="346" spans="1:6" s="602" customFormat="1">
      <c r="A346" s="587"/>
      <c r="B346" s="584"/>
      <c r="C346" s="586"/>
      <c r="D346" s="445"/>
      <c r="E346" s="621"/>
      <c r="F346" s="621"/>
    </row>
    <row r="347" spans="1:6" s="602" customFormat="1">
      <c r="A347" s="585"/>
      <c r="B347" s="581"/>
      <c r="C347" s="586"/>
      <c r="D347" s="445"/>
      <c r="E347" s="621"/>
      <c r="F347" s="621"/>
    </row>
    <row r="348" spans="1:6" s="602" customFormat="1">
      <c r="A348" s="585"/>
      <c r="B348" s="581"/>
      <c r="C348" s="586"/>
      <c r="D348" s="445"/>
      <c r="E348" s="621"/>
      <c r="F348" s="621"/>
    </row>
    <row r="349" spans="1:6" s="602" customFormat="1">
      <c r="A349" s="585"/>
      <c r="B349" s="581"/>
      <c r="C349" s="586"/>
      <c r="D349" s="445"/>
      <c r="E349" s="621"/>
      <c r="F349" s="621"/>
    </row>
    <row r="350" spans="1:6" s="602" customFormat="1">
      <c r="A350" s="585"/>
      <c r="B350" s="581"/>
      <c r="C350" s="586"/>
      <c r="D350" s="445"/>
      <c r="E350" s="621"/>
      <c r="F350" s="621"/>
    </row>
    <row r="351" spans="1:6" s="602" customFormat="1">
      <c r="A351" s="585"/>
      <c r="B351" s="581"/>
      <c r="C351" s="586"/>
      <c r="D351" s="445"/>
      <c r="E351" s="621"/>
      <c r="F351" s="621"/>
    </row>
    <row r="352" spans="1:6" s="602" customFormat="1">
      <c r="A352" s="585"/>
      <c r="B352" s="581"/>
      <c r="C352" s="586"/>
      <c r="D352" s="445"/>
      <c r="E352" s="621"/>
      <c r="F352" s="621"/>
    </row>
    <row r="353" spans="1:6" s="602" customFormat="1">
      <c r="A353" s="585"/>
      <c r="B353" s="581"/>
      <c r="C353" s="586"/>
      <c r="D353" s="445"/>
      <c r="E353" s="621"/>
      <c r="F353" s="621"/>
    </row>
    <row r="354" spans="1:6" s="602" customFormat="1">
      <c r="A354" s="585"/>
      <c r="B354" s="581"/>
      <c r="C354" s="586"/>
      <c r="D354" s="445"/>
      <c r="E354" s="621"/>
      <c r="F354" s="621"/>
    </row>
    <row r="355" spans="1:6" s="602" customFormat="1">
      <c r="A355" s="585"/>
      <c r="B355" s="581"/>
      <c r="C355" s="586"/>
      <c r="D355" s="445"/>
      <c r="E355" s="621"/>
      <c r="F355" s="621"/>
    </row>
    <row r="356" spans="1:6" s="602" customFormat="1">
      <c r="A356" s="585"/>
      <c r="B356" s="581"/>
      <c r="C356" s="586"/>
      <c r="D356" s="445"/>
      <c r="E356" s="621"/>
      <c r="F356" s="621"/>
    </row>
    <row r="357" spans="1:6" s="602" customFormat="1">
      <c r="A357" s="585"/>
      <c r="B357" s="581"/>
      <c r="C357" s="586"/>
      <c r="D357" s="445"/>
      <c r="E357" s="621"/>
      <c r="F357" s="621"/>
    </row>
    <row r="358" spans="1:6" s="602" customFormat="1">
      <c r="A358" s="585"/>
      <c r="B358" s="581"/>
      <c r="C358" s="586"/>
      <c r="D358" s="445"/>
      <c r="E358" s="621"/>
      <c r="F358" s="621"/>
    </row>
    <row r="359" spans="1:6" s="602" customFormat="1">
      <c r="A359" s="585"/>
      <c r="B359" s="581"/>
      <c r="C359" s="586"/>
      <c r="D359" s="445"/>
      <c r="E359" s="621"/>
      <c r="F359" s="621"/>
    </row>
    <row r="360" spans="1:6" s="602" customFormat="1">
      <c r="A360" s="585"/>
      <c r="B360" s="581"/>
      <c r="C360" s="586"/>
      <c r="D360" s="445"/>
      <c r="E360" s="621"/>
      <c r="F360" s="621"/>
    </row>
    <row r="361" spans="1:6" s="602" customFormat="1">
      <c r="A361" s="585"/>
      <c r="B361" s="581"/>
      <c r="C361" s="586"/>
      <c r="D361" s="445"/>
      <c r="E361" s="621"/>
      <c r="F361" s="621"/>
    </row>
    <row r="362" spans="1:6" s="602" customFormat="1">
      <c r="A362" s="585"/>
      <c r="B362" s="581"/>
      <c r="C362" s="586"/>
      <c r="D362" s="623"/>
      <c r="E362" s="621"/>
      <c r="F362" s="621"/>
    </row>
    <row r="363" spans="1:6" s="602" customFormat="1">
      <c r="A363" s="585"/>
      <c r="B363" s="581"/>
      <c r="C363" s="586"/>
      <c r="D363" s="445"/>
      <c r="E363" s="621"/>
      <c r="F363" s="621"/>
    </row>
    <row r="364" spans="1:6" s="602" customFormat="1">
      <c r="A364" s="585"/>
      <c r="B364" s="581"/>
      <c r="C364" s="586"/>
      <c r="D364" s="445"/>
      <c r="E364" s="621"/>
      <c r="F364" s="621"/>
    </row>
    <row r="365" spans="1:6" s="602" customFormat="1">
      <c r="A365" s="585"/>
      <c r="B365" s="581"/>
      <c r="C365" s="586"/>
      <c r="D365" s="445"/>
      <c r="E365" s="621"/>
      <c r="F365" s="621"/>
    </row>
    <row r="366" spans="1:6" s="602" customFormat="1">
      <c r="A366" s="585"/>
      <c r="B366" s="581"/>
      <c r="C366" s="586"/>
      <c r="D366" s="445"/>
      <c r="E366" s="621"/>
      <c r="F366" s="621"/>
    </row>
    <row r="367" spans="1:6" s="602" customFormat="1">
      <c r="A367" s="585"/>
      <c r="B367" s="581"/>
      <c r="C367" s="586"/>
      <c r="D367" s="445"/>
      <c r="E367" s="621"/>
      <c r="F367" s="621"/>
    </row>
    <row r="368" spans="1:6" s="602" customFormat="1">
      <c r="A368" s="585"/>
      <c r="B368" s="581"/>
      <c r="C368" s="586"/>
      <c r="D368" s="445"/>
      <c r="E368" s="621"/>
      <c r="F368" s="621"/>
    </row>
    <row r="369" spans="1:6" s="602" customFormat="1">
      <c r="A369" s="585"/>
      <c r="B369" s="581"/>
      <c r="C369" s="586"/>
      <c r="D369" s="623"/>
      <c r="E369" s="621"/>
      <c r="F369" s="621"/>
    </row>
    <row r="370" spans="1:6" s="602" customFormat="1">
      <c r="A370" s="585"/>
      <c r="B370" s="581"/>
      <c r="C370" s="586"/>
      <c r="D370" s="445"/>
      <c r="E370" s="621"/>
      <c r="F370" s="621"/>
    </row>
    <row r="371" spans="1:6" s="602" customFormat="1">
      <c r="A371" s="585"/>
      <c r="B371" s="581"/>
      <c r="C371" s="586"/>
      <c r="D371" s="445"/>
      <c r="E371" s="621"/>
      <c r="F371" s="621"/>
    </row>
    <row r="372" spans="1:6" s="602" customFormat="1">
      <c r="A372" s="585"/>
      <c r="B372" s="581"/>
      <c r="C372" s="586"/>
      <c r="D372" s="445"/>
      <c r="E372" s="621"/>
      <c r="F372" s="621"/>
    </row>
    <row r="373" spans="1:6" s="602" customFormat="1">
      <c r="A373" s="585"/>
      <c r="B373" s="581"/>
      <c r="C373" s="586"/>
      <c r="D373" s="445"/>
      <c r="E373" s="621"/>
      <c r="F373" s="621"/>
    </row>
    <row r="374" spans="1:6" s="602" customFormat="1">
      <c r="A374" s="585"/>
      <c r="B374" s="581"/>
      <c r="C374" s="586"/>
      <c r="D374" s="445"/>
      <c r="E374" s="621"/>
      <c r="F374" s="621"/>
    </row>
    <row r="375" spans="1:6" s="602" customFormat="1">
      <c r="A375" s="585"/>
      <c r="B375" s="581"/>
      <c r="C375" s="586"/>
      <c r="D375" s="445"/>
      <c r="E375" s="621"/>
      <c r="F375" s="621"/>
    </row>
    <row r="376" spans="1:6" s="602" customFormat="1">
      <c r="A376" s="585"/>
      <c r="B376" s="581"/>
      <c r="C376" s="586"/>
      <c r="D376" s="445"/>
      <c r="E376" s="621"/>
      <c r="F376" s="621"/>
    </row>
    <row r="377" spans="1:6" s="602" customFormat="1">
      <c r="A377" s="585"/>
      <c r="B377" s="581"/>
      <c r="C377" s="586"/>
      <c r="D377" s="445"/>
      <c r="E377" s="621"/>
      <c r="F377" s="621"/>
    </row>
    <row r="378" spans="1:6" s="602" customFormat="1">
      <c r="A378" s="585"/>
      <c r="B378" s="581"/>
      <c r="C378" s="586"/>
      <c r="D378" s="445"/>
      <c r="E378" s="621"/>
      <c r="F378" s="621"/>
    </row>
    <row r="379" spans="1:6" s="602" customFormat="1">
      <c r="A379" s="585"/>
      <c r="B379" s="581"/>
      <c r="C379" s="586"/>
      <c r="D379" s="445"/>
      <c r="E379" s="621"/>
      <c r="F379" s="621"/>
    </row>
    <row r="380" spans="1:6" s="602" customFormat="1">
      <c r="A380" s="585"/>
      <c r="B380" s="581"/>
      <c r="C380" s="586"/>
      <c r="D380" s="445"/>
      <c r="E380" s="621"/>
      <c r="F380" s="621"/>
    </row>
    <row r="381" spans="1:6" s="602" customFormat="1">
      <c r="A381" s="585"/>
      <c r="B381" s="581"/>
      <c r="C381" s="586"/>
      <c r="D381" s="445"/>
      <c r="E381" s="621"/>
      <c r="F381" s="621"/>
    </row>
    <row r="382" spans="1:6" s="602" customFormat="1">
      <c r="A382" s="585"/>
      <c r="B382" s="581"/>
      <c r="C382" s="586"/>
      <c r="D382" s="445"/>
      <c r="E382" s="621"/>
      <c r="F382" s="621"/>
    </row>
    <row r="383" spans="1:6" s="602" customFormat="1">
      <c r="A383" s="585"/>
      <c r="B383" s="581"/>
      <c r="C383" s="586"/>
      <c r="D383" s="445"/>
      <c r="E383" s="621"/>
      <c r="F383" s="621"/>
    </row>
    <row r="384" spans="1:6" s="602" customFormat="1">
      <c r="A384" s="585"/>
      <c r="B384" s="581"/>
      <c r="C384" s="586"/>
      <c r="D384" s="445"/>
      <c r="E384" s="621"/>
      <c r="F384" s="621"/>
    </row>
    <row r="385" spans="1:184" s="602" customFormat="1">
      <c r="A385" s="585"/>
      <c r="B385" s="581"/>
      <c r="C385" s="586"/>
      <c r="D385" s="445"/>
      <c r="E385" s="621"/>
      <c r="F385" s="621"/>
    </row>
    <row r="386" spans="1:184" s="602" customFormat="1">
      <c r="A386" s="640"/>
      <c r="B386" s="642"/>
      <c r="C386" s="634"/>
      <c r="D386" s="637"/>
      <c r="E386" s="643"/>
      <c r="F386" s="621"/>
    </row>
    <row r="387" spans="1:184" s="602" customFormat="1">
      <c r="A387" s="632"/>
      <c r="B387" s="633"/>
      <c r="C387" s="634"/>
      <c r="D387" s="637"/>
      <c r="E387" s="643"/>
      <c r="F387" s="621"/>
    </row>
    <row r="388" spans="1:184" s="602" customFormat="1">
      <c r="A388" s="632"/>
      <c r="B388" s="633"/>
      <c r="C388" s="634"/>
      <c r="D388" s="637"/>
      <c r="E388" s="643"/>
      <c r="F388" s="621"/>
    </row>
    <row r="389" spans="1:184" s="602" customFormat="1">
      <c r="A389" s="632"/>
      <c r="B389" s="633"/>
      <c r="C389" s="634"/>
      <c r="D389" s="637"/>
      <c r="E389" s="643"/>
      <c r="F389" s="621"/>
    </row>
    <row r="390" spans="1:184" s="600" customFormat="1">
      <c r="A390" s="604"/>
      <c r="B390" s="605"/>
      <c r="C390" s="604"/>
      <c r="D390" s="598"/>
      <c r="E390" s="601"/>
      <c r="F390" s="601"/>
      <c r="G390" s="603"/>
    </row>
    <row r="391" spans="1:184" s="612" customFormat="1">
      <c r="A391" s="606"/>
      <c r="B391" s="607"/>
      <c r="C391" s="608"/>
      <c r="D391" s="609"/>
      <c r="E391" s="610"/>
      <c r="F391" s="611"/>
      <c r="L391" s="592"/>
      <c r="M391" s="592"/>
      <c r="N391" s="592"/>
      <c r="O391" s="592"/>
      <c r="P391" s="592"/>
      <c r="Q391" s="592"/>
      <c r="R391" s="592"/>
      <c r="S391" s="592"/>
      <c r="T391" s="592"/>
      <c r="U391" s="592"/>
      <c r="V391" s="592"/>
      <c r="W391" s="592"/>
      <c r="X391" s="592"/>
      <c r="Y391" s="592"/>
      <c r="Z391" s="592"/>
      <c r="AA391" s="592"/>
      <c r="AB391" s="592"/>
      <c r="AC391" s="592"/>
      <c r="AD391" s="592"/>
      <c r="AE391" s="592"/>
      <c r="AF391" s="592"/>
      <c r="AG391" s="592"/>
      <c r="AH391" s="592"/>
      <c r="AI391" s="592"/>
      <c r="AJ391" s="592"/>
      <c r="AK391" s="592"/>
      <c r="AL391" s="592"/>
      <c r="AM391" s="592"/>
      <c r="AN391" s="592"/>
      <c r="AO391" s="592"/>
      <c r="AP391" s="592"/>
      <c r="AQ391" s="592"/>
      <c r="AR391" s="592"/>
      <c r="AS391" s="592"/>
      <c r="AT391" s="592"/>
      <c r="AU391" s="592"/>
      <c r="AV391" s="592"/>
      <c r="AW391" s="592"/>
      <c r="AX391" s="592"/>
      <c r="AY391" s="592"/>
      <c r="AZ391" s="592"/>
      <c r="BA391" s="592"/>
      <c r="BB391" s="592"/>
      <c r="BC391" s="592"/>
      <c r="BD391" s="592"/>
      <c r="BE391" s="592"/>
      <c r="BF391" s="592"/>
      <c r="BG391" s="592"/>
      <c r="BH391" s="592"/>
      <c r="BI391" s="592"/>
      <c r="BJ391" s="592"/>
      <c r="BK391" s="592"/>
      <c r="BL391" s="592"/>
      <c r="BM391" s="592"/>
      <c r="BN391" s="592"/>
      <c r="BO391" s="592"/>
      <c r="BP391" s="592"/>
      <c r="BQ391" s="592"/>
      <c r="BR391" s="592"/>
      <c r="BS391" s="592"/>
      <c r="BT391" s="592"/>
      <c r="BU391" s="592"/>
      <c r="BV391" s="592"/>
      <c r="BW391" s="592"/>
      <c r="BX391" s="592"/>
      <c r="BY391" s="592"/>
      <c r="BZ391" s="592"/>
      <c r="CA391" s="592"/>
      <c r="CB391" s="592"/>
      <c r="CC391" s="592"/>
      <c r="CD391" s="592"/>
      <c r="CE391" s="592"/>
      <c r="CF391" s="592"/>
      <c r="CG391" s="592"/>
      <c r="CH391" s="592"/>
      <c r="CI391" s="592"/>
      <c r="CJ391" s="592"/>
      <c r="CK391" s="592"/>
      <c r="CL391" s="592"/>
      <c r="CM391" s="592"/>
      <c r="CN391" s="592"/>
      <c r="CO391" s="592"/>
      <c r="CP391" s="592"/>
      <c r="CQ391" s="592"/>
      <c r="CR391" s="592"/>
      <c r="CS391" s="592"/>
      <c r="CT391" s="592"/>
      <c r="CU391" s="592"/>
      <c r="CV391" s="592"/>
      <c r="CW391" s="592"/>
      <c r="CX391" s="592"/>
      <c r="CY391" s="592"/>
      <c r="CZ391" s="592"/>
      <c r="DA391" s="592"/>
      <c r="DB391" s="592"/>
      <c r="DC391" s="592"/>
      <c r="DD391" s="592"/>
      <c r="DE391" s="592"/>
      <c r="DF391" s="592"/>
      <c r="DG391" s="592"/>
      <c r="DH391" s="592"/>
      <c r="DI391" s="592"/>
      <c r="DJ391" s="592"/>
      <c r="DK391" s="592"/>
      <c r="DL391" s="592"/>
      <c r="DM391" s="592"/>
      <c r="DN391" s="592"/>
      <c r="DO391" s="592"/>
      <c r="DP391" s="592"/>
      <c r="DQ391" s="592"/>
      <c r="DR391" s="592"/>
      <c r="DS391" s="592"/>
      <c r="DT391" s="592"/>
      <c r="DU391" s="592"/>
      <c r="DV391" s="592"/>
      <c r="DW391" s="592"/>
      <c r="DX391" s="592"/>
      <c r="DY391" s="592"/>
      <c r="DZ391" s="592"/>
      <c r="EA391" s="592"/>
      <c r="EB391" s="592"/>
      <c r="EC391" s="592"/>
      <c r="ED391" s="592"/>
      <c r="EE391" s="592"/>
      <c r="EF391" s="592"/>
      <c r="EG391" s="592"/>
      <c r="EH391" s="592"/>
      <c r="EI391" s="592"/>
      <c r="EJ391" s="592"/>
      <c r="EK391" s="592"/>
      <c r="EL391" s="592"/>
      <c r="EM391" s="592"/>
      <c r="EN391" s="592"/>
      <c r="EO391" s="592"/>
      <c r="EP391" s="592"/>
      <c r="EQ391" s="592"/>
      <c r="ER391" s="592"/>
      <c r="ES391" s="592"/>
      <c r="ET391" s="592"/>
      <c r="EU391" s="592"/>
      <c r="EV391" s="592"/>
      <c r="EW391" s="592"/>
      <c r="EX391" s="592"/>
      <c r="EY391" s="592"/>
      <c r="EZ391" s="592"/>
      <c r="FA391" s="592"/>
      <c r="FB391" s="592"/>
      <c r="FC391" s="592"/>
      <c r="FD391" s="592"/>
      <c r="FE391" s="592"/>
      <c r="FF391" s="592"/>
      <c r="FG391" s="592"/>
      <c r="FH391" s="592"/>
      <c r="FI391" s="592"/>
      <c r="FJ391" s="592"/>
      <c r="FK391" s="592"/>
      <c r="FL391" s="592"/>
      <c r="FM391" s="592"/>
      <c r="FN391" s="592"/>
      <c r="FO391" s="592"/>
      <c r="FP391" s="592"/>
      <c r="FQ391" s="592"/>
      <c r="FR391" s="592"/>
      <c r="FS391" s="592"/>
      <c r="FT391" s="592"/>
      <c r="FU391" s="592"/>
      <c r="FV391" s="592"/>
      <c r="FW391" s="592"/>
      <c r="FX391" s="592"/>
      <c r="FY391" s="592"/>
      <c r="FZ391" s="592"/>
      <c r="GA391" s="592"/>
      <c r="GB391" s="592"/>
    </row>
    <row r="392" spans="1:184">
      <c r="B392" s="614" t="s">
        <v>1500</v>
      </c>
      <c r="D392" s="959" t="s">
        <v>1501</v>
      </c>
      <c r="E392" s="959"/>
    </row>
    <row r="399" spans="1:184">
      <c r="B399" s="614" t="s">
        <v>1503</v>
      </c>
      <c r="C399" s="618"/>
      <c r="D399" s="959" t="s">
        <v>1502</v>
      </c>
      <c r="E399" s="959"/>
    </row>
  </sheetData>
  <mergeCells count="4">
    <mergeCell ref="D399:E399"/>
    <mergeCell ref="A1:E1"/>
    <mergeCell ref="A2:E2"/>
    <mergeCell ref="D392:E392"/>
  </mergeCells>
  <phoneticPr fontId="53" type="noConversion"/>
  <conditionalFormatting sqref="E7:F212 E301:F302 F213:F219 D326:D330 F227:F230 E294:E300 C4:C217 G4:G217">
    <cfRule type="cellIs" dxfId="43" priority="73" stopIfTrue="1" operator="lessThan">
      <formula>0</formula>
    </cfRule>
    <cfRule type="cellIs" dxfId="42" priority="74" stopIfTrue="1" operator="lessThan">
      <formula>0</formula>
    </cfRule>
    <cfRule type="cellIs" dxfId="41" priority="75" stopIfTrue="1" operator="lessThan">
      <formula>0</formula>
    </cfRule>
  </conditionalFormatting>
  <conditionalFormatting sqref="B1 B401:B65913 B390:B399">
    <cfRule type="containsText" dxfId="40" priority="76" operator="containsText" text="VËn chuyÓn ®i ®æ, ®Êt cÊp II">
      <formula>NOT(ISERROR(SEARCH("VËn chuyÓn ®i ®æ, ®Êt cÊp II",B1)))</formula>
    </cfRule>
    <cfRule type="containsText" dxfId="39" priority="77" operator="containsText" text="H¹ng môc c«ng viÖc">
      <formula>NOT(ISERROR(SEARCH("H¹ng môc c«ng viÖc",B1)))</formula>
    </cfRule>
  </conditionalFormatting>
  <conditionalFormatting sqref="E6">
    <cfRule type="cellIs" dxfId="38" priority="46" stopIfTrue="1" operator="lessThan">
      <formula>0</formula>
    </cfRule>
    <cfRule type="cellIs" dxfId="37" priority="47" stopIfTrue="1" operator="lessThan">
      <formula>0</formula>
    </cfRule>
    <cfRule type="cellIs" dxfId="36" priority="48" stopIfTrue="1" operator="lessThan">
      <formula>0</formula>
    </cfRule>
  </conditionalFormatting>
  <conditionalFormatting sqref="F6">
    <cfRule type="cellIs" dxfId="35" priority="40" stopIfTrue="1" operator="lessThan">
      <formula>0</formula>
    </cfRule>
    <cfRule type="cellIs" dxfId="34" priority="41" stopIfTrue="1" operator="lessThan">
      <formula>0</formula>
    </cfRule>
    <cfRule type="cellIs" dxfId="33" priority="42" stopIfTrue="1" operator="lessThan">
      <formula>0</formula>
    </cfRule>
  </conditionalFormatting>
  <conditionalFormatting sqref="C218:C226">
    <cfRule type="cellIs" dxfId="32" priority="37" stopIfTrue="1" operator="lessThan">
      <formula>0</formula>
    </cfRule>
    <cfRule type="cellIs" dxfId="31" priority="38" stopIfTrue="1" operator="lessThan">
      <formula>0</formula>
    </cfRule>
    <cfRule type="cellIs" dxfId="30" priority="39" stopIfTrue="1" operator="lessThan">
      <formula>0</formula>
    </cfRule>
  </conditionalFormatting>
  <conditionalFormatting sqref="C227:C228">
    <cfRule type="cellIs" dxfId="29" priority="34" stopIfTrue="1" operator="lessThan">
      <formula>0</formula>
    </cfRule>
    <cfRule type="cellIs" dxfId="28" priority="35" stopIfTrue="1" operator="lessThan">
      <formula>0</formula>
    </cfRule>
    <cfRule type="cellIs" dxfId="27" priority="36" stopIfTrue="1" operator="lessThan">
      <formula>0</formula>
    </cfRule>
  </conditionalFormatting>
  <conditionalFormatting sqref="C229:C300">
    <cfRule type="cellIs" dxfId="26" priority="31" stopIfTrue="1" operator="lessThan">
      <formula>0</formula>
    </cfRule>
    <cfRule type="cellIs" dxfId="25" priority="32" stopIfTrue="1" operator="lessThan">
      <formula>0</formula>
    </cfRule>
    <cfRule type="cellIs" dxfId="24" priority="33" stopIfTrue="1" operator="lessThan">
      <formula>0</formula>
    </cfRule>
  </conditionalFormatting>
  <conditionalFormatting sqref="C301:C389">
    <cfRule type="cellIs" dxfId="23" priority="28" stopIfTrue="1" operator="lessThan">
      <formula>0</formula>
    </cfRule>
    <cfRule type="cellIs" dxfId="22" priority="29" stopIfTrue="1" operator="lessThan">
      <formula>0</formula>
    </cfRule>
    <cfRule type="cellIs" dxfId="21" priority="30" stopIfTrue="1" operator="lessThan">
      <formula>0</formula>
    </cfRule>
  </conditionalFormatting>
  <conditionalFormatting sqref="E213:E293">
    <cfRule type="cellIs" dxfId="20" priority="25" stopIfTrue="1" operator="lessThan">
      <formula>0</formula>
    </cfRule>
    <cfRule type="cellIs" dxfId="19" priority="26" stopIfTrue="1" operator="lessThan">
      <formula>0</formula>
    </cfRule>
    <cfRule type="cellIs" dxfId="18" priority="27" stopIfTrue="1" operator="lessThan">
      <formula>0</formula>
    </cfRule>
  </conditionalFormatting>
  <conditionalFormatting sqref="F303:F386">
    <cfRule type="cellIs" dxfId="17" priority="19" stopIfTrue="1" operator="lessThan">
      <formula>0</formula>
    </cfRule>
    <cfRule type="cellIs" dxfId="16" priority="20" stopIfTrue="1" operator="lessThan">
      <formula>0</formula>
    </cfRule>
    <cfRule type="cellIs" dxfId="15" priority="21" stopIfTrue="1" operator="lessThan">
      <formula>0</formula>
    </cfRule>
  </conditionalFormatting>
  <conditionalFormatting sqref="E303:E389">
    <cfRule type="cellIs" dxfId="14" priority="16" stopIfTrue="1" operator="lessThan">
      <formula>0</formula>
    </cfRule>
    <cfRule type="cellIs" dxfId="13" priority="17" stopIfTrue="1" operator="lessThan">
      <formula>0</formula>
    </cfRule>
    <cfRule type="cellIs" dxfId="12" priority="18" stopIfTrue="1" operator="lessThan">
      <formula>0</formula>
    </cfRule>
  </conditionalFormatting>
  <conditionalFormatting sqref="F220:F226">
    <cfRule type="cellIs" dxfId="11" priority="13" stopIfTrue="1" operator="lessThan">
      <formula>0</formula>
    </cfRule>
    <cfRule type="cellIs" dxfId="10" priority="14" stopIfTrue="1" operator="lessThan">
      <formula>0</formula>
    </cfRule>
    <cfRule type="cellIs" dxfId="9" priority="15" stopIfTrue="1" operator="lessThan">
      <formula>0</formula>
    </cfRule>
  </conditionalFormatting>
  <conditionalFormatting sqref="F294:F300">
    <cfRule type="cellIs" dxfId="8" priority="10" stopIfTrue="1" operator="lessThan">
      <formula>0</formula>
    </cfRule>
    <cfRule type="cellIs" dxfId="7" priority="11" stopIfTrue="1" operator="lessThan">
      <formula>0</formula>
    </cfRule>
    <cfRule type="cellIs" dxfId="6" priority="12" stopIfTrue="1" operator="lessThan">
      <formula>0</formula>
    </cfRule>
  </conditionalFormatting>
  <conditionalFormatting sqref="F231:F293">
    <cfRule type="cellIs" dxfId="5" priority="7" stopIfTrue="1" operator="lessThan">
      <formula>0</formula>
    </cfRule>
    <cfRule type="cellIs" dxfId="4" priority="8" stopIfTrue="1" operator="lessThan">
      <formula>0</formula>
    </cfRule>
    <cfRule type="cellIs" dxfId="3" priority="9" stopIfTrue="1" operator="lessThan">
      <formula>0</formula>
    </cfRule>
  </conditionalFormatting>
  <conditionalFormatting sqref="F387:F389">
    <cfRule type="cellIs" dxfId="2" priority="4" stopIfTrue="1" operator="lessThan">
      <formula>0</formula>
    </cfRule>
    <cfRule type="cellIs" dxfId="1" priority="5" stopIfTrue="1" operator="lessThan">
      <formula>0</formula>
    </cfRule>
    <cfRule type="cellIs" dxfId="0" priority="6" stopIfTrue="1" operator="lessThan">
      <formula>0</formula>
    </cfRule>
  </conditionalFormatting>
  <dataValidations disablePrompts="1" xWindow="309" yWindow="719" count="1">
    <dataValidation allowBlank="1" showInputMessage="1" showErrorMessage="1" prompt="Cột 1, 2, 3, 4, 5 link đầy đủ từ sheet QT sang" sqref="O798:O821 O823:O924 B401:B1034 B210:B399 B5:B208"/>
  </dataValidations>
  <pageMargins left="0.59055118110236227" right="0.19685039370078741" top="0.59055118110236227" bottom="0.59055118110236227" header="0.19685039370078741" footer="0.19685039370078741"/>
  <pageSetup paperSize="9" scale="75" fitToHeight="0" orientation="portrait" blackAndWhite="1"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L181"/>
  <sheetViews>
    <sheetView workbookViewId="0">
      <pane xSplit="5" ySplit="5" topLeftCell="F120" activePane="bottomRight" state="frozenSplit"/>
      <selection activeCell="K110" sqref="K110"/>
      <selection pane="topRight" activeCell="K110" sqref="K110"/>
      <selection pane="bottomLeft" activeCell="K110" sqref="K110"/>
      <selection pane="bottomRight" activeCell="K110" sqref="K110"/>
    </sheetView>
  </sheetViews>
  <sheetFormatPr defaultColWidth="10" defaultRowHeight="15" customHeight="1"/>
  <cols>
    <col min="1" max="1" width="6.5" style="466" customWidth="1"/>
    <col min="2" max="2" width="10" style="466" hidden="1" customWidth="1"/>
    <col min="3" max="4" width="13.83203125" style="466" hidden="1" customWidth="1"/>
    <col min="5" max="5" width="12.33203125" style="466" hidden="1" customWidth="1"/>
    <col min="6" max="6" width="67.6640625" style="466" customWidth="1"/>
    <col min="7" max="7" width="15.33203125" style="466" customWidth="1"/>
    <col min="8" max="8" width="7.83203125" style="495" hidden="1" customWidth="1"/>
    <col min="9" max="11" width="10" style="495" hidden="1" customWidth="1"/>
    <col min="12" max="12" width="7.1640625" style="495" hidden="1" customWidth="1"/>
    <col min="13" max="14" width="10" style="495" hidden="1" customWidth="1"/>
    <col min="15" max="15" width="9.33203125" style="495" hidden="1" customWidth="1"/>
    <col min="16" max="16" width="14.6640625" style="495" customWidth="1"/>
    <col min="17" max="17" width="12.5" style="496" hidden="1" customWidth="1"/>
    <col min="18" max="18" width="10.83203125" style="496" hidden="1" customWidth="1"/>
    <col min="19" max="19" width="12.83203125" style="496" hidden="1" customWidth="1"/>
    <col min="20" max="20" width="12.5" style="496" hidden="1" customWidth="1"/>
    <col min="21" max="21" width="14.5" style="496" hidden="1" customWidth="1"/>
    <col min="22" max="22" width="12.5" style="496" hidden="1" customWidth="1"/>
    <col min="23" max="23" width="13" style="496" hidden="1" customWidth="1"/>
    <col min="24" max="24" width="15.5" style="496" hidden="1" customWidth="1"/>
    <col min="25" max="27" width="7.83203125" style="497" hidden="1" customWidth="1"/>
    <col min="28" max="29" width="28.33203125" style="467" hidden="1" customWidth="1"/>
    <col min="30" max="35" width="10" style="469" hidden="1" customWidth="1"/>
    <col min="36" max="37" width="10.83203125" style="479" hidden="1" customWidth="1"/>
    <col min="38" max="38" width="25" style="467" hidden="1" customWidth="1"/>
    <col min="39" max="39" width="0" style="466" hidden="1" customWidth="1"/>
    <col min="40" max="16384" width="10" style="466"/>
  </cols>
  <sheetData>
    <row r="1" spans="1:38" ht="24.75" customHeight="1">
      <c r="A1" s="965" t="s">
        <v>1379</v>
      </c>
      <c r="B1" s="966"/>
      <c r="C1" s="966"/>
      <c r="D1" s="966"/>
      <c r="E1" s="966"/>
      <c r="F1" s="966"/>
      <c r="G1" s="966"/>
      <c r="H1" s="967"/>
      <c r="I1" s="967"/>
      <c r="J1" s="967"/>
      <c r="K1" s="967"/>
      <c r="L1" s="967"/>
      <c r="M1" s="967"/>
      <c r="N1" s="967"/>
      <c r="O1" s="967"/>
      <c r="P1" s="967"/>
      <c r="Q1" s="968"/>
      <c r="R1" s="968"/>
      <c r="S1" s="968"/>
      <c r="T1" s="968"/>
      <c r="U1" s="968"/>
      <c r="V1" s="968"/>
      <c r="W1" s="968"/>
      <c r="X1" s="968"/>
      <c r="Y1" s="462"/>
      <c r="Z1" s="462"/>
      <c r="AA1" s="462"/>
      <c r="AB1" s="463"/>
      <c r="AC1" s="463"/>
      <c r="AD1" s="464"/>
      <c r="AE1" s="464"/>
      <c r="AF1" s="464"/>
      <c r="AG1" s="464"/>
      <c r="AH1" s="464"/>
      <c r="AI1" s="464"/>
      <c r="AJ1" s="465"/>
      <c r="AK1" s="465"/>
      <c r="AL1" s="464" t="s">
        <v>1</v>
      </c>
    </row>
    <row r="2" spans="1:38" ht="32.25" customHeight="1">
      <c r="A2" s="973" t="s">
        <v>2</v>
      </c>
      <c r="B2" s="974"/>
      <c r="C2" s="974"/>
      <c r="D2" s="974"/>
      <c r="E2" s="974"/>
      <c r="F2" s="974"/>
      <c r="G2" s="974"/>
      <c r="H2" s="975"/>
      <c r="I2" s="975"/>
      <c r="J2" s="975"/>
      <c r="K2" s="975"/>
      <c r="L2" s="975"/>
      <c r="M2" s="975"/>
      <c r="N2" s="975"/>
      <c r="O2" s="975"/>
      <c r="P2" s="975"/>
      <c r="Q2" s="976"/>
      <c r="R2" s="976"/>
      <c r="S2" s="976"/>
      <c r="T2" s="976"/>
      <c r="U2" s="976"/>
      <c r="V2" s="976"/>
      <c r="W2" s="976"/>
      <c r="X2" s="976"/>
      <c r="Y2" s="462"/>
      <c r="Z2" s="462"/>
      <c r="AA2" s="462"/>
      <c r="AB2" s="463"/>
      <c r="AC2" s="463"/>
      <c r="AD2" s="464"/>
      <c r="AE2" s="464"/>
      <c r="AF2" s="464"/>
      <c r="AG2" s="464"/>
      <c r="AH2" s="464"/>
      <c r="AI2" s="464"/>
      <c r="AJ2" s="465"/>
      <c r="AK2" s="465"/>
      <c r="AL2" s="463"/>
    </row>
    <row r="3" spans="1:38" ht="26.25" hidden="1" customHeight="1">
      <c r="A3" s="969" t="s">
        <v>3</v>
      </c>
      <c r="B3" s="970"/>
      <c r="C3" s="970"/>
      <c r="D3" s="970"/>
      <c r="E3" s="970"/>
      <c r="F3" s="970"/>
      <c r="G3" s="970"/>
      <c r="H3" s="971"/>
      <c r="I3" s="971"/>
      <c r="J3" s="971"/>
      <c r="K3" s="971"/>
      <c r="L3" s="971"/>
      <c r="M3" s="971"/>
      <c r="N3" s="971"/>
      <c r="O3" s="971"/>
      <c r="P3" s="971"/>
      <c r="Q3" s="972"/>
      <c r="R3" s="972"/>
      <c r="S3" s="972"/>
      <c r="T3" s="972"/>
      <c r="U3" s="972"/>
      <c r="V3" s="972"/>
      <c r="W3" s="972"/>
      <c r="X3" s="972"/>
      <c r="Y3" s="462"/>
      <c r="Z3" s="462"/>
      <c r="AA3" s="462"/>
      <c r="AB3" s="463"/>
      <c r="AC3" s="463"/>
      <c r="AD3" s="464"/>
      <c r="AE3" s="464"/>
      <c r="AF3" s="464"/>
      <c r="AG3" s="464"/>
      <c r="AH3" s="464"/>
      <c r="AI3" s="464"/>
      <c r="AJ3" s="465"/>
      <c r="AK3" s="465"/>
      <c r="AL3" s="463"/>
    </row>
    <row r="4" spans="1:38" ht="15" customHeight="1">
      <c r="A4" s="977" t="s">
        <v>4</v>
      </c>
      <c r="B4" s="977" t="s">
        <v>5</v>
      </c>
      <c r="C4" s="977" t="s">
        <v>6</v>
      </c>
      <c r="D4" s="977" t="s">
        <v>7</v>
      </c>
      <c r="E4" s="977" t="s">
        <v>8</v>
      </c>
      <c r="F4" s="977" t="s">
        <v>9</v>
      </c>
      <c r="G4" s="977" t="s">
        <v>10</v>
      </c>
      <c r="H4" s="977" t="s">
        <v>11</v>
      </c>
      <c r="I4" s="977" t="s">
        <v>12</v>
      </c>
      <c r="J4" s="977"/>
      <c r="K4" s="977"/>
      <c r="L4" s="977" t="s">
        <v>13</v>
      </c>
      <c r="M4" s="977" t="s">
        <v>14</v>
      </c>
      <c r="N4" s="977" t="s">
        <v>15</v>
      </c>
      <c r="O4" s="977" t="s">
        <v>16</v>
      </c>
      <c r="P4" s="977" t="s">
        <v>17</v>
      </c>
      <c r="Q4" s="977" t="str">
        <f>"Đơn giá "&amp;'Công trình'!AL1</f>
        <v>Đơn giá (đ)</v>
      </c>
      <c r="R4" s="977"/>
      <c r="S4" s="977"/>
      <c r="T4" s="977"/>
      <c r="U4" s="977" t="str">
        <f>"Thành tiền "&amp;'Công trình'!AL1</f>
        <v>Thành tiền (đ)</v>
      </c>
      <c r="V4" s="977"/>
      <c r="W4" s="977"/>
      <c r="X4" s="977"/>
      <c r="Y4" s="978" t="s">
        <v>18</v>
      </c>
      <c r="Z4" s="978"/>
      <c r="AA4" s="979"/>
      <c r="AB4" s="980" t="s">
        <v>19</v>
      </c>
      <c r="AC4" s="980"/>
      <c r="AD4" s="963" t="s">
        <v>20</v>
      </c>
      <c r="AE4" s="963"/>
      <c r="AF4" s="963"/>
      <c r="AG4" s="963" t="s">
        <v>21</v>
      </c>
      <c r="AH4" s="963"/>
      <c r="AI4" s="963"/>
      <c r="AJ4" s="964" t="s">
        <v>22</v>
      </c>
      <c r="AK4" s="964"/>
      <c r="AL4" s="467" t="s">
        <v>23</v>
      </c>
    </row>
    <row r="5" spans="1:38" ht="15" customHeight="1">
      <c r="A5" s="977"/>
      <c r="B5" s="977"/>
      <c r="C5" s="977"/>
      <c r="D5" s="977"/>
      <c r="E5" s="977"/>
      <c r="F5" s="977"/>
      <c r="G5" s="977"/>
      <c r="H5" s="977"/>
      <c r="I5" s="499" t="s">
        <v>24</v>
      </c>
      <c r="J5" s="499" t="s">
        <v>25</v>
      </c>
      <c r="K5" s="499" t="s">
        <v>26</v>
      </c>
      <c r="L5" s="977"/>
      <c r="M5" s="977"/>
      <c r="N5" s="977"/>
      <c r="O5" s="977"/>
      <c r="P5" s="977"/>
      <c r="Q5" s="499" t="s">
        <v>27</v>
      </c>
      <c r="R5" s="499" t="s">
        <v>28</v>
      </c>
      <c r="S5" s="499" t="s">
        <v>29</v>
      </c>
      <c r="T5" s="499" t="s">
        <v>30</v>
      </c>
      <c r="U5" s="499" t="s">
        <v>27</v>
      </c>
      <c r="V5" s="499" t="s">
        <v>28</v>
      </c>
      <c r="W5" s="499" t="s">
        <v>29</v>
      </c>
      <c r="X5" s="499" t="s">
        <v>31</v>
      </c>
      <c r="Y5" s="468" t="s">
        <v>32</v>
      </c>
      <c r="Z5" s="468" t="s">
        <v>33</v>
      </c>
      <c r="AA5" s="468" t="s">
        <v>34</v>
      </c>
      <c r="AB5" s="467" t="s">
        <v>35</v>
      </c>
      <c r="AC5" s="467" t="s">
        <v>36</v>
      </c>
      <c r="AD5" s="469" t="s">
        <v>32</v>
      </c>
      <c r="AE5" s="469" t="s">
        <v>33</v>
      </c>
      <c r="AF5" s="469" t="s">
        <v>34</v>
      </c>
      <c r="AG5" s="469" t="s">
        <v>32</v>
      </c>
      <c r="AH5" s="469" t="s">
        <v>33</v>
      </c>
      <c r="AI5" s="469" t="s">
        <v>34</v>
      </c>
      <c r="AJ5" s="470" t="s">
        <v>37</v>
      </c>
      <c r="AK5" s="470" t="s">
        <v>38</v>
      </c>
    </row>
    <row r="6" spans="1:38" ht="28.5" hidden="1" customHeight="1">
      <c r="A6" s="500"/>
      <c r="B6" s="501"/>
      <c r="C6" s="502"/>
      <c r="D6" s="502"/>
      <c r="E6" s="503" t="s">
        <v>39</v>
      </c>
      <c r="F6" s="503" t="s">
        <v>3</v>
      </c>
      <c r="G6" s="503"/>
      <c r="H6" s="504"/>
      <c r="I6" s="504"/>
      <c r="J6" s="504"/>
      <c r="K6" s="504"/>
      <c r="L6" s="504"/>
      <c r="M6" s="504"/>
      <c r="N6" s="504"/>
      <c r="O6" s="504">
        <v>4</v>
      </c>
      <c r="P6" s="505"/>
      <c r="Q6" s="506"/>
      <c r="R6" s="507"/>
      <c r="S6" s="506"/>
      <c r="T6" s="506"/>
      <c r="U6" s="506"/>
      <c r="V6" s="507"/>
      <c r="W6" s="506"/>
      <c r="X6" s="506"/>
      <c r="Y6" s="478"/>
      <c r="Z6" s="478"/>
      <c r="AA6" s="478"/>
    </row>
    <row r="7" spans="1:38" ht="18.75" hidden="1" customHeight="1">
      <c r="A7" s="500"/>
      <c r="B7" s="501"/>
      <c r="C7" s="502"/>
      <c r="D7" s="502"/>
      <c r="E7" s="503" t="s">
        <v>40</v>
      </c>
      <c r="F7" s="503" t="s">
        <v>1361</v>
      </c>
      <c r="G7" s="503"/>
      <c r="H7" s="504"/>
      <c r="I7" s="504"/>
      <c r="J7" s="504"/>
      <c r="K7" s="504"/>
      <c r="L7" s="504"/>
      <c r="M7" s="504"/>
      <c r="N7" s="504"/>
      <c r="O7" s="504"/>
      <c r="P7" s="508"/>
      <c r="Q7" s="506"/>
      <c r="R7" s="507"/>
      <c r="S7" s="506"/>
      <c r="T7" s="506"/>
      <c r="U7" s="506"/>
      <c r="V7" s="507"/>
      <c r="W7" s="506"/>
      <c r="X7" s="506"/>
      <c r="Y7" s="478"/>
      <c r="Z7" s="478"/>
      <c r="AA7" s="478"/>
    </row>
    <row r="8" spans="1:38" ht="15.75">
      <c r="A8" s="506" t="s">
        <v>364</v>
      </c>
      <c r="B8" s="509"/>
      <c r="C8" s="502"/>
      <c r="D8" s="502"/>
      <c r="E8" s="510"/>
      <c r="F8" s="511" t="s">
        <v>1386</v>
      </c>
      <c r="G8" s="510"/>
      <c r="H8" s="504"/>
      <c r="I8" s="504"/>
      <c r="J8" s="504"/>
      <c r="K8" s="504"/>
      <c r="L8" s="504"/>
      <c r="M8" s="504"/>
      <c r="N8" s="504"/>
      <c r="O8" s="504"/>
      <c r="P8" s="504"/>
      <c r="Q8" s="507"/>
      <c r="R8" s="507"/>
      <c r="S8" s="507"/>
      <c r="T8" s="507"/>
      <c r="U8" s="507"/>
      <c r="V8" s="507"/>
      <c r="W8" s="507"/>
      <c r="X8" s="507"/>
      <c r="Y8" s="483"/>
      <c r="Z8" s="483"/>
      <c r="AA8" s="483"/>
    </row>
    <row r="9" spans="1:38" ht="31.5">
      <c r="A9" s="500">
        <v>1</v>
      </c>
      <c r="B9" s="509"/>
      <c r="C9" s="502" t="s">
        <v>41</v>
      </c>
      <c r="D9" s="502"/>
      <c r="E9" s="510" t="s">
        <v>41</v>
      </c>
      <c r="F9" s="512" t="s">
        <v>42</v>
      </c>
      <c r="G9" s="510" t="s">
        <v>43</v>
      </c>
      <c r="H9" s="504"/>
      <c r="I9" s="504"/>
      <c r="J9" s="504"/>
      <c r="K9" s="504"/>
      <c r="L9" s="504"/>
      <c r="M9" s="504"/>
      <c r="N9" s="504"/>
      <c r="O9" s="504"/>
      <c r="P9" s="504">
        <f>ROUND(SUM(O9:O10),4)</f>
        <v>90.89</v>
      </c>
      <c r="Q9" s="507"/>
      <c r="R9" s="507"/>
      <c r="S9" s="507">
        <v>2877</v>
      </c>
      <c r="T9" s="507">
        <v>93882</v>
      </c>
      <c r="U9" s="507">
        <f>ROUND(IF(P7=0,ROUND(P9,4)*Q9,P7*ROUND(P9,4)*Q9),1)</f>
        <v>0</v>
      </c>
      <c r="V9" s="507">
        <f>ROUND(IF(P7=0,ROUND(P9,4)*R9,P7*ROUND(P9,4)*R9),1)</f>
        <v>0</v>
      </c>
      <c r="W9" s="507">
        <f>ROUND(IF(P7=0,ROUND(P9,4)*S9,P7*ROUND(P9,4)*S9),1)</f>
        <v>261490.5</v>
      </c>
      <c r="X9" s="507">
        <f>ROUND(IF(P7=0,ROUND(P9,4)*T9,P7*ROUND(P9,4)*T9),1)</f>
        <v>8532935</v>
      </c>
      <c r="Y9" s="483"/>
      <c r="Z9" s="483"/>
      <c r="AA9" s="483"/>
      <c r="AB9" s="467" t="s">
        <v>44</v>
      </c>
      <c r="AC9" s="467" t="s">
        <v>45</v>
      </c>
      <c r="AE9" s="469" t="s">
        <v>46</v>
      </c>
      <c r="AF9" s="469" t="s">
        <v>47</v>
      </c>
      <c r="AL9" s="467" t="s">
        <v>48</v>
      </c>
    </row>
    <row r="10" spans="1:38" ht="15.75">
      <c r="A10" s="500"/>
      <c r="B10" s="509"/>
      <c r="C10" s="502"/>
      <c r="D10" s="502"/>
      <c r="E10" s="510"/>
      <c r="F10" s="513" t="s">
        <v>49</v>
      </c>
      <c r="G10" s="510"/>
      <c r="H10" s="504"/>
      <c r="I10" s="504"/>
      <c r="J10" s="504"/>
      <c r="K10" s="504"/>
      <c r="L10" s="504"/>
      <c r="M10" s="504"/>
      <c r="N10" s="504"/>
      <c r="O10" s="504">
        <v>90.89</v>
      </c>
      <c r="P10" s="504"/>
      <c r="Q10" s="507"/>
      <c r="R10" s="507"/>
      <c r="S10" s="507"/>
      <c r="T10" s="507"/>
      <c r="U10" s="507"/>
      <c r="V10" s="507"/>
      <c r="W10" s="507"/>
      <c r="X10" s="507"/>
      <c r="Y10" s="483"/>
      <c r="Z10" s="483"/>
      <c r="AA10" s="483"/>
    </row>
    <row r="11" spans="1:38" ht="15.75">
      <c r="A11" s="500">
        <v>2</v>
      </c>
      <c r="B11" s="509"/>
      <c r="C11" s="502" t="s">
        <v>50</v>
      </c>
      <c r="D11" s="502"/>
      <c r="E11" s="510" t="s">
        <v>50</v>
      </c>
      <c r="F11" s="512" t="s">
        <v>51</v>
      </c>
      <c r="G11" s="510" t="s">
        <v>52</v>
      </c>
      <c r="H11" s="504"/>
      <c r="I11" s="504"/>
      <c r="J11" s="504"/>
      <c r="K11" s="504"/>
      <c r="L11" s="504"/>
      <c r="M11" s="504"/>
      <c r="N11" s="504"/>
      <c r="O11" s="504"/>
      <c r="P11" s="504">
        <f>ROUND(SUM(O11:O12),4)</f>
        <v>7.7824999999999998</v>
      </c>
      <c r="Q11" s="507"/>
      <c r="R11" s="507"/>
      <c r="S11" s="507">
        <v>759069</v>
      </c>
      <c r="T11" s="507">
        <v>1141863</v>
      </c>
      <c r="U11" s="507">
        <f>ROUND(IF(P7=0,ROUND(P11,4)*Q11,P7*ROUND(P11,4)*Q11),1)</f>
        <v>0</v>
      </c>
      <c r="V11" s="507">
        <f>ROUND(IF(P7=0,ROUND(P11,4)*R11,P7*ROUND(P11,4)*R11),1)</f>
        <v>0</v>
      </c>
      <c r="W11" s="507">
        <f>ROUND(IF(P7=0,ROUND(P11,4)*S11,P7*ROUND(P11,4)*S11),1)</f>
        <v>5907454.5</v>
      </c>
      <c r="X11" s="507">
        <f>ROUND(IF(P7=0,ROUND(P11,4)*T11,P7*ROUND(P11,4)*T11),1)</f>
        <v>8886548.8000000007</v>
      </c>
      <c r="Y11" s="483"/>
      <c r="Z11" s="483"/>
      <c r="AA11" s="483"/>
      <c r="AB11" s="467" t="s">
        <v>44</v>
      </c>
      <c r="AC11" s="467" t="s">
        <v>45</v>
      </c>
      <c r="AE11" s="469" t="s">
        <v>53</v>
      </c>
      <c r="AF11" s="469" t="s">
        <v>54</v>
      </c>
      <c r="AL11" s="467" t="s">
        <v>48</v>
      </c>
    </row>
    <row r="12" spans="1:38" ht="15.75">
      <c r="A12" s="500"/>
      <c r="B12" s="509"/>
      <c r="C12" s="502"/>
      <c r="D12" s="502"/>
      <c r="E12" s="510"/>
      <c r="F12" s="513" t="s">
        <v>55</v>
      </c>
      <c r="G12" s="510"/>
      <c r="H12" s="504"/>
      <c r="I12" s="504"/>
      <c r="J12" s="504"/>
      <c r="K12" s="504"/>
      <c r="L12" s="504"/>
      <c r="M12" s="504"/>
      <c r="N12" s="504"/>
      <c r="O12" s="504">
        <v>7.7824999999999998</v>
      </c>
      <c r="P12" s="504"/>
      <c r="Q12" s="507"/>
      <c r="R12" s="507"/>
      <c r="S12" s="507"/>
      <c r="T12" s="507"/>
      <c r="U12" s="507"/>
      <c r="V12" s="507"/>
      <c r="W12" s="507"/>
      <c r="X12" s="507"/>
      <c r="Y12" s="483"/>
      <c r="Z12" s="483"/>
      <c r="AA12" s="483"/>
    </row>
    <row r="13" spans="1:38" ht="15.75">
      <c r="A13" s="500">
        <v>3</v>
      </c>
      <c r="B13" s="509"/>
      <c r="C13" s="502" t="s">
        <v>56</v>
      </c>
      <c r="D13" s="502"/>
      <c r="E13" s="510" t="s">
        <v>56</v>
      </c>
      <c r="F13" s="512" t="s">
        <v>57</v>
      </c>
      <c r="G13" s="510" t="s">
        <v>52</v>
      </c>
      <c r="H13" s="504"/>
      <c r="I13" s="504"/>
      <c r="J13" s="504"/>
      <c r="K13" s="504"/>
      <c r="L13" s="504"/>
      <c r="M13" s="504"/>
      <c r="N13" s="504"/>
      <c r="O13" s="504"/>
      <c r="P13" s="504">
        <f>ROUND(SUM(O13:O14),4)</f>
        <v>5.2055999999999996</v>
      </c>
      <c r="Q13" s="507"/>
      <c r="R13" s="507"/>
      <c r="S13" s="507">
        <v>365150</v>
      </c>
      <c r="T13" s="507">
        <v>938368</v>
      </c>
      <c r="U13" s="507">
        <f>ROUND(IF(P7=0,ROUND(P13,4)*Q13,P7*ROUND(P13,4)*Q13),1)</f>
        <v>0</v>
      </c>
      <c r="V13" s="507">
        <f>ROUND(IF(P7=0,ROUND(P13,4)*R13,P7*ROUND(P13,4)*R13),1)</f>
        <v>0</v>
      </c>
      <c r="W13" s="507">
        <f>ROUND(IF(P7=0,ROUND(P13,4)*S13,P7*ROUND(P13,4)*S13),1)</f>
        <v>1900824.8</v>
      </c>
      <c r="X13" s="507">
        <f>ROUND(IF(P7=0,ROUND(P13,4)*T13,P7*ROUND(P13,4)*T13),1)</f>
        <v>4884768.5</v>
      </c>
      <c r="Y13" s="483"/>
      <c r="Z13" s="483"/>
      <c r="AA13" s="483"/>
      <c r="AB13" s="467" t="s">
        <v>44</v>
      </c>
      <c r="AC13" s="467" t="s">
        <v>45</v>
      </c>
      <c r="AE13" s="469" t="s">
        <v>58</v>
      </c>
      <c r="AF13" s="469" t="s">
        <v>59</v>
      </c>
      <c r="AL13" s="467" t="s">
        <v>48</v>
      </c>
    </row>
    <row r="14" spans="1:38" ht="15.75">
      <c r="A14" s="500"/>
      <c r="B14" s="509"/>
      <c r="C14" s="502"/>
      <c r="D14" s="502"/>
      <c r="E14" s="510"/>
      <c r="F14" s="513" t="s">
        <v>60</v>
      </c>
      <c r="G14" s="510"/>
      <c r="H14" s="504"/>
      <c r="I14" s="504"/>
      <c r="J14" s="504"/>
      <c r="K14" s="504"/>
      <c r="L14" s="504"/>
      <c r="M14" s="504"/>
      <c r="N14" s="504"/>
      <c r="O14" s="504">
        <v>5.2055999999999996</v>
      </c>
      <c r="P14" s="504"/>
      <c r="Q14" s="507"/>
      <c r="R14" s="507"/>
      <c r="S14" s="507"/>
      <c r="T14" s="507"/>
      <c r="U14" s="507"/>
      <c r="V14" s="507"/>
      <c r="W14" s="507"/>
      <c r="X14" s="507"/>
      <c r="Y14" s="483"/>
      <c r="Z14" s="483"/>
      <c r="AA14" s="483"/>
    </row>
    <row r="15" spans="1:38" ht="15.75">
      <c r="A15" s="500">
        <v>4</v>
      </c>
      <c r="B15" s="509"/>
      <c r="C15" s="502"/>
      <c r="D15" s="502"/>
      <c r="E15" s="510" t="s">
        <v>61</v>
      </c>
      <c r="F15" s="512" t="s">
        <v>62</v>
      </c>
      <c r="G15" s="510" t="s">
        <v>43</v>
      </c>
      <c r="H15" s="504"/>
      <c r="I15" s="504"/>
      <c r="J15" s="504"/>
      <c r="K15" s="504"/>
      <c r="L15" s="504"/>
      <c r="M15" s="504"/>
      <c r="N15" s="504"/>
      <c r="O15" s="504"/>
      <c r="P15" s="504">
        <f>ROUND(SUM(O15:O16),4)</f>
        <v>588.2328</v>
      </c>
      <c r="Q15" s="507">
        <v>190000</v>
      </c>
      <c r="R15" s="507"/>
      <c r="S15" s="507"/>
      <c r="T15" s="507"/>
      <c r="U15" s="507">
        <f>ROUND(IF(P7=0,ROUND(P15,4)*Q15,P7*ROUND(P15,4)*Q15),1)</f>
        <v>111764232</v>
      </c>
      <c r="V15" s="507">
        <f>ROUND(IF(P7=0,ROUND(P15,4)*R15,P7*ROUND(P15,4)*R15),1)</f>
        <v>0</v>
      </c>
      <c r="W15" s="507">
        <f>ROUND(IF(P7=0,ROUND(P15,4)*S15,P7*ROUND(P15,4)*S15),1)</f>
        <v>0</v>
      </c>
      <c r="X15" s="507">
        <f>ROUND(IF(P7=0,ROUND(P15,4)*T15,P7*ROUND(P15,4)*T15),1)</f>
        <v>0</v>
      </c>
      <c r="Y15" s="483"/>
      <c r="Z15" s="483"/>
      <c r="AA15" s="483"/>
    </row>
    <row r="16" spans="1:38" ht="15.75">
      <c r="A16" s="500"/>
      <c r="B16" s="509"/>
      <c r="C16" s="502"/>
      <c r="D16" s="502"/>
      <c r="E16" s="510"/>
      <c r="F16" s="513" t="s">
        <v>63</v>
      </c>
      <c r="G16" s="510"/>
      <c r="H16" s="504"/>
      <c r="I16" s="504"/>
      <c r="J16" s="504"/>
      <c r="K16" s="504"/>
      <c r="L16" s="504"/>
      <c r="M16" s="504"/>
      <c r="N16" s="504"/>
      <c r="O16" s="504">
        <v>588.2328</v>
      </c>
      <c r="P16" s="504"/>
      <c r="Q16" s="507"/>
      <c r="R16" s="507"/>
      <c r="S16" s="507"/>
      <c r="T16" s="507"/>
      <c r="U16" s="507"/>
      <c r="V16" s="507"/>
      <c r="W16" s="507"/>
      <c r="X16" s="507"/>
      <c r="Y16" s="483"/>
      <c r="Z16" s="483"/>
      <c r="AA16" s="483"/>
    </row>
    <row r="17" spans="1:38" ht="15.75">
      <c r="A17" s="500">
        <v>5</v>
      </c>
      <c r="B17" s="509"/>
      <c r="C17" s="502" t="s">
        <v>64</v>
      </c>
      <c r="D17" s="502"/>
      <c r="E17" s="510" t="s">
        <v>64</v>
      </c>
      <c r="F17" s="512" t="s">
        <v>65</v>
      </c>
      <c r="G17" s="510" t="s">
        <v>52</v>
      </c>
      <c r="H17" s="504"/>
      <c r="I17" s="504"/>
      <c r="J17" s="504"/>
      <c r="K17" s="504"/>
      <c r="L17" s="504"/>
      <c r="M17" s="504"/>
      <c r="N17" s="504"/>
      <c r="O17" s="504"/>
      <c r="P17" s="504">
        <f>ROUND(SUM(O17:O18),4)</f>
        <v>3.1234000000000002</v>
      </c>
      <c r="Q17" s="507">
        <v>24768962</v>
      </c>
      <c r="R17" s="507"/>
      <c r="S17" s="507">
        <v>843364</v>
      </c>
      <c r="T17" s="507">
        <v>2700118</v>
      </c>
      <c r="U17" s="507">
        <f>ROUND(IF(P7=0,ROUND(P17,4)*Q17,P7*ROUND(P17,4)*Q17),1)</f>
        <v>77363375.900000006</v>
      </c>
      <c r="V17" s="507">
        <f>ROUND(IF(P7=0,ROUND(P17,4)*R17,P7*ROUND(P17,4)*R17),1)</f>
        <v>0</v>
      </c>
      <c r="W17" s="507">
        <f>ROUND(IF(P7=0,ROUND(P17,4)*S17,P7*ROUND(P17,4)*S17),1)</f>
        <v>2634163.1</v>
      </c>
      <c r="X17" s="507">
        <f>ROUND(IF(P7=0,ROUND(P17,4)*T17,P7*ROUND(P17,4)*T17),1)</f>
        <v>8433548.5999999996</v>
      </c>
      <c r="Y17" s="483"/>
      <c r="Z17" s="483"/>
      <c r="AA17" s="483"/>
      <c r="AB17" s="467" t="s">
        <v>44</v>
      </c>
      <c r="AC17" s="467" t="s">
        <v>45</v>
      </c>
      <c r="AD17" s="469" t="s">
        <v>66</v>
      </c>
      <c r="AE17" s="469" t="s">
        <v>67</v>
      </c>
      <c r="AF17" s="469" t="s">
        <v>68</v>
      </c>
      <c r="AL17" s="467" t="s">
        <v>48</v>
      </c>
    </row>
    <row r="18" spans="1:38" ht="15.75">
      <c r="A18" s="500"/>
      <c r="B18" s="509"/>
      <c r="C18" s="502"/>
      <c r="D18" s="502"/>
      <c r="E18" s="510"/>
      <c r="F18" s="513" t="s">
        <v>69</v>
      </c>
      <c r="G18" s="510"/>
      <c r="H18" s="504"/>
      <c r="I18" s="504"/>
      <c r="J18" s="504"/>
      <c r="K18" s="504"/>
      <c r="L18" s="504"/>
      <c r="M18" s="504"/>
      <c r="N18" s="504"/>
      <c r="O18" s="504">
        <v>3.1234000000000002</v>
      </c>
      <c r="P18" s="504"/>
      <c r="Q18" s="507"/>
      <c r="R18" s="507"/>
      <c r="S18" s="507"/>
      <c r="T18" s="507"/>
      <c r="U18" s="507"/>
      <c r="V18" s="507"/>
      <c r="W18" s="507"/>
      <c r="X18" s="507"/>
      <c r="Y18" s="483"/>
      <c r="Z18" s="483"/>
      <c r="AA18" s="483"/>
    </row>
    <row r="19" spans="1:38" ht="15.75">
      <c r="A19" s="500">
        <v>6</v>
      </c>
      <c r="B19" s="509"/>
      <c r="C19" s="502" t="s">
        <v>70</v>
      </c>
      <c r="D19" s="502"/>
      <c r="E19" s="510" t="s">
        <v>70</v>
      </c>
      <c r="F19" s="512" t="s">
        <v>1380</v>
      </c>
      <c r="G19" s="510" t="s">
        <v>52</v>
      </c>
      <c r="H19" s="504"/>
      <c r="I19" s="504"/>
      <c r="J19" s="504"/>
      <c r="K19" s="504"/>
      <c r="L19" s="504"/>
      <c r="M19" s="504"/>
      <c r="N19" s="504"/>
      <c r="O19" s="504"/>
      <c r="P19" s="504">
        <f>ROUND(SUM(O19:O21),4)</f>
        <v>0.90890000000000004</v>
      </c>
      <c r="Q19" s="507"/>
      <c r="R19" s="507"/>
      <c r="S19" s="507"/>
      <c r="T19" s="507">
        <v>2956420</v>
      </c>
      <c r="U19" s="507">
        <f>ROUND(IF(P7=0,ROUND(P19,4)*Q19,P7*ROUND(P19,4)*Q19),1)</f>
        <v>0</v>
      </c>
      <c r="V19" s="507">
        <f>ROUND(IF(P7=0,ROUND(P19,4)*R19,P7*ROUND(P19,4)*R19),1)</f>
        <v>0</v>
      </c>
      <c r="W19" s="507">
        <f>ROUND(IF(P7=0,ROUND(P19,4)*S19,P7*ROUND(P19,4)*S19),1)</f>
        <v>0</v>
      </c>
      <c r="X19" s="507">
        <f>ROUND(IF(P7=0,ROUND(P19,4)*T19,P7*ROUND(P19,4)*T19),1)</f>
        <v>2687090.1</v>
      </c>
      <c r="Y19" s="483"/>
      <c r="Z19" s="483"/>
      <c r="AA19" s="483"/>
      <c r="AB19" s="467" t="s">
        <v>44</v>
      </c>
      <c r="AC19" s="467" t="s">
        <v>45</v>
      </c>
      <c r="AF19" s="469" t="s">
        <v>71</v>
      </c>
      <c r="AL19" s="467" t="s">
        <v>48</v>
      </c>
    </row>
    <row r="20" spans="1:38" ht="15.75">
      <c r="A20" s="500"/>
      <c r="B20" s="509"/>
      <c r="C20" s="502"/>
      <c r="D20" s="502"/>
      <c r="E20" s="510"/>
      <c r="F20" s="513" t="s">
        <v>72</v>
      </c>
      <c r="G20" s="510"/>
      <c r="H20" s="504"/>
      <c r="I20" s="504"/>
      <c r="J20" s="504"/>
      <c r="K20" s="504"/>
      <c r="L20" s="504"/>
      <c r="M20" s="504"/>
      <c r="N20" s="504"/>
      <c r="O20" s="504"/>
      <c r="P20" s="504"/>
      <c r="Q20" s="507"/>
      <c r="R20" s="507"/>
      <c r="S20" s="507"/>
      <c r="T20" s="507"/>
      <c r="U20" s="507"/>
      <c r="V20" s="507"/>
      <c r="W20" s="507"/>
      <c r="X20" s="507"/>
      <c r="Y20" s="483"/>
      <c r="Z20" s="483"/>
      <c r="AA20" s="483"/>
    </row>
    <row r="21" spans="1:38" ht="15.75">
      <c r="A21" s="500"/>
      <c r="B21" s="509"/>
      <c r="C21" s="502"/>
      <c r="D21" s="502"/>
      <c r="E21" s="510"/>
      <c r="F21" s="513">
        <f>P9/100</f>
        <v>0.90890000000000004</v>
      </c>
      <c r="G21" s="510"/>
      <c r="H21" s="504"/>
      <c r="I21" s="504"/>
      <c r="J21" s="504"/>
      <c r="K21" s="504"/>
      <c r="L21" s="504"/>
      <c r="M21" s="504"/>
      <c r="N21" s="504"/>
      <c r="O21" s="504">
        <v>0.90890000000000004</v>
      </c>
      <c r="P21" s="504"/>
      <c r="Q21" s="507"/>
      <c r="R21" s="507"/>
      <c r="S21" s="507"/>
      <c r="T21" s="507"/>
      <c r="U21" s="507"/>
      <c r="V21" s="507"/>
      <c r="W21" s="507"/>
      <c r="X21" s="507"/>
      <c r="Y21" s="483"/>
      <c r="Z21" s="483"/>
      <c r="AA21" s="483"/>
    </row>
    <row r="22" spans="1:38" ht="31.5">
      <c r="A22" s="500">
        <v>7</v>
      </c>
      <c r="B22" s="509"/>
      <c r="C22" s="502" t="s">
        <v>73</v>
      </c>
      <c r="D22" s="502"/>
      <c r="E22" s="510" t="s">
        <v>73</v>
      </c>
      <c r="F22" s="512" t="s">
        <v>74</v>
      </c>
      <c r="G22" s="510" t="s">
        <v>52</v>
      </c>
      <c r="H22" s="504"/>
      <c r="I22" s="504"/>
      <c r="J22" s="504"/>
      <c r="K22" s="504"/>
      <c r="L22" s="504"/>
      <c r="M22" s="504"/>
      <c r="N22" s="504"/>
      <c r="O22" s="504"/>
      <c r="P22" s="504">
        <f>ROUND(SUM(O22:O23),4)</f>
        <v>0.90890000000000004</v>
      </c>
      <c r="Q22" s="507"/>
      <c r="R22" s="507"/>
      <c r="S22" s="507"/>
      <c r="T22" s="507">
        <f>986625*AA22</f>
        <v>3946500</v>
      </c>
      <c r="U22" s="507">
        <f>ROUND(IF(P7=0,ROUND(P22,4)*Q22,P7*ROUND(P22,4)*Q22),1)</f>
        <v>0</v>
      </c>
      <c r="V22" s="507">
        <f>ROUND(IF(P7=0,ROUND(P22,4)*R22,P7*ROUND(P22,4)*R22),1)</f>
        <v>0</v>
      </c>
      <c r="W22" s="507">
        <f>ROUND(IF(P7=0,ROUND(P22,4)*S22,P7*ROUND(P22,4)*S22),1)</f>
        <v>0</v>
      </c>
      <c r="X22" s="507">
        <f>ROUND(IF(P7=0,ROUND(P22,4)*T22,P7*ROUND(P22,4)*T22),1)</f>
        <v>3586973.9</v>
      </c>
      <c r="Y22" s="483"/>
      <c r="Z22" s="483"/>
      <c r="AA22" s="483">
        <v>4</v>
      </c>
      <c r="AB22" s="467" t="s">
        <v>44</v>
      </c>
      <c r="AC22" s="467" t="s">
        <v>45</v>
      </c>
      <c r="AF22" s="469" t="s">
        <v>75</v>
      </c>
      <c r="AL22" s="467" t="s">
        <v>48</v>
      </c>
    </row>
    <row r="23" spans="1:38" ht="15.75">
      <c r="A23" s="500"/>
      <c r="B23" s="509"/>
      <c r="C23" s="502"/>
      <c r="D23" s="502"/>
      <c r="E23" s="510"/>
      <c r="F23" s="513">
        <f>P19</f>
        <v>0.90890000000000004</v>
      </c>
      <c r="G23" s="510"/>
      <c r="H23" s="504"/>
      <c r="I23" s="504"/>
      <c r="J23" s="504"/>
      <c r="K23" s="504"/>
      <c r="L23" s="504"/>
      <c r="M23" s="504"/>
      <c r="N23" s="504"/>
      <c r="O23" s="504">
        <v>0.90890000000000004</v>
      </c>
      <c r="P23" s="504"/>
      <c r="Q23" s="507"/>
      <c r="R23" s="507"/>
      <c r="S23" s="507"/>
      <c r="T23" s="507"/>
      <c r="U23" s="507"/>
      <c r="V23" s="507"/>
      <c r="W23" s="507"/>
      <c r="X23" s="507"/>
      <c r="Y23" s="483"/>
      <c r="Z23" s="483"/>
      <c r="AA23" s="483"/>
    </row>
    <row r="24" spans="1:38" ht="31.5">
      <c r="A24" s="500">
        <v>7</v>
      </c>
      <c r="B24" s="509"/>
      <c r="C24" s="502" t="s">
        <v>76</v>
      </c>
      <c r="D24" s="502"/>
      <c r="E24" s="510" t="s">
        <v>76</v>
      </c>
      <c r="F24" s="512" t="s">
        <v>77</v>
      </c>
      <c r="G24" s="510" t="s">
        <v>52</v>
      </c>
      <c r="H24" s="504"/>
      <c r="I24" s="504"/>
      <c r="J24" s="504"/>
      <c r="K24" s="504"/>
      <c r="L24" s="504"/>
      <c r="M24" s="504"/>
      <c r="N24" s="504"/>
      <c r="O24" s="504"/>
      <c r="P24" s="504">
        <f>ROUND(SUM(O24:O26),4)</f>
        <v>7.7824999999999998</v>
      </c>
      <c r="Q24" s="507"/>
      <c r="R24" s="507"/>
      <c r="S24" s="507"/>
      <c r="T24" s="507">
        <v>2296366</v>
      </c>
      <c r="U24" s="507">
        <f>ROUND(IF(P7=0,ROUND(P24,4)*Q24,P7*ROUND(P24,4)*Q24),1)</f>
        <v>0</v>
      </c>
      <c r="V24" s="507">
        <f>ROUND(IF(P7=0,ROUND(P24,4)*R24,P7*ROUND(P24,4)*R24),1)</f>
        <v>0</v>
      </c>
      <c r="W24" s="507">
        <f>ROUND(IF(P7=0,ROUND(P24,4)*S24,P7*ROUND(P24,4)*S24),1)</f>
        <v>0</v>
      </c>
      <c r="X24" s="507">
        <f>ROUND(IF(P7=0,ROUND(P24,4)*T24,P7*ROUND(P24,4)*T24),1)</f>
        <v>17871468.399999999</v>
      </c>
      <c r="Y24" s="483"/>
      <c r="Z24" s="483"/>
      <c r="AA24" s="483"/>
      <c r="AB24" s="467" t="s">
        <v>44</v>
      </c>
      <c r="AC24" s="467" t="s">
        <v>45</v>
      </c>
      <c r="AF24" s="469" t="s">
        <v>78</v>
      </c>
      <c r="AL24" s="467" t="s">
        <v>48</v>
      </c>
    </row>
    <row r="25" spans="1:38" ht="15.75">
      <c r="A25" s="500"/>
      <c r="B25" s="509"/>
      <c r="C25" s="502"/>
      <c r="D25" s="502"/>
      <c r="E25" s="510"/>
      <c r="F25" s="513" t="s">
        <v>79</v>
      </c>
      <c r="G25" s="510"/>
      <c r="H25" s="504"/>
      <c r="I25" s="504"/>
      <c r="J25" s="504"/>
      <c r="K25" s="504"/>
      <c r="L25" s="504"/>
      <c r="M25" s="504"/>
      <c r="N25" s="504"/>
      <c r="O25" s="504"/>
      <c r="P25" s="504"/>
      <c r="Q25" s="507"/>
      <c r="R25" s="507"/>
      <c r="S25" s="507"/>
      <c r="T25" s="507"/>
      <c r="U25" s="507"/>
      <c r="V25" s="507"/>
      <c r="W25" s="507"/>
      <c r="X25" s="507"/>
      <c r="Y25" s="483"/>
      <c r="Z25" s="483"/>
      <c r="AA25" s="483"/>
    </row>
    <row r="26" spans="1:38" ht="15.75">
      <c r="A26" s="500"/>
      <c r="B26" s="509"/>
      <c r="C26" s="502"/>
      <c r="D26" s="502"/>
      <c r="E26" s="510"/>
      <c r="F26" s="513">
        <f>P11</f>
        <v>7.7824999999999998</v>
      </c>
      <c r="G26" s="510"/>
      <c r="H26" s="504"/>
      <c r="I26" s="504"/>
      <c r="J26" s="504"/>
      <c r="K26" s="504"/>
      <c r="L26" s="504"/>
      <c r="M26" s="504"/>
      <c r="N26" s="504"/>
      <c r="O26" s="504">
        <v>7.7824999999999998</v>
      </c>
      <c r="P26" s="504"/>
      <c r="Q26" s="507"/>
      <c r="R26" s="507"/>
      <c r="S26" s="507"/>
      <c r="T26" s="507"/>
      <c r="U26" s="507"/>
      <c r="V26" s="507"/>
      <c r="W26" s="507"/>
      <c r="X26" s="507"/>
      <c r="Y26" s="483"/>
      <c r="Z26" s="483"/>
      <c r="AA26" s="483"/>
    </row>
    <row r="27" spans="1:38" ht="31.5">
      <c r="A27" s="500">
        <v>9</v>
      </c>
      <c r="B27" s="509"/>
      <c r="C27" s="502" t="s">
        <v>80</v>
      </c>
      <c r="D27" s="502"/>
      <c r="E27" s="510" t="s">
        <v>80</v>
      </c>
      <c r="F27" s="512" t="s">
        <v>81</v>
      </c>
      <c r="G27" s="510" t="s">
        <v>52</v>
      </c>
      <c r="H27" s="504"/>
      <c r="I27" s="504"/>
      <c r="J27" s="504"/>
      <c r="K27" s="504"/>
      <c r="L27" s="504"/>
      <c r="M27" s="504"/>
      <c r="N27" s="504"/>
      <c r="O27" s="504"/>
      <c r="P27" s="504">
        <f>ROUND(SUM(O27:O29),4)</f>
        <v>7.7824999999999998</v>
      </c>
      <c r="Q27" s="507"/>
      <c r="R27" s="507"/>
      <c r="S27" s="507"/>
      <c r="T27" s="507">
        <f>881224*AA27</f>
        <v>3524896</v>
      </c>
      <c r="U27" s="507">
        <f>ROUND(IF(P7=0,ROUND(P27,4)*Q27,P7*ROUND(P27,4)*Q27),1)</f>
        <v>0</v>
      </c>
      <c r="V27" s="507">
        <f>ROUND(IF(P7=0,ROUND(P27,4)*R27,P7*ROUND(P27,4)*R27),1)</f>
        <v>0</v>
      </c>
      <c r="W27" s="507">
        <f>ROUND(IF(P7=0,ROUND(P27,4)*S27,P7*ROUND(P27,4)*S27),1)</f>
        <v>0</v>
      </c>
      <c r="X27" s="507">
        <f>ROUND(IF(P7=0,ROUND(P27,4)*T27,P7*ROUND(P27,4)*T27),1)</f>
        <v>27432503.100000001</v>
      </c>
      <c r="Y27" s="483"/>
      <c r="Z27" s="483"/>
      <c r="AA27" s="483">
        <v>4</v>
      </c>
      <c r="AB27" s="467" t="s">
        <v>44</v>
      </c>
      <c r="AC27" s="467" t="s">
        <v>45</v>
      </c>
      <c r="AF27" s="469" t="s">
        <v>82</v>
      </c>
      <c r="AL27" s="467" t="s">
        <v>48</v>
      </c>
    </row>
    <row r="28" spans="1:38" ht="15.75">
      <c r="A28" s="500"/>
      <c r="B28" s="509"/>
      <c r="C28" s="502"/>
      <c r="D28" s="502"/>
      <c r="E28" s="510"/>
      <c r="F28" s="513">
        <f>P24</f>
        <v>7.7824999999999998</v>
      </c>
      <c r="G28" s="510"/>
      <c r="H28" s="504"/>
      <c r="I28" s="504"/>
      <c r="J28" s="504"/>
      <c r="K28" s="504"/>
      <c r="L28" s="504"/>
      <c r="M28" s="504"/>
      <c r="N28" s="504"/>
      <c r="O28" s="504">
        <v>7.7824999999999998</v>
      </c>
      <c r="P28" s="504"/>
      <c r="Q28" s="507"/>
      <c r="R28" s="507"/>
      <c r="S28" s="507"/>
      <c r="T28" s="507"/>
      <c r="U28" s="507"/>
      <c r="V28" s="507"/>
      <c r="W28" s="507"/>
      <c r="X28" s="507"/>
      <c r="Y28" s="483"/>
      <c r="Z28" s="483"/>
      <c r="AA28" s="483"/>
    </row>
    <row r="29" spans="1:38" ht="15.75">
      <c r="A29" s="500"/>
      <c r="B29" s="509"/>
      <c r="C29" s="502"/>
      <c r="D29" s="502"/>
      <c r="E29" s="510"/>
      <c r="F29" s="514" t="s">
        <v>83</v>
      </c>
      <c r="G29" s="510"/>
      <c r="H29" s="504"/>
      <c r="I29" s="504"/>
      <c r="J29" s="504"/>
      <c r="K29" s="504"/>
      <c r="L29" s="504"/>
      <c r="M29" s="504"/>
      <c r="N29" s="504"/>
      <c r="O29" s="504"/>
      <c r="P29" s="504"/>
      <c r="Q29" s="507"/>
      <c r="R29" s="507"/>
      <c r="S29" s="507"/>
      <c r="T29" s="507"/>
      <c r="U29" s="507"/>
      <c r="V29" s="507"/>
      <c r="W29" s="507"/>
      <c r="X29" s="507"/>
      <c r="Y29" s="483"/>
      <c r="Z29" s="483"/>
      <c r="AA29" s="483"/>
    </row>
    <row r="30" spans="1:38" ht="15.75">
      <c r="A30" s="500">
        <v>8</v>
      </c>
      <c r="B30" s="509"/>
      <c r="C30" s="502" t="s">
        <v>84</v>
      </c>
      <c r="D30" s="502"/>
      <c r="E30" s="510" t="s">
        <v>84</v>
      </c>
      <c r="F30" s="512" t="s">
        <v>85</v>
      </c>
      <c r="G30" s="510" t="s">
        <v>86</v>
      </c>
      <c r="H30" s="504"/>
      <c r="I30" s="504"/>
      <c r="J30" s="504"/>
      <c r="K30" s="504"/>
      <c r="L30" s="504"/>
      <c r="M30" s="504"/>
      <c r="N30" s="504"/>
      <c r="O30" s="504"/>
      <c r="P30" s="504">
        <f>ROUND(SUM(O30:O31),4)</f>
        <v>17.352</v>
      </c>
      <c r="Q30" s="507">
        <v>1167831</v>
      </c>
      <c r="R30" s="507"/>
      <c r="S30" s="507">
        <v>282960</v>
      </c>
      <c r="T30" s="507"/>
      <c r="U30" s="507">
        <f>ROUND(IF(P7=0,ROUND(P30,4)*Q30,P7*ROUND(P30,4)*Q30),1)</f>
        <v>20264203.5</v>
      </c>
      <c r="V30" s="507">
        <f>ROUND(IF(P7=0,ROUND(P30,4)*R30,P7*ROUND(P30,4)*R30),1)</f>
        <v>0</v>
      </c>
      <c r="W30" s="507">
        <f>ROUND(IF(P7=0,ROUND(P30,4)*S30,P7*ROUND(P30,4)*S30),1)</f>
        <v>4909921.9000000004</v>
      </c>
      <c r="X30" s="507">
        <f>ROUND(IF(P7=0,ROUND(P30,4)*T30,P7*ROUND(P30,4)*T30),1)</f>
        <v>0</v>
      </c>
      <c r="Y30" s="483"/>
      <c r="Z30" s="483"/>
      <c r="AA30" s="483"/>
      <c r="AB30" s="467" t="s">
        <v>44</v>
      </c>
      <c r="AC30" s="467" t="s">
        <v>45</v>
      </c>
      <c r="AD30" s="469" t="s">
        <v>87</v>
      </c>
      <c r="AE30" s="469" t="s">
        <v>88</v>
      </c>
      <c r="AL30" s="467" t="s">
        <v>48</v>
      </c>
    </row>
    <row r="31" spans="1:38" ht="15.75">
      <c r="A31" s="500"/>
      <c r="B31" s="509"/>
      <c r="C31" s="502"/>
      <c r="D31" s="502"/>
      <c r="E31" s="510"/>
      <c r="F31" s="513" t="s">
        <v>89</v>
      </c>
      <c r="G31" s="510"/>
      <c r="H31" s="504"/>
      <c r="I31" s="504"/>
      <c r="J31" s="504"/>
      <c r="K31" s="504"/>
      <c r="L31" s="504"/>
      <c r="M31" s="504"/>
      <c r="N31" s="504"/>
      <c r="O31" s="504">
        <v>17.352</v>
      </c>
      <c r="P31" s="504"/>
      <c r="Q31" s="507"/>
      <c r="R31" s="507"/>
      <c r="S31" s="507"/>
      <c r="T31" s="507"/>
      <c r="U31" s="507"/>
      <c r="V31" s="507"/>
      <c r="W31" s="507"/>
      <c r="X31" s="507"/>
      <c r="Y31" s="483"/>
      <c r="Z31" s="483"/>
      <c r="AA31" s="483"/>
    </row>
    <row r="32" spans="1:38" ht="15.75">
      <c r="A32" s="500">
        <v>9</v>
      </c>
      <c r="B32" s="509"/>
      <c r="C32" s="502" t="s">
        <v>90</v>
      </c>
      <c r="D32" s="502"/>
      <c r="E32" s="510" t="s">
        <v>90</v>
      </c>
      <c r="F32" s="512" t="s">
        <v>91</v>
      </c>
      <c r="G32" s="510" t="s">
        <v>86</v>
      </c>
      <c r="H32" s="504"/>
      <c r="I32" s="504"/>
      <c r="J32" s="504"/>
      <c r="K32" s="504"/>
      <c r="L32" s="504"/>
      <c r="M32" s="504"/>
      <c r="N32" s="504"/>
      <c r="O32" s="504"/>
      <c r="P32" s="504">
        <f>ROUND(SUM(O32:O33),4)</f>
        <v>1.8123</v>
      </c>
      <c r="Q32" s="507">
        <v>678169</v>
      </c>
      <c r="R32" s="507"/>
      <c r="S32" s="507">
        <v>3270692</v>
      </c>
      <c r="T32" s="507">
        <v>176372</v>
      </c>
      <c r="U32" s="507">
        <f>ROUND(IF(P7=0,ROUND(P32,4)*Q32,P7*ROUND(P32,4)*Q32),1)</f>
        <v>1229045.7</v>
      </c>
      <c r="V32" s="507">
        <f>ROUND(IF(P7=0,ROUND(P32,4)*R32,P7*ROUND(P32,4)*R32),1)</f>
        <v>0</v>
      </c>
      <c r="W32" s="507">
        <f>ROUND(IF(P7=0,ROUND(P32,4)*S32,P7*ROUND(P32,4)*S32),1)</f>
        <v>5927475.0999999996</v>
      </c>
      <c r="X32" s="507">
        <f>ROUND(IF(P7=0,ROUND(P32,4)*T32,P7*ROUND(P32,4)*T32),1)</f>
        <v>319639</v>
      </c>
      <c r="Y32" s="483"/>
      <c r="Z32" s="483"/>
      <c r="AA32" s="483"/>
      <c r="AB32" s="467" t="s">
        <v>44</v>
      </c>
      <c r="AC32" s="467" t="s">
        <v>45</v>
      </c>
      <c r="AD32" s="469" t="s">
        <v>92</v>
      </c>
      <c r="AE32" s="469" t="s">
        <v>93</v>
      </c>
      <c r="AF32" s="469" t="s">
        <v>94</v>
      </c>
      <c r="AL32" s="467" t="s">
        <v>48</v>
      </c>
    </row>
    <row r="33" spans="1:38" ht="15.75">
      <c r="A33" s="500"/>
      <c r="B33" s="509"/>
      <c r="C33" s="502"/>
      <c r="D33" s="502"/>
      <c r="E33" s="510"/>
      <c r="F33" s="513" t="s">
        <v>95</v>
      </c>
      <c r="G33" s="510"/>
      <c r="H33" s="504"/>
      <c r="I33" s="504"/>
      <c r="J33" s="504"/>
      <c r="K33" s="504"/>
      <c r="L33" s="504"/>
      <c r="M33" s="504"/>
      <c r="N33" s="504"/>
      <c r="O33" s="504">
        <v>1.8123</v>
      </c>
      <c r="P33" s="504"/>
      <c r="Q33" s="507"/>
      <c r="R33" s="507"/>
      <c r="S33" s="507"/>
      <c r="T33" s="507"/>
      <c r="U33" s="507"/>
      <c r="V33" s="507"/>
      <c r="W33" s="507"/>
      <c r="X33" s="507"/>
      <c r="Y33" s="483"/>
      <c r="Z33" s="483"/>
      <c r="AA33" s="483"/>
    </row>
    <row r="34" spans="1:38" ht="31.5">
      <c r="A34" s="500">
        <v>10</v>
      </c>
      <c r="B34" s="509"/>
      <c r="C34" s="502" t="s">
        <v>96</v>
      </c>
      <c r="D34" s="502" t="s">
        <v>97</v>
      </c>
      <c r="E34" s="510" t="s">
        <v>98</v>
      </c>
      <c r="F34" s="512" t="s">
        <v>99</v>
      </c>
      <c r="G34" s="510" t="s">
        <v>43</v>
      </c>
      <c r="H34" s="504"/>
      <c r="I34" s="504"/>
      <c r="J34" s="504"/>
      <c r="K34" s="504"/>
      <c r="L34" s="504"/>
      <c r="M34" s="504"/>
      <c r="N34" s="504"/>
      <c r="O34" s="504"/>
      <c r="P34" s="504">
        <f>ROUND(SUM(O34:O36),4)</f>
        <v>354.86</v>
      </c>
      <c r="Q34" s="507">
        <v>1011667</v>
      </c>
      <c r="R34" s="507"/>
      <c r="S34" s="507">
        <v>358940</v>
      </c>
      <c r="T34" s="507">
        <v>80984</v>
      </c>
      <c r="U34" s="507">
        <f>ROUND(IF(P7=0,ROUND(P34,4)*Q34,P7*ROUND(P34,4)*Q34),1)</f>
        <v>359000151.60000002</v>
      </c>
      <c r="V34" s="507">
        <f>ROUND(IF(P7=0,ROUND(P34,4)*R34,P7*ROUND(P34,4)*R34),1)</f>
        <v>0</v>
      </c>
      <c r="W34" s="507">
        <f>ROUND(IF(P7=0,ROUND(P34,4)*S34,P7*ROUND(P34,4)*S34),1)</f>
        <v>127373448.40000001</v>
      </c>
      <c r="X34" s="507">
        <f>ROUND(IF(P7=0,ROUND(P34,4)*T34,P7*ROUND(P34,4)*T34),1)</f>
        <v>28737982.199999999</v>
      </c>
      <c r="Y34" s="483"/>
      <c r="Z34" s="483"/>
      <c r="AA34" s="483"/>
      <c r="AB34" s="467" t="s">
        <v>44</v>
      </c>
      <c r="AC34" s="467" t="s">
        <v>45</v>
      </c>
      <c r="AD34" s="469" t="s">
        <v>100</v>
      </c>
      <c r="AE34" s="469" t="s">
        <v>101</v>
      </c>
      <c r="AF34" s="469" t="s">
        <v>102</v>
      </c>
      <c r="AL34" s="467" t="s">
        <v>48</v>
      </c>
    </row>
    <row r="35" spans="1:38" ht="15.75">
      <c r="A35" s="500"/>
      <c r="B35" s="509"/>
      <c r="C35" s="502"/>
      <c r="D35" s="502"/>
      <c r="E35" s="510"/>
      <c r="F35" s="513" t="s">
        <v>103</v>
      </c>
      <c r="G35" s="510"/>
      <c r="H35" s="504"/>
      <c r="I35" s="504"/>
      <c r="J35" s="504"/>
      <c r="K35" s="504"/>
      <c r="L35" s="504"/>
      <c r="M35" s="504"/>
      <c r="N35" s="504"/>
      <c r="O35" s="504">
        <v>351.93</v>
      </c>
      <c r="P35" s="504"/>
      <c r="Q35" s="507"/>
      <c r="R35" s="507"/>
      <c r="S35" s="507"/>
      <c r="T35" s="507"/>
      <c r="U35" s="507"/>
      <c r="V35" s="507"/>
      <c r="W35" s="507"/>
      <c r="X35" s="507"/>
      <c r="Y35" s="483"/>
      <c r="Z35" s="483"/>
      <c r="AA35" s="483"/>
    </row>
    <row r="36" spans="1:38" ht="15.75">
      <c r="A36" s="500"/>
      <c r="B36" s="509"/>
      <c r="C36" s="502"/>
      <c r="D36" s="502"/>
      <c r="E36" s="510"/>
      <c r="F36" s="513" t="s">
        <v>104</v>
      </c>
      <c r="G36" s="510"/>
      <c r="H36" s="504"/>
      <c r="I36" s="504"/>
      <c r="J36" s="504"/>
      <c r="K36" s="504"/>
      <c r="L36" s="504"/>
      <c r="M36" s="504"/>
      <c r="N36" s="504"/>
      <c r="O36" s="504">
        <v>2.93</v>
      </c>
      <c r="P36" s="504"/>
      <c r="Q36" s="507"/>
      <c r="R36" s="507"/>
      <c r="S36" s="507"/>
      <c r="T36" s="507"/>
      <c r="U36" s="507"/>
      <c r="V36" s="507"/>
      <c r="W36" s="507"/>
      <c r="X36" s="507"/>
      <c r="Y36" s="483"/>
      <c r="Z36" s="483"/>
      <c r="AA36" s="483"/>
    </row>
    <row r="37" spans="1:38" ht="31.5">
      <c r="A37" s="500">
        <v>11</v>
      </c>
      <c r="B37" s="509"/>
      <c r="C37" s="502" t="s">
        <v>105</v>
      </c>
      <c r="D37" s="502" t="s">
        <v>106</v>
      </c>
      <c r="E37" s="510" t="s">
        <v>107</v>
      </c>
      <c r="F37" s="512" t="s">
        <v>108</v>
      </c>
      <c r="G37" s="510" t="s">
        <v>109</v>
      </c>
      <c r="H37" s="504"/>
      <c r="I37" s="504"/>
      <c r="J37" s="504"/>
      <c r="K37" s="504"/>
      <c r="L37" s="504"/>
      <c r="M37" s="504"/>
      <c r="N37" s="504"/>
      <c r="O37" s="504"/>
      <c r="P37" s="504">
        <f>ROUND(SUM(O37:O38),4)</f>
        <v>1735.2</v>
      </c>
      <c r="Q37" s="507">
        <v>10384</v>
      </c>
      <c r="R37" s="507"/>
      <c r="S37" s="507">
        <v>9670</v>
      </c>
      <c r="T37" s="507">
        <v>4000</v>
      </c>
      <c r="U37" s="507">
        <f>ROUND(IF(P7=0,ROUND(P37,4)*Q37,P7*ROUND(P37,4)*Q37),1)</f>
        <v>18018316.800000001</v>
      </c>
      <c r="V37" s="507">
        <f>ROUND(IF(P7=0,ROUND(P37,4)*R37,P7*ROUND(P37,4)*R37),1)</f>
        <v>0</v>
      </c>
      <c r="W37" s="507">
        <f>ROUND(IF(P7=0,ROUND(P37,4)*S37,P7*ROUND(P37,4)*S37),1)</f>
        <v>16779384</v>
      </c>
      <c r="X37" s="507">
        <f>ROUND(IF(P7=0,ROUND(P37,4)*T37,P7*ROUND(P37,4)*T37),1)</f>
        <v>6940800</v>
      </c>
      <c r="Y37" s="483"/>
      <c r="Z37" s="483"/>
      <c r="AA37" s="483"/>
      <c r="AB37" s="467" t="s">
        <v>44</v>
      </c>
      <c r="AC37" s="467" t="s">
        <v>45</v>
      </c>
      <c r="AD37" s="469" t="s">
        <v>110</v>
      </c>
      <c r="AE37" s="469" t="s">
        <v>111</v>
      </c>
      <c r="AF37" s="469" t="s">
        <v>112</v>
      </c>
      <c r="AL37" s="467" t="s">
        <v>48</v>
      </c>
    </row>
    <row r="38" spans="1:38" ht="15.75">
      <c r="A38" s="500"/>
      <c r="B38" s="509"/>
      <c r="C38" s="502"/>
      <c r="D38" s="502"/>
      <c r="E38" s="510"/>
      <c r="F38" s="513" t="s">
        <v>113</v>
      </c>
      <c r="G38" s="510"/>
      <c r="H38" s="504"/>
      <c r="I38" s="504"/>
      <c r="J38" s="504"/>
      <c r="K38" s="504"/>
      <c r="L38" s="504"/>
      <c r="M38" s="504"/>
      <c r="N38" s="504"/>
      <c r="O38" s="504">
        <v>1735.2</v>
      </c>
      <c r="P38" s="504"/>
      <c r="Q38" s="507"/>
      <c r="R38" s="507"/>
      <c r="S38" s="507"/>
      <c r="T38" s="507"/>
      <c r="U38" s="507"/>
      <c r="V38" s="507"/>
      <c r="W38" s="507"/>
      <c r="X38" s="507"/>
      <c r="Y38" s="483"/>
      <c r="Z38" s="483"/>
      <c r="AA38" s="483"/>
    </row>
    <row r="39" spans="1:38" ht="15.75">
      <c r="A39" s="500">
        <v>12</v>
      </c>
      <c r="B39" s="509"/>
      <c r="C39" s="502" t="s">
        <v>114</v>
      </c>
      <c r="D39" s="502"/>
      <c r="E39" s="510" t="s">
        <v>114</v>
      </c>
      <c r="F39" s="512" t="s">
        <v>115</v>
      </c>
      <c r="G39" s="510" t="s">
        <v>116</v>
      </c>
      <c r="H39" s="504"/>
      <c r="I39" s="504"/>
      <c r="J39" s="504"/>
      <c r="K39" s="504"/>
      <c r="L39" s="504"/>
      <c r="M39" s="504"/>
      <c r="N39" s="504"/>
      <c r="O39" s="504"/>
      <c r="P39" s="504">
        <f>ROUND(SUM(O39:O40),4)</f>
        <v>268</v>
      </c>
      <c r="Q39" s="507">
        <v>85408</v>
      </c>
      <c r="R39" s="507"/>
      <c r="S39" s="507">
        <v>23580</v>
      </c>
      <c r="T39" s="507">
        <v>13126</v>
      </c>
      <c r="U39" s="507">
        <f>ROUND(IF(P7=0,ROUND(P39,4)*Q39,P7*ROUND(P39,4)*Q39),1)</f>
        <v>22889344</v>
      </c>
      <c r="V39" s="507">
        <f>ROUND(IF(P7=0,ROUND(P39,4)*R39,P7*ROUND(P39,4)*R39),1)</f>
        <v>0</v>
      </c>
      <c r="W39" s="507">
        <f>ROUND(IF(P7=0,ROUND(P39,4)*S39,P7*ROUND(P39,4)*S39),1)</f>
        <v>6319440</v>
      </c>
      <c r="X39" s="507">
        <f>ROUND(IF(P7=0,ROUND(P39,4)*T39,P7*ROUND(P39,4)*T39),1)</f>
        <v>3517768</v>
      </c>
      <c r="Y39" s="483"/>
      <c r="Z39" s="483"/>
      <c r="AA39" s="483"/>
      <c r="AB39" s="467" t="s">
        <v>44</v>
      </c>
      <c r="AC39" s="467" t="s">
        <v>45</v>
      </c>
      <c r="AD39" s="469" t="s">
        <v>117</v>
      </c>
      <c r="AE39" s="469" t="s">
        <v>118</v>
      </c>
      <c r="AF39" s="469" t="s">
        <v>119</v>
      </c>
      <c r="AL39" s="467" t="s">
        <v>48</v>
      </c>
    </row>
    <row r="40" spans="1:38" ht="15.75">
      <c r="A40" s="500"/>
      <c r="B40" s="509"/>
      <c r="C40" s="502"/>
      <c r="D40" s="502"/>
      <c r="E40" s="510"/>
      <c r="F40" s="513" t="s">
        <v>120</v>
      </c>
      <c r="G40" s="510"/>
      <c r="H40" s="504"/>
      <c r="I40" s="504"/>
      <c r="J40" s="504"/>
      <c r="K40" s="504"/>
      <c r="L40" s="504"/>
      <c r="M40" s="504"/>
      <c r="N40" s="504"/>
      <c r="O40" s="504">
        <v>268</v>
      </c>
      <c r="P40" s="504"/>
      <c r="Q40" s="507"/>
      <c r="R40" s="507"/>
      <c r="S40" s="507"/>
      <c r="T40" s="507"/>
      <c r="U40" s="507"/>
      <c r="V40" s="507"/>
      <c r="W40" s="507"/>
      <c r="X40" s="507"/>
      <c r="Y40" s="483"/>
      <c r="Z40" s="483"/>
      <c r="AA40" s="483"/>
    </row>
    <row r="41" spans="1:38" ht="15.75">
      <c r="A41" s="500">
        <v>13</v>
      </c>
      <c r="B41" s="509"/>
      <c r="C41" s="502" t="s">
        <v>121</v>
      </c>
      <c r="D41" s="502"/>
      <c r="E41" s="510" t="s">
        <v>121</v>
      </c>
      <c r="F41" s="512" t="s">
        <v>122</v>
      </c>
      <c r="G41" s="510" t="s">
        <v>116</v>
      </c>
      <c r="H41" s="504"/>
      <c r="I41" s="504"/>
      <c r="J41" s="504"/>
      <c r="K41" s="504"/>
      <c r="L41" s="504"/>
      <c r="M41" s="504"/>
      <c r="N41" s="504"/>
      <c r="O41" s="504"/>
      <c r="P41" s="504">
        <f>ROUND(SUM(O41:O42),4)</f>
        <v>89</v>
      </c>
      <c r="Q41" s="507">
        <v>192609</v>
      </c>
      <c r="R41" s="507"/>
      <c r="S41" s="507">
        <v>57640</v>
      </c>
      <c r="T41" s="507">
        <v>16856</v>
      </c>
      <c r="U41" s="507">
        <f>ROUND(IF(P7=0,ROUND(P41,4)*Q41,P7*ROUND(P41,4)*Q41),1)</f>
        <v>17142201</v>
      </c>
      <c r="V41" s="507">
        <f>ROUND(IF(P7=0,ROUND(P41,4)*R41,P7*ROUND(P41,4)*R41),1)</f>
        <v>0</v>
      </c>
      <c r="W41" s="507">
        <f>ROUND(IF(P7=0,ROUND(P41,4)*S41,P7*ROUND(P41,4)*S41),1)</f>
        <v>5129960</v>
      </c>
      <c r="X41" s="507">
        <f>ROUND(IF(P7=0,ROUND(P41,4)*T41,P7*ROUND(P41,4)*T41),1)</f>
        <v>1500184</v>
      </c>
      <c r="Y41" s="483"/>
      <c r="Z41" s="483"/>
      <c r="AA41" s="483"/>
      <c r="AB41" s="467" t="s">
        <v>44</v>
      </c>
      <c r="AC41" s="467" t="s">
        <v>45</v>
      </c>
      <c r="AD41" s="469" t="s">
        <v>123</v>
      </c>
      <c r="AE41" s="469" t="s">
        <v>124</v>
      </c>
      <c r="AF41" s="469" t="s">
        <v>125</v>
      </c>
      <c r="AL41" s="467" t="s">
        <v>48</v>
      </c>
    </row>
    <row r="42" spans="1:38" ht="15.75">
      <c r="A42" s="500"/>
      <c r="B42" s="509"/>
      <c r="C42" s="502"/>
      <c r="D42" s="502"/>
      <c r="E42" s="510"/>
      <c r="F42" s="513" t="s">
        <v>126</v>
      </c>
      <c r="G42" s="510"/>
      <c r="H42" s="504"/>
      <c r="I42" s="504"/>
      <c r="J42" s="504"/>
      <c r="K42" s="504"/>
      <c r="L42" s="504"/>
      <c r="M42" s="504"/>
      <c r="N42" s="504"/>
      <c r="O42" s="504">
        <v>89</v>
      </c>
      <c r="P42" s="504"/>
      <c r="Q42" s="507"/>
      <c r="R42" s="507"/>
      <c r="S42" s="507"/>
      <c r="T42" s="507"/>
      <c r="U42" s="507"/>
      <c r="V42" s="507"/>
      <c r="W42" s="507"/>
      <c r="X42" s="507"/>
      <c r="Y42" s="483"/>
      <c r="Z42" s="483"/>
      <c r="AA42" s="483"/>
    </row>
    <row r="43" spans="1:38" ht="15.75">
      <c r="A43" s="506" t="s">
        <v>490</v>
      </c>
      <c r="B43" s="501"/>
      <c r="C43" s="502"/>
      <c r="D43" s="502"/>
      <c r="E43" s="503" t="s">
        <v>40</v>
      </c>
      <c r="F43" s="511" t="s">
        <v>1360</v>
      </c>
      <c r="G43" s="503"/>
      <c r="H43" s="504"/>
      <c r="I43" s="504"/>
      <c r="J43" s="504"/>
      <c r="K43" s="504"/>
      <c r="L43" s="504"/>
      <c r="M43" s="504"/>
      <c r="N43" s="504"/>
      <c r="O43" s="504"/>
      <c r="P43" s="508"/>
      <c r="Q43" s="506"/>
      <c r="R43" s="507"/>
      <c r="S43" s="506"/>
      <c r="T43" s="506"/>
      <c r="U43" s="506"/>
      <c r="V43" s="507"/>
      <c r="W43" s="506"/>
      <c r="X43" s="506"/>
      <c r="Y43" s="478"/>
      <c r="Z43" s="478"/>
      <c r="AA43" s="478"/>
    </row>
    <row r="44" spans="1:38" ht="15.75" hidden="1">
      <c r="A44" s="500"/>
      <c r="B44" s="509"/>
      <c r="C44" s="502"/>
      <c r="D44" s="502"/>
      <c r="E44" s="510"/>
      <c r="F44" s="512" t="s">
        <v>128</v>
      </c>
      <c r="G44" s="510"/>
      <c r="H44" s="504"/>
      <c r="I44" s="504"/>
      <c r="J44" s="504"/>
      <c r="K44" s="504"/>
      <c r="L44" s="504"/>
      <c r="M44" s="504"/>
      <c r="N44" s="504"/>
      <c r="O44" s="504"/>
      <c r="P44" s="504"/>
      <c r="Q44" s="507"/>
      <c r="R44" s="507"/>
      <c r="S44" s="507"/>
      <c r="T44" s="507"/>
      <c r="U44" s="507"/>
      <c r="V44" s="507"/>
      <c r="W44" s="507"/>
      <c r="X44" s="507"/>
      <c r="Y44" s="483"/>
      <c r="Z44" s="483"/>
      <c r="AA44" s="483"/>
    </row>
    <row r="45" spans="1:38" ht="15.75" hidden="1">
      <c r="A45" s="500"/>
      <c r="B45" s="509"/>
      <c r="C45" s="502"/>
      <c r="D45" s="502"/>
      <c r="E45" s="510"/>
      <c r="F45" s="512" t="s">
        <v>129</v>
      </c>
      <c r="G45" s="510"/>
      <c r="H45" s="504"/>
      <c r="I45" s="504"/>
      <c r="J45" s="504"/>
      <c r="K45" s="504"/>
      <c r="L45" s="504"/>
      <c r="M45" s="504"/>
      <c r="N45" s="504"/>
      <c r="O45" s="504"/>
      <c r="P45" s="504"/>
      <c r="Q45" s="507"/>
      <c r="R45" s="507"/>
      <c r="S45" s="507"/>
      <c r="T45" s="507"/>
      <c r="U45" s="507"/>
      <c r="V45" s="507"/>
      <c r="W45" s="507"/>
      <c r="X45" s="507"/>
      <c r="Y45" s="483"/>
      <c r="Z45" s="483"/>
      <c r="AA45" s="483"/>
    </row>
    <row r="46" spans="1:38" ht="15.75">
      <c r="A46" s="500">
        <v>1</v>
      </c>
      <c r="B46" s="509"/>
      <c r="C46" s="502" t="s">
        <v>130</v>
      </c>
      <c r="D46" s="502"/>
      <c r="E46" s="510" t="s">
        <v>130</v>
      </c>
      <c r="F46" s="512" t="s">
        <v>1382</v>
      </c>
      <c r="G46" s="510" t="s">
        <v>52</v>
      </c>
      <c r="H46" s="504"/>
      <c r="I46" s="504"/>
      <c r="J46" s="504"/>
      <c r="K46" s="504"/>
      <c r="L46" s="504"/>
      <c r="M46" s="504"/>
      <c r="N46" s="504"/>
      <c r="O46" s="504"/>
      <c r="P46" s="504">
        <v>1.2809999999999999</v>
      </c>
      <c r="Q46" s="507"/>
      <c r="R46" s="507"/>
      <c r="S46" s="507">
        <v>840951</v>
      </c>
      <c r="T46" s="507">
        <v>1093270</v>
      </c>
      <c r="U46" s="507">
        <f>ROUND(IF(P43=0,ROUND(P46,4)*Q46,P43*ROUND(P46,4)*Q46),1)</f>
        <v>0</v>
      </c>
      <c r="V46" s="507">
        <f>ROUND(IF(P43=0,ROUND(P46,4)*R46,P43*ROUND(P46,4)*R46),1)</f>
        <v>0</v>
      </c>
      <c r="W46" s="507">
        <f>ROUND(IF(P43=0,ROUND(P46,4)*S46,P43*ROUND(P46,4)*S46),1)</f>
        <v>1077258.2</v>
      </c>
      <c r="X46" s="507">
        <f>ROUND(IF(P43=0,ROUND(P46,4)*T46,P43*ROUND(P46,4)*T46),1)</f>
        <v>1400478.9</v>
      </c>
      <c r="Y46" s="483"/>
      <c r="Z46" s="483"/>
      <c r="AA46" s="483"/>
      <c r="AB46" s="467" t="s">
        <v>44</v>
      </c>
      <c r="AC46" s="467" t="s">
        <v>45</v>
      </c>
      <c r="AE46" s="469" t="s">
        <v>131</v>
      </c>
      <c r="AF46" s="469" t="s">
        <v>132</v>
      </c>
      <c r="AL46" s="467" t="s">
        <v>48</v>
      </c>
    </row>
    <row r="47" spans="1:38" ht="15.75">
      <c r="A47" s="500"/>
      <c r="B47" s="509"/>
      <c r="C47" s="502"/>
      <c r="D47" s="502"/>
      <c r="E47" s="510"/>
      <c r="F47" s="513" t="s">
        <v>1381</v>
      </c>
      <c r="G47" s="510"/>
      <c r="H47" s="504"/>
      <c r="I47" s="504"/>
      <c r="J47" s="504"/>
      <c r="K47" s="504"/>
      <c r="L47" s="504"/>
      <c r="M47" s="504"/>
      <c r="N47" s="504"/>
      <c r="O47" s="504">
        <v>0.1153</v>
      </c>
      <c r="P47" s="504"/>
      <c r="Q47" s="507"/>
      <c r="R47" s="507"/>
      <c r="S47" s="507"/>
      <c r="T47" s="507"/>
      <c r="U47" s="507"/>
      <c r="V47" s="507"/>
      <c r="W47" s="507"/>
      <c r="X47" s="507"/>
      <c r="Y47" s="483"/>
      <c r="Z47" s="483"/>
      <c r="AA47" s="483"/>
    </row>
    <row r="48" spans="1:38" ht="15.75">
      <c r="A48" s="500">
        <v>2</v>
      </c>
      <c r="B48" s="509"/>
      <c r="C48" s="502" t="s">
        <v>133</v>
      </c>
      <c r="D48" s="502"/>
      <c r="E48" s="510" t="s">
        <v>133</v>
      </c>
      <c r="F48" s="512" t="s">
        <v>134</v>
      </c>
      <c r="G48" s="510" t="s">
        <v>52</v>
      </c>
      <c r="H48" s="504"/>
      <c r="I48" s="504"/>
      <c r="J48" s="504"/>
      <c r="K48" s="504"/>
      <c r="L48" s="504"/>
      <c r="M48" s="504"/>
      <c r="N48" s="504"/>
      <c r="O48" s="504"/>
      <c r="P48" s="504">
        <f>ROUND(SUM(O48:O49),4)</f>
        <v>3.8399999999999997E-2</v>
      </c>
      <c r="Q48" s="507"/>
      <c r="R48" s="507"/>
      <c r="S48" s="507">
        <v>320889</v>
      </c>
      <c r="T48" s="507">
        <v>897860</v>
      </c>
      <c r="U48" s="507">
        <f>ROUND(IF(P43=0,ROUND(P48,4)*Q48,P43*ROUND(P48,4)*Q48),1)</f>
        <v>0</v>
      </c>
      <c r="V48" s="507">
        <f>ROUND(IF(P43=0,ROUND(P48,4)*R48,P43*ROUND(P48,4)*R48),1)</f>
        <v>0</v>
      </c>
      <c r="W48" s="507">
        <f>ROUND(IF(P43=0,ROUND(P48,4)*S48,P43*ROUND(P48,4)*S48),1)</f>
        <v>12322.1</v>
      </c>
      <c r="X48" s="507">
        <f>ROUND(IF(P43=0,ROUND(P48,4)*T48,P43*ROUND(P48,4)*T48),1)</f>
        <v>34477.800000000003</v>
      </c>
      <c r="Y48" s="483"/>
      <c r="Z48" s="483"/>
      <c r="AA48" s="483"/>
      <c r="AB48" s="467" t="s">
        <v>44</v>
      </c>
      <c r="AC48" s="467" t="s">
        <v>45</v>
      </c>
      <c r="AE48" s="469" t="s">
        <v>135</v>
      </c>
      <c r="AF48" s="469" t="s">
        <v>136</v>
      </c>
      <c r="AL48" s="467" t="s">
        <v>48</v>
      </c>
    </row>
    <row r="49" spans="1:38" ht="15.75">
      <c r="A49" s="500"/>
      <c r="B49" s="509"/>
      <c r="C49" s="502"/>
      <c r="D49" s="502"/>
      <c r="E49" s="510"/>
      <c r="F49" s="513" t="s">
        <v>137</v>
      </c>
      <c r="G49" s="510"/>
      <c r="H49" s="504"/>
      <c r="I49" s="504"/>
      <c r="J49" s="504"/>
      <c r="K49" s="504"/>
      <c r="L49" s="504"/>
      <c r="M49" s="504"/>
      <c r="N49" s="504"/>
      <c r="O49" s="504">
        <v>3.8399999999999997E-2</v>
      </c>
      <c r="P49" s="504"/>
      <c r="Q49" s="507"/>
      <c r="R49" s="507"/>
      <c r="S49" s="507"/>
      <c r="T49" s="507"/>
      <c r="U49" s="507"/>
      <c r="V49" s="507"/>
      <c r="W49" s="507"/>
      <c r="X49" s="507"/>
      <c r="Y49" s="483"/>
      <c r="Z49" s="483"/>
      <c r="AA49" s="483"/>
    </row>
    <row r="50" spans="1:38" ht="31.5">
      <c r="A50" s="500">
        <v>3</v>
      </c>
      <c r="B50" s="509"/>
      <c r="C50" s="502" t="s">
        <v>76</v>
      </c>
      <c r="D50" s="502"/>
      <c r="E50" s="510" t="s">
        <v>76</v>
      </c>
      <c r="F50" s="512" t="s">
        <v>77</v>
      </c>
      <c r="G50" s="510" t="s">
        <v>52</v>
      </c>
      <c r="H50" s="504"/>
      <c r="I50" s="504"/>
      <c r="J50" s="504"/>
      <c r="K50" s="504"/>
      <c r="L50" s="504"/>
      <c r="M50" s="504"/>
      <c r="N50" s="504"/>
      <c r="O50" s="504"/>
      <c r="P50" s="504">
        <f>ROUND(SUM(O50:O51),4)</f>
        <v>8.9700000000000002E-2</v>
      </c>
      <c r="Q50" s="507"/>
      <c r="R50" s="507"/>
      <c r="S50" s="507"/>
      <c r="T50" s="507">
        <v>2296366</v>
      </c>
      <c r="U50" s="507">
        <f>ROUND(IF(P43=0,ROUND(P50,4)*Q50,P43*ROUND(P50,4)*Q50),1)</f>
        <v>0</v>
      </c>
      <c r="V50" s="507">
        <f>ROUND(IF(P43=0,ROUND(P50,4)*R50,P43*ROUND(P50,4)*R50),1)</f>
        <v>0</v>
      </c>
      <c r="W50" s="507">
        <f>ROUND(IF(P43=0,ROUND(P50,4)*S50,P43*ROUND(P50,4)*S50),1)</f>
        <v>0</v>
      </c>
      <c r="X50" s="507">
        <f>ROUND(IF(P43=0,ROUND(P50,4)*T50,P43*ROUND(P50,4)*T50),1)</f>
        <v>205984</v>
      </c>
      <c r="Y50" s="483"/>
      <c r="Z50" s="483"/>
      <c r="AA50" s="483"/>
      <c r="AB50" s="467" t="s">
        <v>44</v>
      </c>
      <c r="AC50" s="467" t="s">
        <v>45</v>
      </c>
      <c r="AF50" s="469" t="s">
        <v>78</v>
      </c>
      <c r="AL50" s="467" t="s">
        <v>48</v>
      </c>
    </row>
    <row r="51" spans="1:38" ht="15.75" hidden="1">
      <c r="A51" s="500"/>
      <c r="B51" s="509"/>
      <c r="C51" s="502"/>
      <c r="D51" s="502"/>
      <c r="E51" s="510"/>
      <c r="F51" s="513" t="s">
        <v>138</v>
      </c>
      <c r="G51" s="510"/>
      <c r="H51" s="504"/>
      <c r="I51" s="504"/>
      <c r="J51" s="504"/>
      <c r="K51" s="504"/>
      <c r="L51" s="504"/>
      <c r="M51" s="504"/>
      <c r="N51" s="504"/>
      <c r="O51" s="504">
        <v>8.9700000000000002E-2</v>
      </c>
      <c r="P51" s="504"/>
      <c r="Q51" s="507"/>
      <c r="R51" s="507"/>
      <c r="S51" s="507"/>
      <c r="T51" s="507"/>
      <c r="U51" s="507"/>
      <c r="V51" s="507"/>
      <c r="W51" s="507"/>
      <c r="X51" s="507"/>
      <c r="Y51" s="483"/>
      <c r="Z51" s="483"/>
      <c r="AA51" s="483"/>
    </row>
    <row r="52" spans="1:38" ht="31.5" hidden="1">
      <c r="A52" s="500">
        <v>20</v>
      </c>
      <c r="B52" s="509"/>
      <c r="C52" s="502" t="s">
        <v>80</v>
      </c>
      <c r="D52" s="502"/>
      <c r="E52" s="510" t="s">
        <v>80</v>
      </c>
      <c r="F52" s="512" t="s">
        <v>81</v>
      </c>
      <c r="G52" s="510" t="s">
        <v>52</v>
      </c>
      <c r="H52" s="504"/>
      <c r="I52" s="504"/>
      <c r="J52" s="504"/>
      <c r="K52" s="504"/>
      <c r="L52" s="504"/>
      <c r="M52" s="504"/>
      <c r="N52" s="504"/>
      <c r="O52" s="504"/>
      <c r="P52" s="504">
        <f>ROUND(SUM(O52:O53),4)</f>
        <v>8.9700000000000002E-2</v>
      </c>
      <c r="Q52" s="507"/>
      <c r="R52" s="507"/>
      <c r="S52" s="507"/>
      <c r="T52" s="507">
        <f>881224*AA52</f>
        <v>3524896</v>
      </c>
      <c r="U52" s="507">
        <f>ROUND(IF(P43=0,ROUND(P52,4)*Q52,P43*ROUND(P52,4)*Q52),1)</f>
        <v>0</v>
      </c>
      <c r="V52" s="507">
        <f>ROUND(IF(P43=0,ROUND(P52,4)*R52,P43*ROUND(P52,4)*R52),1)</f>
        <v>0</v>
      </c>
      <c r="W52" s="507">
        <f>ROUND(IF(P43=0,ROUND(P52,4)*S52,P43*ROUND(P52,4)*S52),1)</f>
        <v>0</v>
      </c>
      <c r="X52" s="507">
        <f>ROUND(IF(P43=0,ROUND(P52,4)*T52,P43*ROUND(P52,4)*T52),1)</f>
        <v>316183.2</v>
      </c>
      <c r="Y52" s="483"/>
      <c r="Z52" s="483"/>
      <c r="AA52" s="483">
        <v>4</v>
      </c>
      <c r="AB52" s="467" t="s">
        <v>44</v>
      </c>
      <c r="AC52" s="467" t="s">
        <v>45</v>
      </c>
      <c r="AF52" s="469" t="s">
        <v>82</v>
      </c>
      <c r="AL52" s="467" t="s">
        <v>48</v>
      </c>
    </row>
    <row r="53" spans="1:38" ht="15.75">
      <c r="A53" s="500"/>
      <c r="B53" s="509"/>
      <c r="C53" s="502"/>
      <c r="D53" s="502"/>
      <c r="E53" s="510"/>
      <c r="F53" s="513">
        <f>P50</f>
        <v>8.9700000000000002E-2</v>
      </c>
      <c r="G53" s="510"/>
      <c r="H53" s="504"/>
      <c r="I53" s="504"/>
      <c r="J53" s="504"/>
      <c r="K53" s="504"/>
      <c r="L53" s="504"/>
      <c r="M53" s="504"/>
      <c r="N53" s="504"/>
      <c r="O53" s="504">
        <v>8.9700000000000002E-2</v>
      </c>
      <c r="P53" s="504"/>
      <c r="Q53" s="507"/>
      <c r="R53" s="507"/>
      <c r="S53" s="507"/>
      <c r="T53" s="507"/>
      <c r="U53" s="507"/>
      <c r="V53" s="507"/>
      <c r="W53" s="507"/>
      <c r="X53" s="507"/>
      <c r="Y53" s="483"/>
      <c r="Z53" s="483"/>
      <c r="AA53" s="483"/>
    </row>
    <row r="54" spans="1:38" ht="15.75">
      <c r="A54" s="500">
        <v>4</v>
      </c>
      <c r="B54" s="509"/>
      <c r="C54" s="502" t="s">
        <v>139</v>
      </c>
      <c r="D54" s="502"/>
      <c r="E54" s="510" t="s">
        <v>139</v>
      </c>
      <c r="F54" s="512" t="s">
        <v>140</v>
      </c>
      <c r="G54" s="510" t="s">
        <v>43</v>
      </c>
      <c r="H54" s="504"/>
      <c r="I54" s="504"/>
      <c r="J54" s="504"/>
      <c r="K54" s="504"/>
      <c r="L54" s="504"/>
      <c r="M54" s="504"/>
      <c r="N54" s="504"/>
      <c r="O54" s="504"/>
      <c r="P54" s="504">
        <f>ROUND(SUM(O54:O55),4)</f>
        <v>3.29</v>
      </c>
      <c r="Q54" s="507">
        <v>426000</v>
      </c>
      <c r="R54" s="507"/>
      <c r="S54" s="507">
        <v>420924</v>
      </c>
      <c r="T54" s="507"/>
      <c r="U54" s="507">
        <f>ROUND(IF(P43=0,ROUND(P54,4)*Q54,P43*ROUND(P54,4)*Q54),1)</f>
        <v>1401540</v>
      </c>
      <c r="V54" s="507">
        <f>ROUND(IF(P43=0,ROUND(P54,4)*R54,P43*ROUND(P54,4)*R54),1)</f>
        <v>0</v>
      </c>
      <c r="W54" s="507">
        <f>ROUND(IF(P43=0,ROUND(P54,4)*S54,P43*ROUND(P54,4)*S54),1)</f>
        <v>1384840</v>
      </c>
      <c r="X54" s="507">
        <f>ROUND(IF(P43=0,ROUND(P54,4)*T54,P43*ROUND(P54,4)*T54),1)</f>
        <v>0</v>
      </c>
      <c r="Y54" s="483"/>
      <c r="Z54" s="483"/>
      <c r="AA54" s="483"/>
      <c r="AB54" s="467" t="s">
        <v>44</v>
      </c>
      <c r="AC54" s="467" t="s">
        <v>45</v>
      </c>
      <c r="AD54" s="469" t="s">
        <v>141</v>
      </c>
      <c r="AE54" s="469" t="s">
        <v>142</v>
      </c>
      <c r="AL54" s="467" t="s">
        <v>48</v>
      </c>
    </row>
    <row r="55" spans="1:38" ht="15.75">
      <c r="A55" s="500"/>
      <c r="B55" s="509"/>
      <c r="C55" s="502"/>
      <c r="D55" s="502"/>
      <c r="E55" s="510"/>
      <c r="F55" s="513" t="s">
        <v>143</v>
      </c>
      <c r="G55" s="510"/>
      <c r="H55" s="504"/>
      <c r="I55" s="504"/>
      <c r="J55" s="504"/>
      <c r="K55" s="504"/>
      <c r="L55" s="504"/>
      <c r="M55" s="504"/>
      <c r="N55" s="504"/>
      <c r="O55" s="504">
        <v>3.29</v>
      </c>
      <c r="P55" s="504"/>
      <c r="Q55" s="507"/>
      <c r="R55" s="507"/>
      <c r="S55" s="507"/>
      <c r="T55" s="507"/>
      <c r="U55" s="507"/>
      <c r="V55" s="507"/>
      <c r="W55" s="507"/>
      <c r="X55" s="507"/>
      <c r="Y55" s="483"/>
      <c r="Z55" s="483"/>
      <c r="AA55" s="483"/>
    </row>
    <row r="56" spans="1:38" ht="15.75">
      <c r="A56" s="500">
        <v>5</v>
      </c>
      <c r="B56" s="509"/>
      <c r="C56" s="502" t="s">
        <v>144</v>
      </c>
      <c r="D56" s="502"/>
      <c r="E56" s="510" t="s">
        <v>144</v>
      </c>
      <c r="F56" s="512" t="s">
        <v>145</v>
      </c>
      <c r="G56" s="510" t="s">
        <v>86</v>
      </c>
      <c r="H56" s="504"/>
      <c r="I56" s="504"/>
      <c r="J56" s="504"/>
      <c r="K56" s="504"/>
      <c r="L56" s="504"/>
      <c r="M56" s="504"/>
      <c r="N56" s="504"/>
      <c r="O56" s="504"/>
      <c r="P56" s="504">
        <f>ROUND(SUM(O56:O57),4)</f>
        <v>0.17760000000000001</v>
      </c>
      <c r="Q56" s="507">
        <v>4958871</v>
      </c>
      <c r="R56" s="507"/>
      <c r="S56" s="507">
        <v>7781400</v>
      </c>
      <c r="T56" s="507"/>
      <c r="U56" s="507">
        <f>ROUND(IF(P43=0,ROUND(P56,4)*Q56,P43*ROUND(P56,4)*Q56),1)</f>
        <v>880695.5</v>
      </c>
      <c r="V56" s="507">
        <f>ROUND(IF(P43=0,ROUND(P56,4)*R56,P43*ROUND(P56,4)*R56),1)</f>
        <v>0</v>
      </c>
      <c r="W56" s="507">
        <f>ROUND(IF(P43=0,ROUND(P56,4)*S56,P43*ROUND(P56,4)*S56),1)</f>
        <v>1381976.6</v>
      </c>
      <c r="X56" s="507">
        <f>ROUND(IF(P43=0,ROUND(P56,4)*T56,P43*ROUND(P56,4)*T56),1)</f>
        <v>0</v>
      </c>
      <c r="Y56" s="483"/>
      <c r="Z56" s="483"/>
      <c r="AA56" s="483"/>
      <c r="AB56" s="467" t="s">
        <v>44</v>
      </c>
      <c r="AC56" s="467" t="s">
        <v>45</v>
      </c>
      <c r="AD56" s="469" t="s">
        <v>146</v>
      </c>
      <c r="AE56" s="469" t="s">
        <v>147</v>
      </c>
      <c r="AL56" s="467" t="s">
        <v>48</v>
      </c>
    </row>
    <row r="57" spans="1:38" ht="15.75">
      <c r="A57" s="500"/>
      <c r="B57" s="509"/>
      <c r="C57" s="502"/>
      <c r="D57" s="502"/>
      <c r="E57" s="510"/>
      <c r="F57" s="513" t="s">
        <v>148</v>
      </c>
      <c r="G57" s="510"/>
      <c r="H57" s="504"/>
      <c r="I57" s="504"/>
      <c r="J57" s="504"/>
      <c r="K57" s="504"/>
      <c r="L57" s="504"/>
      <c r="M57" s="504"/>
      <c r="N57" s="504"/>
      <c r="O57" s="504">
        <v>0.17760000000000001</v>
      </c>
      <c r="P57" s="504"/>
      <c r="Q57" s="507"/>
      <c r="R57" s="507"/>
      <c r="S57" s="507"/>
      <c r="T57" s="507"/>
      <c r="U57" s="507"/>
      <c r="V57" s="507"/>
      <c r="W57" s="507"/>
      <c r="X57" s="507"/>
      <c r="Y57" s="483"/>
      <c r="Z57" s="483"/>
      <c r="AA57" s="483"/>
    </row>
    <row r="58" spans="1:38" ht="31.5">
      <c r="A58" s="500">
        <v>6</v>
      </c>
      <c r="B58" s="509"/>
      <c r="C58" s="502" t="s">
        <v>149</v>
      </c>
      <c r="D58" s="502" t="s">
        <v>150</v>
      </c>
      <c r="E58" s="510" t="s">
        <v>151</v>
      </c>
      <c r="F58" s="512" t="s">
        <v>152</v>
      </c>
      <c r="G58" s="510" t="s">
        <v>43</v>
      </c>
      <c r="H58" s="504"/>
      <c r="I58" s="504"/>
      <c r="J58" s="504"/>
      <c r="K58" s="504"/>
      <c r="L58" s="504"/>
      <c r="M58" s="504"/>
      <c r="N58" s="504"/>
      <c r="O58" s="504"/>
      <c r="P58" s="504">
        <f>ROUND(SUM(O58:O59),4)</f>
        <v>6.57</v>
      </c>
      <c r="Q58" s="507">
        <v>972841</v>
      </c>
      <c r="R58" s="507"/>
      <c r="S58" s="507">
        <v>294698</v>
      </c>
      <c r="T58" s="507">
        <v>55110</v>
      </c>
      <c r="U58" s="507">
        <f>ROUND(IF(P43=0,ROUND(P58,4)*Q58,P43*ROUND(P58,4)*Q58),1)</f>
        <v>6391565.4000000004</v>
      </c>
      <c r="V58" s="507">
        <f>ROUND(IF(P43=0,ROUND(P58,4)*R58,P43*ROUND(P58,4)*R58),1)</f>
        <v>0</v>
      </c>
      <c r="W58" s="507">
        <f>ROUND(IF(P43=0,ROUND(P58,4)*S58,P43*ROUND(P58,4)*S58),1)</f>
        <v>1936165.9</v>
      </c>
      <c r="X58" s="507">
        <f>ROUND(IF(P43=0,ROUND(P58,4)*T58,P43*ROUND(P58,4)*T58),1)</f>
        <v>362072.7</v>
      </c>
      <c r="Y58" s="483"/>
      <c r="Z58" s="483"/>
      <c r="AA58" s="483"/>
      <c r="AB58" s="467" t="s">
        <v>44</v>
      </c>
      <c r="AC58" s="467" t="s">
        <v>45</v>
      </c>
      <c r="AD58" s="469" t="s">
        <v>153</v>
      </c>
      <c r="AE58" s="469" t="s">
        <v>154</v>
      </c>
      <c r="AF58" s="469" t="s">
        <v>155</v>
      </c>
      <c r="AL58" s="467" t="s">
        <v>48</v>
      </c>
    </row>
    <row r="59" spans="1:38" ht="15.75">
      <c r="A59" s="500"/>
      <c r="B59" s="509"/>
      <c r="C59" s="502"/>
      <c r="D59" s="502"/>
      <c r="E59" s="510"/>
      <c r="F59" s="513" t="s">
        <v>156</v>
      </c>
      <c r="G59" s="510"/>
      <c r="H59" s="504"/>
      <c r="I59" s="504"/>
      <c r="J59" s="504"/>
      <c r="K59" s="504"/>
      <c r="L59" s="504"/>
      <c r="M59" s="504"/>
      <c r="N59" s="504"/>
      <c r="O59" s="504">
        <v>6.57</v>
      </c>
      <c r="P59" s="504"/>
      <c r="Q59" s="507"/>
      <c r="R59" s="507"/>
      <c r="S59" s="507"/>
      <c r="T59" s="507"/>
      <c r="U59" s="507"/>
      <c r="V59" s="507"/>
      <c r="W59" s="507"/>
      <c r="X59" s="507"/>
      <c r="Y59" s="483"/>
      <c r="Z59" s="483"/>
      <c r="AA59" s="483"/>
    </row>
    <row r="60" spans="1:38" ht="31.5">
      <c r="A60" s="500">
        <v>7</v>
      </c>
      <c r="B60" s="509"/>
      <c r="C60" s="502" t="s">
        <v>157</v>
      </c>
      <c r="D60" s="502" t="s">
        <v>158</v>
      </c>
      <c r="E60" s="510" t="s">
        <v>159</v>
      </c>
      <c r="F60" s="512" t="s">
        <v>160</v>
      </c>
      <c r="G60" s="510" t="s">
        <v>43</v>
      </c>
      <c r="H60" s="504"/>
      <c r="I60" s="504"/>
      <c r="J60" s="504"/>
      <c r="K60" s="504"/>
      <c r="L60" s="504"/>
      <c r="M60" s="504"/>
      <c r="N60" s="504"/>
      <c r="O60" s="504"/>
      <c r="P60" s="504">
        <f>ROUND(SUM(O60:O61),4)</f>
        <v>20.79</v>
      </c>
      <c r="Q60" s="507">
        <v>845762</v>
      </c>
      <c r="R60" s="507"/>
      <c r="S60" s="507">
        <v>838400</v>
      </c>
      <c r="T60" s="507">
        <v>11500</v>
      </c>
      <c r="U60" s="507">
        <f>ROUND(IF(P43=0,ROUND(P60,4)*Q60,P43*ROUND(P60,4)*Q60),1)</f>
        <v>17583392</v>
      </c>
      <c r="V60" s="507">
        <f>ROUND(IF(P43=0,ROUND(P60,4)*R60,P43*ROUND(P60,4)*R60),1)</f>
        <v>0</v>
      </c>
      <c r="W60" s="507">
        <f>ROUND(IF(P43=0,ROUND(P60,4)*S60,P43*ROUND(P60,4)*S60),1)</f>
        <v>17430336</v>
      </c>
      <c r="X60" s="507">
        <f>ROUND(IF(P43=0,ROUND(P60,4)*T60,P43*ROUND(P60,4)*T60),1)</f>
        <v>239085</v>
      </c>
      <c r="Y60" s="483"/>
      <c r="Z60" s="483"/>
      <c r="AA60" s="483"/>
      <c r="AB60" s="467" t="s">
        <v>44</v>
      </c>
      <c r="AC60" s="467" t="s">
        <v>45</v>
      </c>
      <c r="AD60" s="469" t="s">
        <v>161</v>
      </c>
      <c r="AE60" s="469" t="s">
        <v>162</v>
      </c>
      <c r="AF60" s="469" t="s">
        <v>163</v>
      </c>
      <c r="AL60" s="467" t="s">
        <v>48</v>
      </c>
    </row>
    <row r="61" spans="1:38" ht="15.75">
      <c r="A61" s="500"/>
      <c r="B61" s="509"/>
      <c r="C61" s="502"/>
      <c r="D61" s="502"/>
      <c r="E61" s="510"/>
      <c r="F61" s="513" t="s">
        <v>164</v>
      </c>
      <c r="G61" s="510"/>
      <c r="H61" s="504"/>
      <c r="I61" s="504"/>
      <c r="J61" s="504"/>
      <c r="K61" s="504"/>
      <c r="L61" s="504"/>
      <c r="M61" s="504"/>
      <c r="N61" s="504"/>
      <c r="O61" s="504">
        <v>20.79</v>
      </c>
      <c r="P61" s="504"/>
      <c r="Q61" s="507"/>
      <c r="R61" s="507"/>
      <c r="S61" s="507"/>
      <c r="T61" s="507"/>
      <c r="U61" s="507"/>
      <c r="V61" s="507"/>
      <c r="W61" s="507"/>
      <c r="X61" s="507"/>
      <c r="Y61" s="483"/>
      <c r="Z61" s="483"/>
      <c r="AA61" s="483"/>
    </row>
    <row r="62" spans="1:38" ht="31.5">
      <c r="A62" s="500">
        <v>8</v>
      </c>
      <c r="B62" s="509"/>
      <c r="C62" s="502" t="s">
        <v>165</v>
      </c>
      <c r="D62" s="502" t="s">
        <v>166</v>
      </c>
      <c r="E62" s="510" t="s">
        <v>167</v>
      </c>
      <c r="F62" s="512" t="s">
        <v>168</v>
      </c>
      <c r="G62" s="510" t="s">
        <v>109</v>
      </c>
      <c r="H62" s="504"/>
      <c r="I62" s="504"/>
      <c r="J62" s="504"/>
      <c r="K62" s="504"/>
      <c r="L62" s="504"/>
      <c r="M62" s="504"/>
      <c r="N62" s="504"/>
      <c r="O62" s="504"/>
      <c r="P62" s="504">
        <f>ROUND(SUM(O62:O63),4)</f>
        <v>64.260000000000005</v>
      </c>
      <c r="Q62" s="507">
        <v>19610</v>
      </c>
      <c r="R62" s="507"/>
      <c r="S62" s="507">
        <v>91700</v>
      </c>
      <c r="T62" s="507">
        <v>885</v>
      </c>
      <c r="U62" s="507">
        <f>ROUND(IF(P43=0,ROUND(P62,4)*Q62,P43*ROUND(P62,4)*Q62),1)</f>
        <v>1260138.6000000001</v>
      </c>
      <c r="V62" s="507">
        <f>ROUND(IF(P43=0,ROUND(P62,4)*R62,P43*ROUND(P62,4)*R62),1)</f>
        <v>0</v>
      </c>
      <c r="W62" s="507">
        <f>ROUND(IF(P43=0,ROUND(P62,4)*S62,P43*ROUND(P62,4)*S62),1)</f>
        <v>5892642</v>
      </c>
      <c r="X62" s="507">
        <f>ROUND(IF(P43=0,ROUND(P62,4)*T62,P43*ROUND(P62,4)*T62),1)</f>
        <v>56870.1</v>
      </c>
      <c r="Y62" s="483"/>
      <c r="Z62" s="483"/>
      <c r="AA62" s="483"/>
      <c r="AB62" s="467" t="s">
        <v>44</v>
      </c>
      <c r="AC62" s="467" t="s">
        <v>45</v>
      </c>
      <c r="AD62" s="469" t="s">
        <v>169</v>
      </c>
      <c r="AE62" s="469" t="s">
        <v>170</v>
      </c>
      <c r="AF62" s="469" t="s">
        <v>171</v>
      </c>
      <c r="AL62" s="467" t="s">
        <v>48</v>
      </c>
    </row>
    <row r="63" spans="1:38" ht="15.75">
      <c r="A63" s="500"/>
      <c r="B63" s="509"/>
      <c r="C63" s="502"/>
      <c r="D63" s="502"/>
      <c r="E63" s="510"/>
      <c r="F63" s="513" t="s">
        <v>172</v>
      </c>
      <c r="G63" s="510"/>
      <c r="H63" s="504"/>
      <c r="I63" s="504"/>
      <c r="J63" s="504"/>
      <c r="K63" s="504"/>
      <c r="L63" s="504"/>
      <c r="M63" s="504"/>
      <c r="N63" s="504"/>
      <c r="O63" s="504">
        <v>64.260000000000005</v>
      </c>
      <c r="P63" s="504"/>
      <c r="Q63" s="507"/>
      <c r="R63" s="507"/>
      <c r="S63" s="507"/>
      <c r="T63" s="507"/>
      <c r="U63" s="507"/>
      <c r="V63" s="507"/>
      <c r="W63" s="507"/>
      <c r="X63" s="507"/>
      <c r="Y63" s="483"/>
      <c r="Z63" s="483"/>
      <c r="AA63" s="483"/>
    </row>
    <row r="64" spans="1:38" ht="15.75">
      <c r="A64" s="500">
        <v>9</v>
      </c>
      <c r="B64" s="509"/>
      <c r="C64" s="502" t="s">
        <v>105</v>
      </c>
      <c r="D64" s="502" t="s">
        <v>166</v>
      </c>
      <c r="E64" s="510" t="s">
        <v>173</v>
      </c>
      <c r="F64" s="512" t="s">
        <v>174</v>
      </c>
      <c r="G64" s="510" t="s">
        <v>109</v>
      </c>
      <c r="H64" s="504"/>
      <c r="I64" s="504"/>
      <c r="J64" s="504"/>
      <c r="K64" s="504"/>
      <c r="L64" s="504"/>
      <c r="M64" s="504"/>
      <c r="N64" s="504"/>
      <c r="O64" s="504"/>
      <c r="P64" s="504">
        <f>ROUND(SUM(O64:O65),4)</f>
        <v>9.6</v>
      </c>
      <c r="Q64" s="507">
        <v>21209</v>
      </c>
      <c r="R64" s="507"/>
      <c r="S64" s="507">
        <v>19340</v>
      </c>
      <c r="T64" s="507">
        <v>1179</v>
      </c>
      <c r="U64" s="507">
        <f>ROUND(IF(P43=0,ROUND(P64,4)*Q64,P43*ROUND(P64,4)*Q64),1)</f>
        <v>203606.39999999999</v>
      </c>
      <c r="V64" s="507">
        <f>ROUND(IF(P43=0,ROUND(P64,4)*R64,P43*ROUND(P64,4)*R64),1)</f>
        <v>0</v>
      </c>
      <c r="W64" s="507">
        <f>ROUND(IF(P43=0,ROUND(P64,4)*S64,P43*ROUND(P64,4)*S64),1)</f>
        <v>185664</v>
      </c>
      <c r="X64" s="507">
        <f>ROUND(IF(P43=0,ROUND(P64,4)*T64,P43*ROUND(P64,4)*T64),1)</f>
        <v>11318.4</v>
      </c>
      <c r="Y64" s="483"/>
      <c r="Z64" s="483"/>
      <c r="AA64" s="483"/>
      <c r="AB64" s="467" t="s">
        <v>44</v>
      </c>
      <c r="AC64" s="467" t="s">
        <v>45</v>
      </c>
      <c r="AD64" s="469" t="s">
        <v>175</v>
      </c>
      <c r="AE64" s="469" t="s">
        <v>176</v>
      </c>
      <c r="AF64" s="469" t="s">
        <v>177</v>
      </c>
      <c r="AL64" s="467" t="s">
        <v>48</v>
      </c>
    </row>
    <row r="65" spans="1:38" ht="15.75">
      <c r="A65" s="500"/>
      <c r="B65" s="509"/>
      <c r="C65" s="502"/>
      <c r="D65" s="502"/>
      <c r="E65" s="510"/>
      <c r="F65" s="513" t="s">
        <v>178</v>
      </c>
      <c r="G65" s="510"/>
      <c r="H65" s="504"/>
      <c r="I65" s="504"/>
      <c r="J65" s="504"/>
      <c r="K65" s="504"/>
      <c r="L65" s="504"/>
      <c r="M65" s="504"/>
      <c r="N65" s="504"/>
      <c r="O65" s="504">
        <v>9.6</v>
      </c>
      <c r="P65" s="504"/>
      <c r="Q65" s="507"/>
      <c r="R65" s="507"/>
      <c r="S65" s="507"/>
      <c r="T65" s="507"/>
      <c r="U65" s="507"/>
      <c r="V65" s="507"/>
      <c r="W65" s="507"/>
      <c r="X65" s="507"/>
      <c r="Y65" s="483"/>
      <c r="Z65" s="483"/>
      <c r="AA65" s="483"/>
    </row>
    <row r="66" spans="1:38" ht="15.75">
      <c r="A66" s="500">
        <v>10</v>
      </c>
      <c r="B66" s="509"/>
      <c r="C66" s="502" t="s">
        <v>179</v>
      </c>
      <c r="D66" s="502"/>
      <c r="E66" s="510" t="s">
        <v>179</v>
      </c>
      <c r="F66" s="512" t="s">
        <v>180</v>
      </c>
      <c r="G66" s="510" t="s">
        <v>86</v>
      </c>
      <c r="H66" s="504"/>
      <c r="I66" s="504"/>
      <c r="J66" s="504"/>
      <c r="K66" s="504"/>
      <c r="L66" s="504"/>
      <c r="M66" s="504"/>
      <c r="N66" s="504"/>
      <c r="O66" s="504"/>
      <c r="P66" s="504">
        <f>ROUND(SUM(O66:O67),4)</f>
        <v>0.26279999999999998</v>
      </c>
      <c r="Q66" s="507">
        <v>7011730</v>
      </c>
      <c r="R66" s="507"/>
      <c r="S66" s="507">
        <v>7205000</v>
      </c>
      <c r="T66" s="507"/>
      <c r="U66" s="507">
        <f>ROUND(IF(P43=0,ROUND(P66,4)*Q66,P43*ROUND(P66,4)*Q66),1)</f>
        <v>1842682.6</v>
      </c>
      <c r="V66" s="507">
        <f>ROUND(IF(P43=0,ROUND(P66,4)*R66,P43*ROUND(P66,4)*R66),1)</f>
        <v>0</v>
      </c>
      <c r="W66" s="507">
        <f>ROUND(IF(P43=0,ROUND(P66,4)*S66,P43*ROUND(P66,4)*S66),1)</f>
        <v>1893474</v>
      </c>
      <c r="X66" s="507">
        <f>ROUND(IF(P43=0,ROUND(P66,4)*T66,P43*ROUND(P66,4)*T66),1)</f>
        <v>0</v>
      </c>
      <c r="Y66" s="483"/>
      <c r="Z66" s="483"/>
      <c r="AA66" s="483"/>
      <c r="AB66" s="467" t="s">
        <v>44</v>
      </c>
      <c r="AC66" s="467" t="s">
        <v>45</v>
      </c>
      <c r="AD66" s="469" t="s">
        <v>181</v>
      </c>
      <c r="AE66" s="469" t="s">
        <v>182</v>
      </c>
      <c r="AL66" s="467" t="s">
        <v>48</v>
      </c>
    </row>
    <row r="67" spans="1:38" ht="15.75">
      <c r="A67" s="500"/>
      <c r="B67" s="509"/>
      <c r="C67" s="502"/>
      <c r="D67" s="502"/>
      <c r="E67" s="510"/>
      <c r="F67" s="513" t="s">
        <v>183</v>
      </c>
      <c r="G67" s="510"/>
      <c r="H67" s="504"/>
      <c r="I67" s="504"/>
      <c r="J67" s="504"/>
      <c r="K67" s="504"/>
      <c r="L67" s="504"/>
      <c r="M67" s="504"/>
      <c r="N67" s="504"/>
      <c r="O67" s="504">
        <v>0.26279999999999998</v>
      </c>
      <c r="P67" s="504"/>
      <c r="Q67" s="507"/>
      <c r="R67" s="507"/>
      <c r="S67" s="507"/>
      <c r="T67" s="507"/>
      <c r="U67" s="507"/>
      <c r="V67" s="507"/>
      <c r="W67" s="507"/>
      <c r="X67" s="507"/>
      <c r="Y67" s="483"/>
      <c r="Z67" s="483"/>
      <c r="AA67" s="483"/>
    </row>
    <row r="68" spans="1:38" ht="31.5">
      <c r="A68" s="500">
        <v>11</v>
      </c>
      <c r="B68" s="509"/>
      <c r="C68" s="502" t="s">
        <v>184</v>
      </c>
      <c r="D68" s="502" t="s">
        <v>150</v>
      </c>
      <c r="E68" s="510" t="s">
        <v>185</v>
      </c>
      <c r="F68" s="512" t="s">
        <v>186</v>
      </c>
      <c r="G68" s="510" t="s">
        <v>43</v>
      </c>
      <c r="H68" s="504"/>
      <c r="I68" s="504"/>
      <c r="J68" s="504"/>
      <c r="K68" s="504"/>
      <c r="L68" s="504"/>
      <c r="M68" s="504"/>
      <c r="N68" s="504"/>
      <c r="O68" s="504"/>
      <c r="P68" s="504">
        <f>ROUND(SUM(O68:O69),4)</f>
        <v>2.39</v>
      </c>
      <c r="Q68" s="507">
        <v>972841</v>
      </c>
      <c r="R68" s="507"/>
      <c r="S68" s="507">
        <v>639711</v>
      </c>
      <c r="T68" s="507">
        <v>80297</v>
      </c>
      <c r="U68" s="507">
        <f>ROUND(IF(P43=0,ROUND(P68,4)*Q68,P43*ROUND(P68,4)*Q68),1)</f>
        <v>2325090</v>
      </c>
      <c r="V68" s="507">
        <f>ROUND(IF(P43=0,ROUND(P68,4)*R68,P43*ROUND(P68,4)*R68),1)</f>
        <v>0</v>
      </c>
      <c r="W68" s="507">
        <f>ROUND(IF(P43=0,ROUND(P68,4)*S68,P43*ROUND(P68,4)*S68),1)</f>
        <v>1528909.3</v>
      </c>
      <c r="X68" s="507">
        <f>ROUND(IF(P43=0,ROUND(P68,4)*T68,P43*ROUND(P68,4)*T68),1)</f>
        <v>191909.8</v>
      </c>
      <c r="Y68" s="483"/>
      <c r="Z68" s="483"/>
      <c r="AA68" s="483"/>
      <c r="AB68" s="467" t="s">
        <v>44</v>
      </c>
      <c r="AC68" s="467" t="s">
        <v>45</v>
      </c>
      <c r="AD68" s="469" t="s">
        <v>153</v>
      </c>
      <c r="AE68" s="469" t="s">
        <v>187</v>
      </c>
      <c r="AF68" s="469" t="s">
        <v>188</v>
      </c>
      <c r="AL68" s="467" t="s">
        <v>48</v>
      </c>
    </row>
    <row r="69" spans="1:38" ht="15.75">
      <c r="A69" s="500"/>
      <c r="B69" s="509"/>
      <c r="C69" s="502"/>
      <c r="D69" s="502"/>
      <c r="E69" s="510"/>
      <c r="F69" s="513" t="s">
        <v>189</v>
      </c>
      <c r="G69" s="510"/>
      <c r="H69" s="504"/>
      <c r="I69" s="504"/>
      <c r="J69" s="504"/>
      <c r="K69" s="504"/>
      <c r="L69" s="504"/>
      <c r="M69" s="504"/>
      <c r="N69" s="504"/>
      <c r="O69" s="504">
        <v>2.39</v>
      </c>
      <c r="P69" s="504"/>
      <c r="Q69" s="507"/>
      <c r="R69" s="507"/>
      <c r="S69" s="507"/>
      <c r="T69" s="507"/>
      <c r="U69" s="507"/>
      <c r="V69" s="507"/>
      <c r="W69" s="507"/>
      <c r="X69" s="507"/>
      <c r="Y69" s="483"/>
      <c r="Z69" s="483"/>
      <c r="AA69" s="483"/>
    </row>
    <row r="70" spans="1:38" ht="15.75">
      <c r="A70" s="500">
        <v>12</v>
      </c>
      <c r="B70" s="509"/>
      <c r="C70" s="502" t="s">
        <v>190</v>
      </c>
      <c r="D70" s="502"/>
      <c r="E70" s="510" t="s">
        <v>190</v>
      </c>
      <c r="F70" s="512" t="s">
        <v>191</v>
      </c>
      <c r="G70" s="510" t="s">
        <v>192</v>
      </c>
      <c r="H70" s="504"/>
      <c r="I70" s="504"/>
      <c r="J70" s="504"/>
      <c r="K70" s="504"/>
      <c r="L70" s="504"/>
      <c r="M70" s="504"/>
      <c r="N70" s="504"/>
      <c r="O70" s="504"/>
      <c r="P70" s="504">
        <f>ROUND(SUM(O70:O71),4)</f>
        <v>2.4E-2</v>
      </c>
      <c r="Q70" s="507">
        <v>19887100</v>
      </c>
      <c r="R70" s="507"/>
      <c r="S70" s="507">
        <v>2420880</v>
      </c>
      <c r="T70" s="507">
        <v>556468</v>
      </c>
      <c r="U70" s="507">
        <f>ROUND(IF(P43=0,ROUND(P70,4)*Q70,P43*ROUND(P70,4)*Q70),1)</f>
        <v>477290.4</v>
      </c>
      <c r="V70" s="507">
        <f>ROUND(IF(P43=0,ROUND(P70,4)*R70,P43*ROUND(P70,4)*R70),1)</f>
        <v>0</v>
      </c>
      <c r="W70" s="507">
        <f>ROUND(IF(P43=0,ROUND(P70,4)*S70,P43*ROUND(P70,4)*S70),1)</f>
        <v>58101.1</v>
      </c>
      <c r="X70" s="507">
        <f>ROUND(IF(P43=0,ROUND(P70,4)*T70,P43*ROUND(P70,4)*T70),1)</f>
        <v>13355.2</v>
      </c>
      <c r="Y70" s="483"/>
      <c r="Z70" s="483"/>
      <c r="AA70" s="483"/>
      <c r="AB70" s="467" t="s">
        <v>44</v>
      </c>
      <c r="AC70" s="467" t="s">
        <v>45</v>
      </c>
      <c r="AD70" s="469" t="s">
        <v>193</v>
      </c>
      <c r="AE70" s="469" t="s">
        <v>194</v>
      </c>
      <c r="AF70" s="469" t="s">
        <v>195</v>
      </c>
      <c r="AL70" s="467" t="s">
        <v>48</v>
      </c>
    </row>
    <row r="71" spans="1:38" ht="15.75">
      <c r="A71" s="500"/>
      <c r="B71" s="509"/>
      <c r="C71" s="502"/>
      <c r="D71" s="502"/>
      <c r="E71" s="510"/>
      <c r="F71" s="513" t="s">
        <v>196</v>
      </c>
      <c r="G71" s="510"/>
      <c r="H71" s="504"/>
      <c r="I71" s="504"/>
      <c r="J71" s="504"/>
      <c r="K71" s="504"/>
      <c r="L71" s="504"/>
      <c r="M71" s="504"/>
      <c r="N71" s="504"/>
      <c r="O71" s="504">
        <v>2.4E-2</v>
      </c>
      <c r="P71" s="504"/>
      <c r="Q71" s="507"/>
      <c r="R71" s="507"/>
      <c r="S71" s="507"/>
      <c r="T71" s="507"/>
      <c r="U71" s="507"/>
      <c r="V71" s="507"/>
      <c r="W71" s="507"/>
      <c r="X71" s="507"/>
      <c r="Y71" s="483"/>
      <c r="Z71" s="483"/>
      <c r="AA71" s="483"/>
    </row>
    <row r="72" spans="1:38" ht="15.75">
      <c r="A72" s="500">
        <v>13</v>
      </c>
      <c r="B72" s="509"/>
      <c r="C72" s="502" t="s">
        <v>197</v>
      </c>
      <c r="D72" s="502"/>
      <c r="E72" s="510" t="s">
        <v>197</v>
      </c>
      <c r="F72" s="512" t="s">
        <v>198</v>
      </c>
      <c r="G72" s="510" t="s">
        <v>192</v>
      </c>
      <c r="H72" s="504"/>
      <c r="I72" s="504"/>
      <c r="J72" s="504"/>
      <c r="K72" s="504"/>
      <c r="L72" s="504"/>
      <c r="M72" s="504"/>
      <c r="N72" s="504"/>
      <c r="O72" s="504"/>
      <c r="P72" s="504">
        <f>ROUND(SUM(O72:O74),4)</f>
        <v>0.4698</v>
      </c>
      <c r="Q72" s="507">
        <v>20837581</v>
      </c>
      <c r="R72" s="507"/>
      <c r="S72" s="507">
        <v>5557332</v>
      </c>
      <c r="T72" s="507">
        <v>1176087</v>
      </c>
      <c r="U72" s="507">
        <f>ROUND(IF(P43=0,ROUND(P72,4)*Q72,P43*ROUND(P72,4)*Q72),1)</f>
        <v>9789495.5999999996</v>
      </c>
      <c r="V72" s="507">
        <f>ROUND(IF(P43=0,ROUND(P72,4)*R72,P43*ROUND(P72,4)*R72),1)</f>
        <v>0</v>
      </c>
      <c r="W72" s="507">
        <f>ROUND(IF(P43=0,ROUND(P72,4)*S72,P43*ROUND(P72,4)*S72),1)</f>
        <v>2610834.6</v>
      </c>
      <c r="X72" s="507">
        <f>ROUND(IF(P43=0,ROUND(P72,4)*T72,P43*ROUND(P72,4)*T72),1)</f>
        <v>552525.69999999995</v>
      </c>
      <c r="Y72" s="483"/>
      <c r="Z72" s="483"/>
      <c r="AA72" s="483"/>
      <c r="AB72" s="467" t="s">
        <v>44</v>
      </c>
      <c r="AC72" s="467" t="s">
        <v>45</v>
      </c>
      <c r="AD72" s="469" t="s">
        <v>199</v>
      </c>
      <c r="AE72" s="469" t="s">
        <v>200</v>
      </c>
      <c r="AF72" s="469" t="s">
        <v>201</v>
      </c>
      <c r="AL72" s="467" t="s">
        <v>48</v>
      </c>
    </row>
    <row r="73" spans="1:38" ht="15.75">
      <c r="A73" s="500"/>
      <c r="B73" s="509"/>
      <c r="C73" s="502"/>
      <c r="D73" s="502"/>
      <c r="E73" s="510"/>
      <c r="F73" s="513" t="s">
        <v>202</v>
      </c>
      <c r="G73" s="510"/>
      <c r="H73" s="504"/>
      <c r="I73" s="504"/>
      <c r="J73" s="504"/>
      <c r="K73" s="504"/>
      <c r="L73" s="504"/>
      <c r="M73" s="504"/>
      <c r="N73" s="504"/>
      <c r="O73" s="504">
        <v>0.4698</v>
      </c>
      <c r="P73" s="504"/>
      <c r="Q73" s="507"/>
      <c r="R73" s="507"/>
      <c r="S73" s="507"/>
      <c r="T73" s="507"/>
      <c r="U73" s="507"/>
      <c r="V73" s="507"/>
      <c r="W73" s="507"/>
      <c r="X73" s="507"/>
      <c r="Y73" s="483"/>
      <c r="Z73" s="483"/>
      <c r="AA73" s="483"/>
    </row>
    <row r="74" spans="1:38" ht="15.75" hidden="1">
      <c r="A74" s="500"/>
      <c r="B74" s="509"/>
      <c r="C74" s="502"/>
      <c r="D74" s="502"/>
      <c r="E74" s="510"/>
      <c r="F74" s="513" t="s">
        <v>203</v>
      </c>
      <c r="G74" s="510"/>
      <c r="H74" s="504"/>
      <c r="I74" s="504"/>
      <c r="J74" s="504"/>
      <c r="K74" s="504"/>
      <c r="L74" s="504"/>
      <c r="M74" s="504"/>
      <c r="N74" s="504"/>
      <c r="O74" s="504"/>
      <c r="P74" s="504"/>
      <c r="Q74" s="507"/>
      <c r="R74" s="507"/>
      <c r="S74" s="507"/>
      <c r="T74" s="507"/>
      <c r="U74" s="507"/>
      <c r="V74" s="507"/>
      <c r="W74" s="507"/>
      <c r="X74" s="507"/>
      <c r="Y74" s="483"/>
      <c r="Z74" s="483"/>
      <c r="AA74" s="483"/>
    </row>
    <row r="75" spans="1:38" ht="31.5">
      <c r="A75" s="500">
        <v>14</v>
      </c>
      <c r="B75" s="509"/>
      <c r="C75" s="502" t="s">
        <v>204</v>
      </c>
      <c r="D75" s="502"/>
      <c r="E75" s="510" t="s">
        <v>204</v>
      </c>
      <c r="F75" s="512" t="s">
        <v>205</v>
      </c>
      <c r="G75" s="510" t="s">
        <v>192</v>
      </c>
      <c r="H75" s="504"/>
      <c r="I75" s="504"/>
      <c r="J75" s="504"/>
      <c r="K75" s="504"/>
      <c r="L75" s="504"/>
      <c r="M75" s="504"/>
      <c r="N75" s="504"/>
      <c r="O75" s="504"/>
      <c r="P75" s="504">
        <f>ROUND(SUM(O75:O77),4)</f>
        <v>0.88080000000000003</v>
      </c>
      <c r="Q75" s="507">
        <v>19905400</v>
      </c>
      <c r="R75" s="507"/>
      <c r="S75" s="507">
        <v>4257500</v>
      </c>
      <c r="T75" s="507">
        <v>112514</v>
      </c>
      <c r="U75" s="507">
        <f>ROUND(IF(P43=0,ROUND(P75,4)*Q75,P43*ROUND(P75,4)*Q75),1)</f>
        <v>17532676.300000001</v>
      </c>
      <c r="V75" s="507">
        <f>ROUND(IF(P43=0,ROUND(P75,4)*R75,P43*ROUND(P75,4)*R75),1)</f>
        <v>0</v>
      </c>
      <c r="W75" s="507">
        <f>ROUND(IF(P43=0,ROUND(P75,4)*S75,P43*ROUND(P75,4)*S75),1)</f>
        <v>3750006</v>
      </c>
      <c r="X75" s="507">
        <f>ROUND(IF(P43=0,ROUND(P75,4)*T75,P43*ROUND(P75,4)*T75),1)</f>
        <v>99102.3</v>
      </c>
      <c r="Y75" s="483"/>
      <c r="Z75" s="483"/>
      <c r="AA75" s="483"/>
      <c r="AB75" s="467" t="s">
        <v>44</v>
      </c>
      <c r="AC75" s="467" t="s">
        <v>45</v>
      </c>
      <c r="AD75" s="469" t="s">
        <v>206</v>
      </c>
      <c r="AE75" s="469" t="s">
        <v>207</v>
      </c>
      <c r="AF75" s="469" t="s">
        <v>208</v>
      </c>
      <c r="AL75" s="467" t="s">
        <v>48</v>
      </c>
    </row>
    <row r="76" spans="1:38" ht="15.75">
      <c r="A76" s="500"/>
      <c r="B76" s="509"/>
      <c r="C76" s="502"/>
      <c r="D76" s="502"/>
      <c r="E76" s="510"/>
      <c r="F76" s="513" t="s">
        <v>209</v>
      </c>
      <c r="G76" s="510"/>
      <c r="H76" s="504"/>
      <c r="I76" s="504"/>
      <c r="J76" s="504"/>
      <c r="K76" s="504"/>
      <c r="L76" s="504"/>
      <c r="M76" s="504"/>
      <c r="N76" s="504"/>
      <c r="O76" s="504">
        <v>0.2031</v>
      </c>
      <c r="P76" s="504"/>
      <c r="Q76" s="507"/>
      <c r="R76" s="507"/>
      <c r="S76" s="507"/>
      <c r="T76" s="507"/>
      <c r="U76" s="507"/>
      <c r="V76" s="507"/>
      <c r="W76" s="507"/>
      <c r="X76" s="507"/>
      <c r="Y76" s="483"/>
      <c r="Z76" s="483"/>
      <c r="AA76" s="483"/>
    </row>
    <row r="77" spans="1:38" ht="15.75">
      <c r="A77" s="500"/>
      <c r="B77" s="509"/>
      <c r="C77" s="502"/>
      <c r="D77" s="502"/>
      <c r="E77" s="510"/>
      <c r="F77" s="513" t="s">
        <v>210</v>
      </c>
      <c r="G77" s="510"/>
      <c r="H77" s="504"/>
      <c r="I77" s="504"/>
      <c r="J77" s="504"/>
      <c r="K77" s="504"/>
      <c r="L77" s="504"/>
      <c r="M77" s="504"/>
      <c r="N77" s="504"/>
      <c r="O77" s="504">
        <v>0.67769999999999997</v>
      </c>
      <c r="P77" s="504"/>
      <c r="Q77" s="507"/>
      <c r="R77" s="507"/>
      <c r="S77" s="507"/>
      <c r="T77" s="507"/>
      <c r="U77" s="507"/>
      <c r="V77" s="507"/>
      <c r="W77" s="507"/>
      <c r="X77" s="507"/>
      <c r="Y77" s="483"/>
      <c r="Z77" s="483"/>
      <c r="AA77" s="483"/>
    </row>
    <row r="78" spans="1:38" ht="31.5">
      <c r="A78" s="500">
        <v>15</v>
      </c>
      <c r="B78" s="509"/>
      <c r="C78" s="502" t="s">
        <v>211</v>
      </c>
      <c r="D78" s="502" t="s">
        <v>212</v>
      </c>
      <c r="E78" s="510" t="s">
        <v>213</v>
      </c>
      <c r="F78" s="512" t="s">
        <v>214</v>
      </c>
      <c r="G78" s="510" t="s">
        <v>43</v>
      </c>
      <c r="H78" s="504"/>
      <c r="I78" s="504"/>
      <c r="J78" s="504"/>
      <c r="K78" s="504"/>
      <c r="L78" s="504"/>
      <c r="M78" s="504"/>
      <c r="N78" s="504"/>
      <c r="O78" s="504"/>
      <c r="P78" s="504">
        <f>ROUND(SUM(O78:O79),4)</f>
        <v>1.5</v>
      </c>
      <c r="Q78" s="507">
        <v>1012410</v>
      </c>
      <c r="R78" s="507"/>
      <c r="S78" s="507">
        <v>462413</v>
      </c>
      <c r="T78" s="507">
        <v>30477</v>
      </c>
      <c r="U78" s="507">
        <f>ROUND(IF(P43=0,ROUND(P78,4)*Q78,P43*ROUND(P78,4)*Q78),1)</f>
        <v>1518615</v>
      </c>
      <c r="V78" s="507">
        <f>ROUND(IF(P43=0,ROUND(P78,4)*R78,P43*ROUND(P78,4)*R78),1)</f>
        <v>0</v>
      </c>
      <c r="W78" s="507">
        <f>ROUND(IF(P43=0,ROUND(P78,4)*S78,P43*ROUND(P78,4)*S78),1)</f>
        <v>693619.5</v>
      </c>
      <c r="X78" s="507">
        <f>ROUND(IF(P43=0,ROUND(P78,4)*T78,P43*ROUND(P78,4)*T78),1)</f>
        <v>45715.5</v>
      </c>
      <c r="Y78" s="483"/>
      <c r="Z78" s="483"/>
      <c r="AA78" s="483"/>
      <c r="AB78" s="467" t="s">
        <v>44</v>
      </c>
      <c r="AC78" s="467" t="s">
        <v>45</v>
      </c>
      <c r="AD78" s="469" t="s">
        <v>215</v>
      </c>
      <c r="AE78" s="469" t="s">
        <v>216</v>
      </c>
      <c r="AF78" s="469" t="s">
        <v>217</v>
      </c>
      <c r="AL78" s="467" t="s">
        <v>48</v>
      </c>
    </row>
    <row r="79" spans="1:38" ht="15.75">
      <c r="A79" s="500"/>
      <c r="B79" s="509"/>
      <c r="C79" s="502"/>
      <c r="D79" s="502"/>
      <c r="E79" s="510"/>
      <c r="F79" s="513" t="s">
        <v>218</v>
      </c>
      <c r="G79" s="510"/>
      <c r="H79" s="504"/>
      <c r="I79" s="504"/>
      <c r="J79" s="504"/>
      <c r="K79" s="504"/>
      <c r="L79" s="504"/>
      <c r="M79" s="504"/>
      <c r="N79" s="504"/>
      <c r="O79" s="504">
        <v>1.5</v>
      </c>
      <c r="P79" s="504"/>
      <c r="Q79" s="507"/>
      <c r="R79" s="507"/>
      <c r="S79" s="507"/>
      <c r="T79" s="507"/>
      <c r="U79" s="507"/>
      <c r="V79" s="507"/>
      <c r="W79" s="507"/>
      <c r="X79" s="507"/>
      <c r="Y79" s="483"/>
      <c r="Z79" s="483"/>
      <c r="AA79" s="483"/>
    </row>
    <row r="80" spans="1:38" ht="15.75">
      <c r="A80" s="500">
        <v>16</v>
      </c>
      <c r="B80" s="509"/>
      <c r="C80" s="502" t="s">
        <v>219</v>
      </c>
      <c r="D80" s="502"/>
      <c r="E80" s="510" t="s">
        <v>219</v>
      </c>
      <c r="F80" s="512" t="s">
        <v>220</v>
      </c>
      <c r="G80" s="510" t="s">
        <v>221</v>
      </c>
      <c r="H80" s="504"/>
      <c r="I80" s="504"/>
      <c r="J80" s="504"/>
      <c r="K80" s="504"/>
      <c r="L80" s="504"/>
      <c r="M80" s="504"/>
      <c r="N80" s="504"/>
      <c r="O80" s="504"/>
      <c r="P80" s="504">
        <f>ROUND(SUM(O80:O83),4)</f>
        <v>30</v>
      </c>
      <c r="Q80" s="507"/>
      <c r="R80" s="507"/>
      <c r="S80" s="507">
        <v>7188</v>
      </c>
      <c r="T80" s="507">
        <v>26350</v>
      </c>
      <c r="U80" s="507">
        <f>ROUND(IF(P43=0,ROUND(P80,4)*Q80,P43*ROUND(P80,4)*Q80),1)</f>
        <v>0</v>
      </c>
      <c r="V80" s="507">
        <f>ROUND(IF(P43=0,ROUND(P80,4)*R80,P43*ROUND(P80,4)*R80),1)</f>
        <v>0</v>
      </c>
      <c r="W80" s="507">
        <f>ROUND(IF(P43=0,ROUND(P80,4)*S80,P43*ROUND(P80,4)*S80),1)</f>
        <v>215640</v>
      </c>
      <c r="X80" s="507">
        <f>ROUND(IF(P43=0,ROUND(P80,4)*T80,P43*ROUND(P80,4)*T80),1)</f>
        <v>790500</v>
      </c>
      <c r="Y80" s="483"/>
      <c r="Z80" s="483"/>
      <c r="AA80" s="483"/>
      <c r="AB80" s="467" t="s">
        <v>44</v>
      </c>
      <c r="AC80" s="467" t="s">
        <v>45</v>
      </c>
      <c r="AE80" s="469" t="s">
        <v>222</v>
      </c>
      <c r="AF80" s="469" t="s">
        <v>223</v>
      </c>
      <c r="AL80" s="467" t="s">
        <v>48</v>
      </c>
    </row>
    <row r="81" spans="1:38" ht="15.75">
      <c r="A81" s="500"/>
      <c r="B81" s="509"/>
      <c r="C81" s="502"/>
      <c r="D81" s="502"/>
      <c r="E81" s="510"/>
      <c r="F81" s="513" t="s">
        <v>224</v>
      </c>
      <c r="G81" s="510"/>
      <c r="H81" s="504"/>
      <c r="I81" s="504"/>
      <c r="J81" s="504"/>
      <c r="K81" s="504"/>
      <c r="L81" s="504"/>
      <c r="M81" s="504"/>
      <c r="N81" s="504"/>
      <c r="O81" s="504">
        <v>30</v>
      </c>
      <c r="P81" s="504"/>
      <c r="Q81" s="507"/>
      <c r="R81" s="507"/>
      <c r="S81" s="507"/>
      <c r="T81" s="507"/>
      <c r="U81" s="507"/>
      <c r="V81" s="507"/>
      <c r="W81" s="507"/>
      <c r="X81" s="507"/>
      <c r="Y81" s="483"/>
      <c r="Z81" s="483"/>
      <c r="AA81" s="483"/>
    </row>
    <row r="82" spans="1:38" ht="15.75" hidden="1">
      <c r="A82" s="500"/>
      <c r="B82" s="509"/>
      <c r="C82" s="502"/>
      <c r="D82" s="502"/>
      <c r="E82" s="510"/>
      <c r="F82" s="514" t="s">
        <v>225</v>
      </c>
      <c r="G82" s="510"/>
      <c r="H82" s="504"/>
      <c r="I82" s="504"/>
      <c r="J82" s="504"/>
      <c r="K82" s="504"/>
      <c r="L82" s="504"/>
      <c r="M82" s="504"/>
      <c r="N82" s="504"/>
      <c r="O82" s="504"/>
      <c r="P82" s="504"/>
      <c r="Q82" s="507"/>
      <c r="R82" s="507"/>
      <c r="S82" s="507"/>
      <c r="T82" s="507"/>
      <c r="U82" s="507"/>
      <c r="V82" s="507"/>
      <c r="W82" s="507"/>
      <c r="X82" s="507"/>
      <c r="Y82" s="483"/>
      <c r="Z82" s="483"/>
      <c r="AA82" s="483"/>
    </row>
    <row r="83" spans="1:38" ht="15.75" hidden="1">
      <c r="A83" s="500"/>
      <c r="B83" s="509"/>
      <c r="C83" s="502"/>
      <c r="D83" s="502"/>
      <c r="E83" s="510"/>
      <c r="F83" s="513" t="s">
        <v>226</v>
      </c>
      <c r="G83" s="510"/>
      <c r="H83" s="504"/>
      <c r="I83" s="504"/>
      <c r="J83" s="504"/>
      <c r="K83" s="504"/>
      <c r="L83" s="504"/>
      <c r="M83" s="504"/>
      <c r="N83" s="504"/>
      <c r="O83" s="504"/>
      <c r="P83" s="504"/>
      <c r="Q83" s="507"/>
      <c r="R83" s="507"/>
      <c r="S83" s="507"/>
      <c r="T83" s="507"/>
      <c r="U83" s="507"/>
      <c r="V83" s="507"/>
      <c r="W83" s="507"/>
      <c r="X83" s="507"/>
      <c r="Y83" s="483"/>
      <c r="Z83" s="483"/>
      <c r="AA83" s="483"/>
    </row>
    <row r="84" spans="1:38" ht="31.5">
      <c r="A84" s="500">
        <v>17</v>
      </c>
      <c r="B84" s="509"/>
      <c r="C84" s="502" t="s">
        <v>227</v>
      </c>
      <c r="D84" s="502"/>
      <c r="E84" s="510" t="s">
        <v>227</v>
      </c>
      <c r="F84" s="512" t="s">
        <v>228</v>
      </c>
      <c r="G84" s="510" t="s">
        <v>86</v>
      </c>
      <c r="H84" s="504"/>
      <c r="I84" s="504"/>
      <c r="J84" s="504"/>
      <c r="K84" s="504"/>
      <c r="L84" s="504"/>
      <c r="M84" s="504"/>
      <c r="N84" s="504"/>
      <c r="O84" s="504"/>
      <c r="P84" s="504">
        <f>ROUND(SUM(O84:O85),4)</f>
        <v>5.8500000000000003E-2</v>
      </c>
      <c r="Q84" s="507">
        <v>795191</v>
      </c>
      <c r="R84" s="507"/>
      <c r="S84" s="507">
        <v>6200040</v>
      </c>
      <c r="T84" s="507"/>
      <c r="U84" s="507">
        <f>ROUND(IF(P43=0,ROUND(P84,4)*Q84,P43*ROUND(P84,4)*Q84),1)</f>
        <v>46518.7</v>
      </c>
      <c r="V84" s="507">
        <f>ROUND(IF(P43=0,ROUND(P84,4)*R84,P43*ROUND(P84,4)*R84),1)</f>
        <v>0</v>
      </c>
      <c r="W84" s="507">
        <f>ROUND(IF(P43=0,ROUND(P84,4)*S84,P43*ROUND(P84,4)*S84),1)</f>
        <v>362702.3</v>
      </c>
      <c r="X84" s="507">
        <f>ROUND(IF(P43=0,ROUND(P84,4)*T84,P43*ROUND(P84,4)*T84),1)</f>
        <v>0</v>
      </c>
      <c r="Y84" s="483"/>
      <c r="Z84" s="483"/>
      <c r="AA84" s="483"/>
      <c r="AB84" s="467" t="s">
        <v>44</v>
      </c>
      <c r="AC84" s="467" t="s">
        <v>45</v>
      </c>
      <c r="AD84" s="469" t="s">
        <v>229</v>
      </c>
      <c r="AE84" s="469" t="s">
        <v>230</v>
      </c>
      <c r="AL84" s="467" t="s">
        <v>48</v>
      </c>
    </row>
    <row r="85" spans="1:38" ht="15.75">
      <c r="A85" s="500"/>
      <c r="B85" s="509"/>
      <c r="C85" s="502"/>
      <c r="D85" s="502"/>
      <c r="E85" s="510"/>
      <c r="F85" s="513" t="s">
        <v>231</v>
      </c>
      <c r="G85" s="510"/>
      <c r="H85" s="504"/>
      <c r="I85" s="504"/>
      <c r="J85" s="504"/>
      <c r="K85" s="504"/>
      <c r="L85" s="504"/>
      <c r="M85" s="504"/>
      <c r="N85" s="504"/>
      <c r="O85" s="504">
        <v>5.8500000000000003E-2</v>
      </c>
      <c r="P85" s="504"/>
      <c r="Q85" s="507"/>
      <c r="R85" s="507"/>
      <c r="S85" s="507"/>
      <c r="T85" s="507"/>
      <c r="U85" s="507"/>
      <c r="V85" s="507"/>
      <c r="W85" s="507"/>
      <c r="X85" s="507"/>
      <c r="Y85" s="483"/>
      <c r="Z85" s="483"/>
      <c r="AA85" s="483"/>
    </row>
    <row r="86" spans="1:38" ht="31.5">
      <c r="A86" s="500">
        <v>18</v>
      </c>
      <c r="B86" s="509"/>
      <c r="C86" s="502" t="s">
        <v>204</v>
      </c>
      <c r="D86" s="502"/>
      <c r="E86" s="510" t="s">
        <v>204</v>
      </c>
      <c r="F86" s="512" t="s">
        <v>205</v>
      </c>
      <c r="G86" s="510" t="s">
        <v>192</v>
      </c>
      <c r="H86" s="504"/>
      <c r="I86" s="504"/>
      <c r="J86" s="504"/>
      <c r="K86" s="504"/>
      <c r="L86" s="504"/>
      <c r="M86" s="504"/>
      <c r="N86" s="504"/>
      <c r="O86" s="504"/>
      <c r="P86" s="504">
        <f>ROUND(SUM(O86:O87),4)</f>
        <v>0.16520000000000001</v>
      </c>
      <c r="Q86" s="507">
        <v>19905400</v>
      </c>
      <c r="R86" s="507"/>
      <c r="S86" s="507">
        <v>4257500</v>
      </c>
      <c r="T86" s="507">
        <v>112514</v>
      </c>
      <c r="U86" s="507">
        <f>ROUND(IF(P43=0,ROUND(P86,4)*Q86,P43*ROUND(P86,4)*Q86),1)</f>
        <v>3288372.1</v>
      </c>
      <c r="V86" s="507">
        <f>ROUND(IF(P43=0,ROUND(P86,4)*R86,P43*ROUND(P86,4)*R86),1)</f>
        <v>0</v>
      </c>
      <c r="W86" s="507">
        <f>ROUND(IF(P43=0,ROUND(P86,4)*S86,P43*ROUND(P86,4)*S86),1)</f>
        <v>703339</v>
      </c>
      <c r="X86" s="507">
        <f>ROUND(IF(P43=0,ROUND(P86,4)*T86,P43*ROUND(P86,4)*T86),1)</f>
        <v>18587.3</v>
      </c>
      <c r="Y86" s="483"/>
      <c r="Z86" s="483"/>
      <c r="AA86" s="483"/>
      <c r="AB86" s="467" t="s">
        <v>44</v>
      </c>
      <c r="AC86" s="467" t="s">
        <v>45</v>
      </c>
      <c r="AD86" s="469" t="s">
        <v>206</v>
      </c>
      <c r="AE86" s="469" t="s">
        <v>207</v>
      </c>
      <c r="AF86" s="469" t="s">
        <v>208</v>
      </c>
      <c r="AL86" s="467" t="s">
        <v>48</v>
      </c>
    </row>
    <row r="87" spans="1:38" ht="15.75">
      <c r="A87" s="500"/>
      <c r="B87" s="509"/>
      <c r="C87" s="502"/>
      <c r="D87" s="502"/>
      <c r="E87" s="510"/>
      <c r="F87" s="513" t="s">
        <v>232</v>
      </c>
      <c r="G87" s="510"/>
      <c r="H87" s="504"/>
      <c r="I87" s="504"/>
      <c r="J87" s="504"/>
      <c r="K87" s="504"/>
      <c r="L87" s="504"/>
      <c r="M87" s="504"/>
      <c r="N87" s="504"/>
      <c r="O87" s="504">
        <v>0.16520000000000001</v>
      </c>
      <c r="P87" s="504"/>
      <c r="Q87" s="507"/>
      <c r="R87" s="507"/>
      <c r="S87" s="507"/>
      <c r="T87" s="507"/>
      <c r="U87" s="507"/>
      <c r="V87" s="507"/>
      <c r="W87" s="507"/>
      <c r="X87" s="507"/>
      <c r="Y87" s="483"/>
      <c r="Z87" s="483"/>
      <c r="AA87" s="483"/>
    </row>
    <row r="88" spans="1:38" ht="31.5">
      <c r="A88" s="500">
        <v>19</v>
      </c>
      <c r="B88" s="509"/>
      <c r="C88" s="502" t="s">
        <v>211</v>
      </c>
      <c r="D88" s="502" t="s">
        <v>212</v>
      </c>
      <c r="E88" s="510" t="s">
        <v>213</v>
      </c>
      <c r="F88" s="512" t="s">
        <v>233</v>
      </c>
      <c r="G88" s="510" t="s">
        <v>43</v>
      </c>
      <c r="H88" s="504"/>
      <c r="I88" s="504"/>
      <c r="J88" s="504"/>
      <c r="K88" s="504"/>
      <c r="L88" s="504"/>
      <c r="M88" s="504"/>
      <c r="N88" s="504"/>
      <c r="O88" s="504"/>
      <c r="P88" s="504">
        <f>ROUND(SUM(O88:O89),4)</f>
        <v>1.29</v>
      </c>
      <c r="Q88" s="507">
        <v>1012410</v>
      </c>
      <c r="R88" s="507"/>
      <c r="S88" s="507">
        <v>462413</v>
      </c>
      <c r="T88" s="507">
        <v>30477</v>
      </c>
      <c r="U88" s="507">
        <f>ROUND(IF(P43=0,ROUND(P88,4)*Q88,P43*ROUND(P88,4)*Q88),1)</f>
        <v>1306008.8999999999</v>
      </c>
      <c r="V88" s="507">
        <f>ROUND(IF(P43=0,ROUND(P88,4)*R88,P43*ROUND(P88,4)*R88),1)</f>
        <v>0</v>
      </c>
      <c r="W88" s="507">
        <f>ROUND(IF(P43=0,ROUND(P88,4)*S88,P43*ROUND(P88,4)*S88),1)</f>
        <v>596512.80000000005</v>
      </c>
      <c r="X88" s="507">
        <f>ROUND(IF(P43=0,ROUND(P88,4)*T88,P43*ROUND(P88,4)*T88),1)</f>
        <v>39315.300000000003</v>
      </c>
      <c r="Y88" s="483"/>
      <c r="Z88" s="483"/>
      <c r="AA88" s="483"/>
      <c r="AB88" s="467" t="s">
        <v>44</v>
      </c>
      <c r="AC88" s="467" t="s">
        <v>45</v>
      </c>
      <c r="AD88" s="469" t="s">
        <v>215</v>
      </c>
      <c r="AE88" s="469" t="s">
        <v>216</v>
      </c>
      <c r="AF88" s="469" t="s">
        <v>217</v>
      </c>
      <c r="AL88" s="467" t="s">
        <v>48</v>
      </c>
    </row>
    <row r="89" spans="1:38" ht="15.75">
      <c r="A89" s="500"/>
      <c r="B89" s="509"/>
      <c r="C89" s="502"/>
      <c r="D89" s="502"/>
      <c r="E89" s="510"/>
      <c r="F89" s="513" t="s">
        <v>234</v>
      </c>
      <c r="G89" s="510"/>
      <c r="H89" s="504"/>
      <c r="I89" s="504"/>
      <c r="J89" s="504"/>
      <c r="K89" s="504"/>
      <c r="L89" s="504"/>
      <c r="M89" s="504"/>
      <c r="N89" s="504"/>
      <c r="O89" s="504">
        <v>1.29</v>
      </c>
      <c r="P89" s="504"/>
      <c r="Q89" s="507"/>
      <c r="R89" s="507"/>
      <c r="S89" s="507"/>
      <c r="T89" s="507"/>
      <c r="U89" s="507"/>
      <c r="V89" s="507"/>
      <c r="W89" s="507"/>
      <c r="X89" s="507"/>
      <c r="Y89" s="483"/>
      <c r="Z89" s="483"/>
      <c r="AA89" s="483"/>
    </row>
    <row r="90" spans="1:38" ht="15.75">
      <c r="A90" s="500">
        <v>20</v>
      </c>
      <c r="B90" s="509"/>
      <c r="C90" s="502" t="s">
        <v>219</v>
      </c>
      <c r="D90" s="502"/>
      <c r="E90" s="510" t="s">
        <v>219</v>
      </c>
      <c r="F90" s="512" t="s">
        <v>235</v>
      </c>
      <c r="G90" s="510" t="s">
        <v>221</v>
      </c>
      <c r="H90" s="504"/>
      <c r="I90" s="504"/>
      <c r="J90" s="504"/>
      <c r="K90" s="504"/>
      <c r="L90" s="504"/>
      <c r="M90" s="504"/>
      <c r="N90" s="504"/>
      <c r="O90" s="504"/>
      <c r="P90" s="504">
        <f>ROUND(SUM(O90:O92),4)</f>
        <v>15</v>
      </c>
      <c r="Q90" s="507"/>
      <c r="R90" s="507"/>
      <c r="S90" s="507">
        <v>7188</v>
      </c>
      <c r="T90" s="507">
        <v>26350</v>
      </c>
      <c r="U90" s="507">
        <f>ROUND(IF(P43=0,ROUND(P90,4)*Q90,P43*ROUND(P90,4)*Q90),1)</f>
        <v>0</v>
      </c>
      <c r="V90" s="507">
        <f>ROUND(IF(P43=0,ROUND(P90,4)*R90,P43*ROUND(P90,4)*R90),1)</f>
        <v>0</v>
      </c>
      <c r="W90" s="507">
        <f>ROUND(IF(P43=0,ROUND(P90,4)*S90,P43*ROUND(P90,4)*S90),1)</f>
        <v>107820</v>
      </c>
      <c r="X90" s="507">
        <f>ROUND(IF(P43=0,ROUND(P90,4)*T90,P43*ROUND(P90,4)*T90),1)</f>
        <v>395250</v>
      </c>
      <c r="Y90" s="483"/>
      <c r="Z90" s="483"/>
      <c r="AA90" s="483"/>
      <c r="AB90" s="467" t="s">
        <v>44</v>
      </c>
      <c r="AC90" s="467" t="s">
        <v>45</v>
      </c>
      <c r="AE90" s="469" t="s">
        <v>222</v>
      </c>
      <c r="AF90" s="469" t="s">
        <v>223</v>
      </c>
      <c r="AL90" s="467" t="s">
        <v>48</v>
      </c>
    </row>
    <row r="91" spans="1:38" ht="15.75">
      <c r="A91" s="500"/>
      <c r="B91" s="509"/>
      <c r="C91" s="502"/>
      <c r="D91" s="502"/>
      <c r="E91" s="510"/>
      <c r="F91" s="513" t="s">
        <v>236</v>
      </c>
      <c r="G91" s="510"/>
      <c r="H91" s="504"/>
      <c r="I91" s="504"/>
      <c r="J91" s="504"/>
      <c r="K91" s="504"/>
      <c r="L91" s="504"/>
      <c r="M91" s="504"/>
      <c r="N91" s="504"/>
      <c r="O91" s="504">
        <v>15</v>
      </c>
      <c r="P91" s="504"/>
      <c r="Q91" s="507"/>
      <c r="R91" s="507"/>
      <c r="S91" s="507"/>
      <c r="T91" s="507"/>
      <c r="U91" s="507"/>
      <c r="V91" s="507"/>
      <c r="W91" s="507"/>
      <c r="X91" s="507"/>
      <c r="Y91" s="483"/>
      <c r="Z91" s="483"/>
      <c r="AA91" s="483"/>
    </row>
    <row r="92" spans="1:38" ht="15.75" hidden="1">
      <c r="A92" s="500"/>
      <c r="B92" s="509"/>
      <c r="C92" s="502"/>
      <c r="D92" s="502"/>
      <c r="E92" s="510"/>
      <c r="F92" s="513" t="s">
        <v>237</v>
      </c>
      <c r="G92" s="510"/>
      <c r="H92" s="504"/>
      <c r="I92" s="504"/>
      <c r="J92" s="504"/>
      <c r="K92" s="504"/>
      <c r="L92" s="504"/>
      <c r="M92" s="504"/>
      <c r="N92" s="504"/>
      <c r="O92" s="504"/>
      <c r="P92" s="504"/>
      <c r="Q92" s="507"/>
      <c r="R92" s="507"/>
      <c r="S92" s="507"/>
      <c r="T92" s="507"/>
      <c r="U92" s="507"/>
      <c r="V92" s="507"/>
      <c r="W92" s="507"/>
      <c r="X92" s="507"/>
      <c r="Y92" s="483"/>
      <c r="Z92" s="483"/>
      <c r="AA92" s="483"/>
    </row>
    <row r="93" spans="1:38" ht="31.5">
      <c r="A93" s="500">
        <v>21</v>
      </c>
      <c r="B93" s="509"/>
      <c r="C93" s="502" t="s">
        <v>157</v>
      </c>
      <c r="D93" s="502" t="s">
        <v>158</v>
      </c>
      <c r="E93" s="510" t="s">
        <v>159</v>
      </c>
      <c r="F93" s="512" t="s">
        <v>238</v>
      </c>
      <c r="G93" s="510" t="s">
        <v>43</v>
      </c>
      <c r="H93" s="504"/>
      <c r="I93" s="504"/>
      <c r="J93" s="504"/>
      <c r="K93" s="504"/>
      <c r="L93" s="504"/>
      <c r="M93" s="504"/>
      <c r="N93" s="504"/>
      <c r="O93" s="504"/>
      <c r="P93" s="504">
        <f>ROUND(SUM(O93:O94),4)</f>
        <v>0.77</v>
      </c>
      <c r="Q93" s="507">
        <v>845762</v>
      </c>
      <c r="R93" s="507"/>
      <c r="S93" s="507">
        <v>838400</v>
      </c>
      <c r="T93" s="507">
        <v>11500</v>
      </c>
      <c r="U93" s="507">
        <f>ROUND(IF(P43=0,ROUND(P93,4)*Q93,P43*ROUND(P93,4)*Q93),1)</f>
        <v>651236.69999999995</v>
      </c>
      <c r="V93" s="507">
        <f>ROUND(IF(P43=0,ROUND(P93,4)*R93,P43*ROUND(P93,4)*R93),1)</f>
        <v>0</v>
      </c>
      <c r="W93" s="507">
        <f>ROUND(IF(P43=0,ROUND(P93,4)*S93,P43*ROUND(P93,4)*S93),1)</f>
        <v>645568</v>
      </c>
      <c r="X93" s="507">
        <f>ROUND(IF(P43=0,ROUND(P93,4)*T93,P43*ROUND(P93,4)*T93),1)</f>
        <v>8855</v>
      </c>
      <c r="Y93" s="483"/>
      <c r="Z93" s="483"/>
      <c r="AA93" s="483"/>
      <c r="AB93" s="467" t="s">
        <v>44</v>
      </c>
      <c r="AC93" s="467" t="s">
        <v>45</v>
      </c>
      <c r="AD93" s="469" t="s">
        <v>161</v>
      </c>
      <c r="AE93" s="469" t="s">
        <v>162</v>
      </c>
      <c r="AF93" s="469" t="s">
        <v>163</v>
      </c>
      <c r="AL93" s="467" t="s">
        <v>48</v>
      </c>
    </row>
    <row r="94" spans="1:38" ht="15.75">
      <c r="A94" s="500"/>
      <c r="B94" s="509"/>
      <c r="C94" s="502"/>
      <c r="D94" s="502"/>
      <c r="E94" s="510"/>
      <c r="F94" s="513" t="s">
        <v>239</v>
      </c>
      <c r="G94" s="510"/>
      <c r="H94" s="504"/>
      <c r="I94" s="504"/>
      <c r="J94" s="504"/>
      <c r="K94" s="504"/>
      <c r="L94" s="504"/>
      <c r="M94" s="504"/>
      <c r="N94" s="504"/>
      <c r="O94" s="504">
        <v>0.77</v>
      </c>
      <c r="P94" s="504"/>
      <c r="Q94" s="507"/>
      <c r="R94" s="507"/>
      <c r="S94" s="507"/>
      <c r="T94" s="507"/>
      <c r="U94" s="507"/>
      <c r="V94" s="507"/>
      <c r="W94" s="507"/>
      <c r="X94" s="507"/>
      <c r="Y94" s="483"/>
      <c r="Z94" s="483"/>
      <c r="AA94" s="483"/>
    </row>
    <row r="95" spans="1:38" ht="31.5">
      <c r="A95" s="500">
        <v>22</v>
      </c>
      <c r="B95" s="509"/>
      <c r="C95" s="502" t="s">
        <v>165</v>
      </c>
      <c r="D95" s="502" t="s">
        <v>158</v>
      </c>
      <c r="E95" s="510" t="s">
        <v>240</v>
      </c>
      <c r="F95" s="512" t="s">
        <v>241</v>
      </c>
      <c r="G95" s="510" t="s">
        <v>109</v>
      </c>
      <c r="H95" s="504"/>
      <c r="I95" s="504"/>
      <c r="J95" s="504"/>
      <c r="K95" s="504"/>
      <c r="L95" s="504"/>
      <c r="M95" s="504"/>
      <c r="N95" s="504"/>
      <c r="O95" s="504"/>
      <c r="P95" s="504">
        <f>ROUND(SUM(O95:O96),4)</f>
        <v>6.49</v>
      </c>
      <c r="Q95" s="507">
        <v>21481</v>
      </c>
      <c r="R95" s="507"/>
      <c r="S95" s="507">
        <v>91700</v>
      </c>
      <c r="T95" s="507">
        <v>885</v>
      </c>
      <c r="U95" s="507">
        <f>ROUND(IF(P43=0,ROUND(P95,4)*Q95,P43*ROUND(P95,4)*Q95),1)</f>
        <v>139411.70000000001</v>
      </c>
      <c r="V95" s="507">
        <f>ROUND(IF(P43=0,ROUND(P95,4)*R95,P43*ROUND(P95,4)*R95),1)</f>
        <v>0</v>
      </c>
      <c r="W95" s="507">
        <f>ROUND(IF(P43=0,ROUND(P95,4)*S95,P43*ROUND(P95,4)*S95),1)</f>
        <v>595133</v>
      </c>
      <c r="X95" s="507">
        <f>ROUND(IF(P43=0,ROUND(P95,4)*T95,P43*ROUND(P95,4)*T95),1)</f>
        <v>5743.7</v>
      </c>
      <c r="Y95" s="483"/>
      <c r="Z95" s="483"/>
      <c r="AA95" s="483"/>
      <c r="AB95" s="467" t="s">
        <v>44</v>
      </c>
      <c r="AC95" s="467" t="s">
        <v>45</v>
      </c>
      <c r="AD95" s="469" t="s">
        <v>242</v>
      </c>
      <c r="AE95" s="469" t="s">
        <v>170</v>
      </c>
      <c r="AF95" s="469" t="s">
        <v>171</v>
      </c>
      <c r="AL95" s="467" t="s">
        <v>48</v>
      </c>
    </row>
    <row r="96" spans="1:38" ht="15.75">
      <c r="A96" s="500"/>
      <c r="B96" s="509"/>
      <c r="C96" s="502"/>
      <c r="D96" s="502"/>
      <c r="E96" s="510"/>
      <c r="F96" s="513" t="s">
        <v>243</v>
      </c>
      <c r="G96" s="510"/>
      <c r="H96" s="504"/>
      <c r="I96" s="504"/>
      <c r="J96" s="504"/>
      <c r="K96" s="504"/>
      <c r="L96" s="504"/>
      <c r="M96" s="504"/>
      <c r="N96" s="504"/>
      <c r="O96" s="504">
        <v>6.49</v>
      </c>
      <c r="P96" s="504"/>
      <c r="Q96" s="507"/>
      <c r="R96" s="507"/>
      <c r="S96" s="507"/>
      <c r="T96" s="507"/>
      <c r="U96" s="507"/>
      <c r="V96" s="507"/>
      <c r="W96" s="507"/>
      <c r="X96" s="507"/>
      <c r="Y96" s="483"/>
      <c r="Z96" s="483"/>
      <c r="AA96" s="483"/>
    </row>
    <row r="97" spans="1:38" ht="15.75">
      <c r="A97" s="500">
        <v>23</v>
      </c>
      <c r="B97" s="509"/>
      <c r="C97" s="502" t="s">
        <v>179</v>
      </c>
      <c r="D97" s="502"/>
      <c r="E97" s="510" t="s">
        <v>179</v>
      </c>
      <c r="F97" s="512" t="s">
        <v>244</v>
      </c>
      <c r="G97" s="510" t="s">
        <v>86</v>
      </c>
      <c r="H97" s="504"/>
      <c r="I97" s="504"/>
      <c r="J97" s="504"/>
      <c r="K97" s="504"/>
      <c r="L97" s="504"/>
      <c r="M97" s="504"/>
      <c r="N97" s="504"/>
      <c r="O97" s="504"/>
      <c r="P97" s="504">
        <f>ROUND(SUM(O97:O98),4)</f>
        <v>8.0600000000000005E-2</v>
      </c>
      <c r="Q97" s="507">
        <v>7011730</v>
      </c>
      <c r="R97" s="507"/>
      <c r="S97" s="507">
        <v>7205000</v>
      </c>
      <c r="T97" s="507"/>
      <c r="U97" s="507">
        <f>ROUND(IF(P43=0,ROUND(P97,4)*Q97,P43*ROUND(P97,4)*Q97),1)</f>
        <v>565145.4</v>
      </c>
      <c r="V97" s="507">
        <f>ROUND(IF(P43=0,ROUND(P97,4)*R97,P43*ROUND(P97,4)*R97),1)</f>
        <v>0</v>
      </c>
      <c r="W97" s="507">
        <f>ROUND(IF(P43=0,ROUND(P97,4)*S97,P43*ROUND(P97,4)*S97),1)</f>
        <v>580723</v>
      </c>
      <c r="X97" s="507">
        <f>ROUND(IF(P43=0,ROUND(P97,4)*T97,P43*ROUND(P97,4)*T97),1)</f>
        <v>0</v>
      </c>
      <c r="Y97" s="483"/>
      <c r="Z97" s="483"/>
      <c r="AA97" s="483"/>
      <c r="AB97" s="467" t="s">
        <v>44</v>
      </c>
      <c r="AC97" s="467" t="s">
        <v>45</v>
      </c>
      <c r="AD97" s="469" t="s">
        <v>181</v>
      </c>
      <c r="AE97" s="469" t="s">
        <v>182</v>
      </c>
      <c r="AL97" s="467" t="s">
        <v>48</v>
      </c>
    </row>
    <row r="98" spans="1:38" ht="15.75">
      <c r="A98" s="500"/>
      <c r="B98" s="509"/>
      <c r="C98" s="502"/>
      <c r="D98" s="502"/>
      <c r="E98" s="510"/>
      <c r="F98" s="513" t="s">
        <v>245</v>
      </c>
      <c r="G98" s="510"/>
      <c r="H98" s="504"/>
      <c r="I98" s="504"/>
      <c r="J98" s="504"/>
      <c r="K98" s="504"/>
      <c r="L98" s="504"/>
      <c r="M98" s="504"/>
      <c r="N98" s="504"/>
      <c r="O98" s="504">
        <v>8.0600000000000005E-2</v>
      </c>
      <c r="P98" s="504"/>
      <c r="Q98" s="507"/>
      <c r="R98" s="507"/>
      <c r="S98" s="507"/>
      <c r="T98" s="507"/>
      <c r="U98" s="507"/>
      <c r="V98" s="507"/>
      <c r="W98" s="507"/>
      <c r="X98" s="507"/>
      <c r="Y98" s="483"/>
      <c r="Z98" s="483"/>
      <c r="AA98" s="483"/>
    </row>
    <row r="99" spans="1:38" ht="31.5">
      <c r="A99" s="500">
        <v>24</v>
      </c>
      <c r="B99" s="509"/>
      <c r="C99" s="502" t="s">
        <v>184</v>
      </c>
      <c r="D99" s="502" t="s">
        <v>212</v>
      </c>
      <c r="E99" s="510" t="s">
        <v>246</v>
      </c>
      <c r="F99" s="512" t="s">
        <v>247</v>
      </c>
      <c r="G99" s="510" t="s">
        <v>43</v>
      </c>
      <c r="H99" s="504"/>
      <c r="I99" s="504"/>
      <c r="J99" s="504"/>
      <c r="K99" s="504"/>
      <c r="L99" s="504"/>
      <c r="M99" s="504"/>
      <c r="N99" s="504"/>
      <c r="O99" s="504"/>
      <c r="P99" s="504">
        <f>ROUND(SUM(O99:O100),4)</f>
        <v>4.03</v>
      </c>
      <c r="Q99" s="507">
        <v>1027471</v>
      </c>
      <c r="R99" s="507"/>
      <c r="S99" s="507">
        <v>639711</v>
      </c>
      <c r="T99" s="507">
        <v>80297</v>
      </c>
      <c r="U99" s="507">
        <f>ROUND(IF(P43=0,ROUND(P99,4)*Q99,P43*ROUND(P99,4)*Q99),1)</f>
        <v>4140708.1</v>
      </c>
      <c r="V99" s="507">
        <f>ROUND(IF(P43=0,ROUND(P99,4)*R99,P43*ROUND(P99,4)*R99),1)</f>
        <v>0</v>
      </c>
      <c r="W99" s="507">
        <f>ROUND(IF(P43=0,ROUND(P99,4)*S99,P43*ROUND(P99,4)*S99),1)</f>
        <v>2578035.2999999998</v>
      </c>
      <c r="X99" s="507">
        <f>ROUND(IF(P43=0,ROUND(P99,4)*T99,P43*ROUND(P99,4)*T99),1)</f>
        <v>323596.90000000002</v>
      </c>
      <c r="Y99" s="483"/>
      <c r="Z99" s="483"/>
      <c r="AA99" s="483"/>
      <c r="AB99" s="467" t="s">
        <v>44</v>
      </c>
      <c r="AC99" s="467" t="s">
        <v>45</v>
      </c>
      <c r="AD99" s="469" t="s">
        <v>248</v>
      </c>
      <c r="AE99" s="469" t="s">
        <v>187</v>
      </c>
      <c r="AF99" s="469" t="s">
        <v>188</v>
      </c>
      <c r="AL99" s="467" t="s">
        <v>48</v>
      </c>
    </row>
    <row r="100" spans="1:38" ht="15.75">
      <c r="A100" s="500"/>
      <c r="B100" s="509"/>
      <c r="C100" s="502"/>
      <c r="D100" s="502"/>
      <c r="E100" s="510"/>
      <c r="F100" s="513" t="s">
        <v>249</v>
      </c>
      <c r="G100" s="510"/>
      <c r="H100" s="504"/>
      <c r="I100" s="504"/>
      <c r="J100" s="504"/>
      <c r="K100" s="504"/>
      <c r="L100" s="504"/>
      <c r="M100" s="504"/>
      <c r="N100" s="504"/>
      <c r="O100" s="504">
        <v>4.03</v>
      </c>
      <c r="P100" s="504"/>
      <c r="Q100" s="507"/>
      <c r="R100" s="507"/>
      <c r="S100" s="507"/>
      <c r="T100" s="507"/>
      <c r="U100" s="507"/>
      <c r="V100" s="507"/>
      <c r="W100" s="507"/>
      <c r="X100" s="507"/>
      <c r="Y100" s="483"/>
      <c r="Z100" s="483"/>
      <c r="AA100" s="483"/>
    </row>
    <row r="101" spans="1:38" ht="15.75">
      <c r="A101" s="500">
        <v>25</v>
      </c>
      <c r="B101" s="509"/>
      <c r="C101" s="502"/>
      <c r="D101" s="502"/>
      <c r="E101" s="510" t="s">
        <v>61</v>
      </c>
      <c r="F101" s="512" t="s">
        <v>250</v>
      </c>
      <c r="G101" s="510" t="s">
        <v>251</v>
      </c>
      <c r="H101" s="504"/>
      <c r="I101" s="504"/>
      <c r="J101" s="504"/>
      <c r="K101" s="504"/>
      <c r="L101" s="504"/>
      <c r="M101" s="504"/>
      <c r="N101" s="504"/>
      <c r="O101" s="504"/>
      <c r="P101" s="504">
        <f>ROUND(SUM(O101:O103),4)</f>
        <v>15</v>
      </c>
      <c r="Q101" s="507">
        <v>1850000</v>
      </c>
      <c r="R101" s="507"/>
      <c r="S101" s="507"/>
      <c r="T101" s="507"/>
      <c r="U101" s="507">
        <f>ROUND(IF(P43=0,ROUND(P101,4)*Q101,P43*ROUND(P101,4)*Q101),1)</f>
        <v>27750000</v>
      </c>
      <c r="V101" s="507">
        <f>ROUND(IF(P43=0,ROUND(P101,4)*R101,P43*ROUND(P101,4)*R101),1)</f>
        <v>0</v>
      </c>
      <c r="W101" s="507">
        <f>ROUND(IF(P43=0,ROUND(P101,4)*S101,P43*ROUND(P101,4)*S101),1)</f>
        <v>0</v>
      </c>
      <c r="X101" s="507">
        <f>ROUND(IF(P43=0,ROUND(P101,4)*T101,P43*ROUND(P101,4)*T101),1)</f>
        <v>0</v>
      </c>
      <c r="Y101" s="483"/>
      <c r="Z101" s="483"/>
      <c r="AA101" s="483"/>
    </row>
    <row r="102" spans="1:38" ht="15.75">
      <c r="A102" s="500"/>
      <c r="B102" s="509"/>
      <c r="C102" s="502"/>
      <c r="D102" s="502"/>
      <c r="E102" s="510"/>
      <c r="F102" s="513" t="s">
        <v>236</v>
      </c>
      <c r="G102" s="510"/>
      <c r="H102" s="504"/>
      <c r="I102" s="504"/>
      <c r="J102" s="504"/>
      <c r="K102" s="504"/>
      <c r="L102" s="504"/>
      <c r="M102" s="504"/>
      <c r="N102" s="504"/>
      <c r="O102" s="504">
        <v>15</v>
      </c>
      <c r="P102" s="504"/>
      <c r="Q102" s="507"/>
      <c r="R102" s="507"/>
      <c r="S102" s="507"/>
      <c r="T102" s="507"/>
      <c r="U102" s="507"/>
      <c r="V102" s="507"/>
      <c r="W102" s="507"/>
      <c r="X102" s="507"/>
      <c r="Y102" s="483"/>
      <c r="Z102" s="483"/>
      <c r="AA102" s="483"/>
    </row>
    <row r="103" spans="1:38" ht="15.75" hidden="1">
      <c r="A103" s="500"/>
      <c r="B103" s="509"/>
      <c r="C103" s="502"/>
      <c r="D103" s="502"/>
      <c r="E103" s="510"/>
      <c r="F103" s="514" t="s">
        <v>252</v>
      </c>
      <c r="G103" s="510"/>
      <c r="H103" s="504"/>
      <c r="I103" s="504"/>
      <c r="J103" s="504"/>
      <c r="K103" s="504"/>
      <c r="L103" s="504"/>
      <c r="M103" s="504"/>
      <c r="N103" s="504"/>
      <c r="O103" s="504"/>
      <c r="P103" s="504"/>
      <c r="Q103" s="507"/>
      <c r="R103" s="507"/>
      <c r="S103" s="507"/>
      <c r="T103" s="507"/>
      <c r="U103" s="507"/>
      <c r="V103" s="507"/>
      <c r="W103" s="507"/>
      <c r="X103" s="507"/>
      <c r="Y103" s="483"/>
      <c r="Z103" s="483"/>
      <c r="AA103" s="483"/>
    </row>
    <row r="104" spans="1:38" ht="15.75">
      <c r="A104" s="500">
        <v>26</v>
      </c>
      <c r="B104" s="509"/>
      <c r="C104" s="502" t="s">
        <v>253</v>
      </c>
      <c r="D104" s="502"/>
      <c r="E104" s="510" t="s">
        <v>253</v>
      </c>
      <c r="F104" s="512" t="s">
        <v>1383</v>
      </c>
      <c r="G104" s="510" t="s">
        <v>52</v>
      </c>
      <c r="H104" s="504"/>
      <c r="I104" s="504"/>
      <c r="J104" s="504"/>
      <c r="K104" s="504"/>
      <c r="L104" s="504"/>
      <c r="M104" s="504"/>
      <c r="N104" s="504"/>
      <c r="O104" s="504"/>
      <c r="P104" s="504">
        <v>6.2493999999999996</v>
      </c>
      <c r="Q104" s="507"/>
      <c r="R104" s="507"/>
      <c r="S104" s="507">
        <v>863082</v>
      </c>
      <c r="T104" s="507">
        <v>1305387</v>
      </c>
      <c r="U104" s="507">
        <f>ROUND(IF(P43=0,ROUND(P104,4)*Q104,P43*ROUND(P104,4)*Q104),1)</f>
        <v>0</v>
      </c>
      <c r="V104" s="507">
        <f>ROUND(IF(P43=0,ROUND(P104,4)*R104,P43*ROUND(P104,4)*R104),1)</f>
        <v>0</v>
      </c>
      <c r="W104" s="507">
        <f>ROUND(IF(P43=0,ROUND(P104,4)*S104,P43*ROUND(P104,4)*S104),1)</f>
        <v>5393744.7000000002</v>
      </c>
      <c r="X104" s="507">
        <f>ROUND(IF(P43=0,ROUND(P104,4)*T104,P43*ROUND(P104,4)*T104),1)</f>
        <v>8157885.5</v>
      </c>
      <c r="Y104" s="483"/>
      <c r="Z104" s="483"/>
      <c r="AA104" s="483"/>
      <c r="AB104" s="467" t="s">
        <v>44</v>
      </c>
      <c r="AC104" s="467" t="s">
        <v>45</v>
      </c>
      <c r="AE104" s="469" t="s">
        <v>254</v>
      </c>
      <c r="AF104" s="469" t="s">
        <v>255</v>
      </c>
      <c r="AL104" s="467" t="s">
        <v>48</v>
      </c>
    </row>
    <row r="105" spans="1:38" ht="15.75">
      <c r="A105" s="500"/>
      <c r="B105" s="509"/>
      <c r="C105" s="502"/>
      <c r="D105" s="502"/>
      <c r="E105" s="510"/>
      <c r="F105" s="513" t="s">
        <v>1384</v>
      </c>
      <c r="G105" s="510"/>
      <c r="H105" s="504"/>
      <c r="I105" s="504"/>
      <c r="J105" s="504"/>
      <c r="K105" s="504"/>
      <c r="L105" s="504"/>
      <c r="M105" s="504"/>
      <c r="N105" s="504"/>
      <c r="O105" s="504">
        <v>5.6245000000000003</v>
      </c>
      <c r="P105" s="504"/>
      <c r="Q105" s="507"/>
      <c r="R105" s="507"/>
      <c r="S105" s="507"/>
      <c r="T105" s="507"/>
      <c r="U105" s="507"/>
      <c r="V105" s="507"/>
      <c r="W105" s="507"/>
      <c r="X105" s="507"/>
      <c r="Y105" s="483"/>
      <c r="Z105" s="483"/>
      <c r="AA105" s="483"/>
    </row>
    <row r="106" spans="1:38" ht="15.75" hidden="1">
      <c r="A106" s="500">
        <v>44</v>
      </c>
      <c r="B106" s="509"/>
      <c r="C106" s="502" t="s">
        <v>256</v>
      </c>
      <c r="D106" s="502"/>
      <c r="E106" s="510" t="s">
        <v>256</v>
      </c>
      <c r="F106" s="512" t="s">
        <v>257</v>
      </c>
      <c r="G106" s="510" t="s">
        <v>43</v>
      </c>
      <c r="H106" s="504"/>
      <c r="I106" s="504"/>
      <c r="J106" s="504"/>
      <c r="K106" s="504"/>
      <c r="L106" s="504"/>
      <c r="M106" s="504"/>
      <c r="N106" s="504"/>
      <c r="O106" s="504"/>
      <c r="P106" s="504">
        <f>ROUND(SUM(O106:O107),4)</f>
        <v>62.494</v>
      </c>
      <c r="Q106" s="507"/>
      <c r="R106" s="507"/>
      <c r="S106" s="507">
        <v>181468</v>
      </c>
      <c r="T106" s="507"/>
      <c r="U106" s="507">
        <f>ROUND(IF(P43=0,ROUND(P106,4)*Q106,P43*ROUND(P106,4)*Q106),1)</f>
        <v>0</v>
      </c>
      <c r="V106" s="507">
        <f>ROUND(IF(P43=0,ROUND(P106,4)*R106,P43*ROUND(P106,4)*R106),1)</f>
        <v>0</v>
      </c>
      <c r="W106" s="507">
        <f>ROUND(IF(P43=0,ROUND(P106,4)*S106,P43*ROUND(P106,4)*S106),1)</f>
        <v>11340661.199999999</v>
      </c>
      <c r="X106" s="507">
        <f>ROUND(IF(P43=0,ROUND(P106,4)*T106,P43*ROUND(P106,4)*T106),1)</f>
        <v>0</v>
      </c>
      <c r="Y106" s="483"/>
      <c r="Z106" s="483"/>
      <c r="AA106" s="483"/>
      <c r="AB106" s="467" t="s">
        <v>44</v>
      </c>
      <c r="AC106" s="467" t="s">
        <v>45</v>
      </c>
      <c r="AE106" s="469" t="s">
        <v>258</v>
      </c>
      <c r="AL106" s="467" t="s">
        <v>48</v>
      </c>
    </row>
    <row r="107" spans="1:38" ht="15.75" hidden="1">
      <c r="A107" s="500"/>
      <c r="B107" s="509"/>
      <c r="C107" s="502"/>
      <c r="D107" s="502"/>
      <c r="E107" s="510"/>
      <c r="F107" s="513" t="s">
        <v>259</v>
      </c>
      <c r="G107" s="510"/>
      <c r="H107" s="504"/>
      <c r="I107" s="504"/>
      <c r="J107" s="504"/>
      <c r="K107" s="504"/>
      <c r="L107" s="504"/>
      <c r="M107" s="504"/>
      <c r="N107" s="504"/>
      <c r="O107" s="504">
        <v>62.494</v>
      </c>
      <c r="P107" s="504"/>
      <c r="Q107" s="507"/>
      <c r="R107" s="507"/>
      <c r="S107" s="507"/>
      <c r="T107" s="507"/>
      <c r="U107" s="507"/>
      <c r="V107" s="507"/>
      <c r="W107" s="507"/>
      <c r="X107" s="507"/>
      <c r="Y107" s="483"/>
      <c r="Z107" s="483"/>
      <c r="AA107" s="483"/>
    </row>
    <row r="108" spans="1:38" ht="15.75">
      <c r="A108" s="500">
        <v>27</v>
      </c>
      <c r="B108" s="509"/>
      <c r="C108" s="502" t="s">
        <v>260</v>
      </c>
      <c r="D108" s="502"/>
      <c r="E108" s="510" t="s">
        <v>260</v>
      </c>
      <c r="F108" s="512" t="s">
        <v>261</v>
      </c>
      <c r="G108" s="510" t="s">
        <v>52</v>
      </c>
      <c r="H108" s="504"/>
      <c r="I108" s="504"/>
      <c r="J108" s="504"/>
      <c r="K108" s="504"/>
      <c r="L108" s="504"/>
      <c r="M108" s="504"/>
      <c r="N108" s="504"/>
      <c r="O108" s="504"/>
      <c r="P108" s="504">
        <f>ROUND(SUM(O108:O109),4)</f>
        <v>4.3194999999999997</v>
      </c>
      <c r="Q108" s="507"/>
      <c r="R108" s="507"/>
      <c r="S108" s="507">
        <v>287694</v>
      </c>
      <c r="T108" s="507">
        <v>670263</v>
      </c>
      <c r="U108" s="507">
        <f>ROUND(IF(P43=0,ROUND(P108,4)*Q108,P43*ROUND(P108,4)*Q108),1)</f>
        <v>0</v>
      </c>
      <c r="V108" s="507">
        <f>ROUND(IF(P43=0,ROUND(P108,4)*R108,P43*ROUND(P108,4)*R108),1)</f>
        <v>0</v>
      </c>
      <c r="W108" s="507">
        <f>ROUND(IF(P43=0,ROUND(P108,4)*S108,P43*ROUND(P108,4)*S108),1)</f>
        <v>1242694.2</v>
      </c>
      <c r="X108" s="507">
        <f>ROUND(IF(P43=0,ROUND(P108,4)*T108,P43*ROUND(P108,4)*T108),1)</f>
        <v>2895201</v>
      </c>
      <c r="Y108" s="483"/>
      <c r="Z108" s="483"/>
      <c r="AA108" s="483"/>
      <c r="AB108" s="467" t="s">
        <v>44</v>
      </c>
      <c r="AC108" s="467" t="s">
        <v>45</v>
      </c>
      <c r="AE108" s="469" t="s">
        <v>262</v>
      </c>
      <c r="AF108" s="469" t="s">
        <v>263</v>
      </c>
      <c r="AL108" s="467" t="s">
        <v>48</v>
      </c>
    </row>
    <row r="109" spans="1:38" ht="15.75">
      <c r="A109" s="500"/>
      <c r="B109" s="509"/>
      <c r="C109" s="502"/>
      <c r="D109" s="502"/>
      <c r="E109" s="510"/>
      <c r="F109" s="513" t="s">
        <v>264</v>
      </c>
      <c r="G109" s="510"/>
      <c r="H109" s="504"/>
      <c r="I109" s="504"/>
      <c r="J109" s="504"/>
      <c r="K109" s="504"/>
      <c r="L109" s="504"/>
      <c r="M109" s="504"/>
      <c r="N109" s="504"/>
      <c r="O109" s="504">
        <v>4.3194999999999997</v>
      </c>
      <c r="P109" s="504"/>
      <c r="Q109" s="507"/>
      <c r="R109" s="507"/>
      <c r="S109" s="507"/>
      <c r="T109" s="507"/>
      <c r="U109" s="507"/>
      <c r="V109" s="507"/>
      <c r="W109" s="507"/>
      <c r="X109" s="507"/>
      <c r="Y109" s="483"/>
      <c r="Z109" s="483"/>
      <c r="AA109" s="483"/>
    </row>
    <row r="110" spans="1:38" ht="31.5">
      <c r="A110" s="500">
        <v>28</v>
      </c>
      <c r="B110" s="509"/>
      <c r="C110" s="502" t="s">
        <v>76</v>
      </c>
      <c r="D110" s="502"/>
      <c r="E110" s="510" t="s">
        <v>76</v>
      </c>
      <c r="F110" s="512" t="s">
        <v>77</v>
      </c>
      <c r="G110" s="510" t="s">
        <v>52</v>
      </c>
      <c r="H110" s="504"/>
      <c r="I110" s="504"/>
      <c r="J110" s="504"/>
      <c r="K110" s="504"/>
      <c r="L110" s="504"/>
      <c r="M110" s="504"/>
      <c r="N110" s="504"/>
      <c r="O110" s="504"/>
      <c r="P110" s="504">
        <f>ROUND(SUM(O110:O111),4)</f>
        <v>1.9298999999999999</v>
      </c>
      <c r="Q110" s="507"/>
      <c r="R110" s="507"/>
      <c r="S110" s="507"/>
      <c r="T110" s="507">
        <v>2296366</v>
      </c>
      <c r="U110" s="507">
        <f>ROUND(IF(P43=0,ROUND(P110,4)*Q110,P43*ROUND(P110,4)*Q110),1)</f>
        <v>0</v>
      </c>
      <c r="V110" s="507">
        <f>ROUND(IF(P43=0,ROUND(P110,4)*R110,P43*ROUND(P110,4)*R110),1)</f>
        <v>0</v>
      </c>
      <c r="W110" s="507">
        <f>ROUND(IF(P43=0,ROUND(P110,4)*S110,P43*ROUND(P110,4)*S110),1)</f>
        <v>0</v>
      </c>
      <c r="X110" s="507">
        <f>ROUND(IF(P43=0,ROUND(P110,4)*T110,P43*ROUND(P110,4)*T110),1)</f>
        <v>4431756.7</v>
      </c>
      <c r="Y110" s="483"/>
      <c r="Z110" s="483"/>
      <c r="AA110" s="483"/>
      <c r="AB110" s="467" t="s">
        <v>44</v>
      </c>
      <c r="AC110" s="467" t="s">
        <v>45</v>
      </c>
      <c r="AF110" s="469" t="s">
        <v>78</v>
      </c>
      <c r="AL110" s="467" t="s">
        <v>48</v>
      </c>
    </row>
    <row r="111" spans="1:38" ht="15.75">
      <c r="A111" s="500"/>
      <c r="B111" s="509"/>
      <c r="C111" s="502"/>
      <c r="D111" s="502"/>
      <c r="E111" s="510"/>
      <c r="F111" s="513" t="s">
        <v>265</v>
      </c>
      <c r="G111" s="510"/>
      <c r="H111" s="504"/>
      <c r="I111" s="504"/>
      <c r="J111" s="504"/>
      <c r="K111" s="504"/>
      <c r="L111" s="504"/>
      <c r="M111" s="504"/>
      <c r="N111" s="504"/>
      <c r="O111" s="504">
        <v>1.9298999999999999</v>
      </c>
      <c r="P111" s="504"/>
      <c r="Q111" s="507"/>
      <c r="R111" s="507"/>
      <c r="S111" s="507"/>
      <c r="T111" s="507"/>
      <c r="U111" s="507"/>
      <c r="V111" s="507"/>
      <c r="W111" s="507"/>
      <c r="X111" s="507"/>
      <c r="Y111" s="483"/>
      <c r="Z111" s="483"/>
      <c r="AA111" s="483"/>
    </row>
    <row r="112" spans="1:38" ht="15.75">
      <c r="A112" s="500">
        <v>29</v>
      </c>
      <c r="B112" s="509"/>
      <c r="C112" s="502" t="s">
        <v>139</v>
      </c>
      <c r="D112" s="502"/>
      <c r="E112" s="510" t="s">
        <v>139</v>
      </c>
      <c r="F112" s="512" t="s">
        <v>266</v>
      </c>
      <c r="G112" s="510" t="s">
        <v>43</v>
      </c>
      <c r="H112" s="504"/>
      <c r="I112" s="504"/>
      <c r="J112" s="504"/>
      <c r="K112" s="504"/>
      <c r="L112" s="504"/>
      <c r="M112" s="504"/>
      <c r="N112" s="504"/>
      <c r="O112" s="504"/>
      <c r="P112" s="504">
        <f>ROUND(SUM(O112:O113),4)</f>
        <v>56.1</v>
      </c>
      <c r="Q112" s="507">
        <v>426000</v>
      </c>
      <c r="R112" s="507"/>
      <c r="S112" s="507">
        <v>420924</v>
      </c>
      <c r="T112" s="507"/>
      <c r="U112" s="507">
        <f>ROUND(IF(P43=0,ROUND(P112,4)*Q112,P43*ROUND(P112,4)*Q112),1)</f>
        <v>23898600</v>
      </c>
      <c r="V112" s="507">
        <f>ROUND(IF(P43=0,ROUND(P112,4)*R112,P43*ROUND(P112,4)*R112),1)</f>
        <v>0</v>
      </c>
      <c r="W112" s="507">
        <f>ROUND(IF(P43=0,ROUND(P112,4)*S112,P43*ROUND(P112,4)*S112),1)</f>
        <v>23613836.399999999</v>
      </c>
      <c r="X112" s="507">
        <f>ROUND(IF(P43=0,ROUND(P112,4)*T112,P43*ROUND(P112,4)*T112),1)</f>
        <v>0</v>
      </c>
      <c r="Y112" s="483"/>
      <c r="Z112" s="483"/>
      <c r="AA112" s="483"/>
      <c r="AB112" s="467" t="s">
        <v>44</v>
      </c>
      <c r="AC112" s="467" t="s">
        <v>45</v>
      </c>
      <c r="AD112" s="469" t="s">
        <v>141</v>
      </c>
      <c r="AE112" s="469" t="s">
        <v>142</v>
      </c>
      <c r="AL112" s="467" t="s">
        <v>48</v>
      </c>
    </row>
    <row r="113" spans="1:38" ht="15.75">
      <c r="A113" s="500"/>
      <c r="B113" s="509"/>
      <c r="C113" s="502"/>
      <c r="D113" s="502"/>
      <c r="E113" s="510"/>
      <c r="F113" s="513" t="s">
        <v>267</v>
      </c>
      <c r="G113" s="510"/>
      <c r="H113" s="504"/>
      <c r="I113" s="504"/>
      <c r="J113" s="504"/>
      <c r="K113" s="504"/>
      <c r="L113" s="504"/>
      <c r="M113" s="504"/>
      <c r="N113" s="504"/>
      <c r="O113" s="504">
        <v>56.1</v>
      </c>
      <c r="P113" s="504"/>
      <c r="Q113" s="507"/>
      <c r="R113" s="507"/>
      <c r="S113" s="507"/>
      <c r="T113" s="507"/>
      <c r="U113" s="507"/>
      <c r="V113" s="507"/>
      <c r="W113" s="507"/>
      <c r="X113" s="507"/>
      <c r="Y113" s="483"/>
      <c r="Z113" s="483"/>
      <c r="AA113" s="483"/>
    </row>
    <row r="114" spans="1:38" ht="15.75">
      <c r="A114" s="500">
        <v>30</v>
      </c>
      <c r="B114" s="509"/>
      <c r="C114" s="502" t="s">
        <v>268</v>
      </c>
      <c r="D114" s="502"/>
      <c r="E114" s="510" t="s">
        <v>268</v>
      </c>
      <c r="F114" s="512" t="s">
        <v>269</v>
      </c>
      <c r="G114" s="510" t="s">
        <v>270</v>
      </c>
      <c r="H114" s="504"/>
      <c r="I114" s="504"/>
      <c r="J114" s="504"/>
      <c r="K114" s="504"/>
      <c r="L114" s="504"/>
      <c r="M114" s="504"/>
      <c r="N114" s="504"/>
      <c r="O114" s="504"/>
      <c r="P114" s="504">
        <f>ROUND(SUM(O114:O115),4)</f>
        <v>213</v>
      </c>
      <c r="Q114" s="507">
        <v>792396</v>
      </c>
      <c r="R114" s="507"/>
      <c r="S114" s="507">
        <v>91700</v>
      </c>
      <c r="T114" s="507">
        <v>103291</v>
      </c>
      <c r="U114" s="507">
        <f>ROUND(IF(P43=0,ROUND(P114,4)*Q114,P43*ROUND(P114,4)*Q114),1)</f>
        <v>168780348</v>
      </c>
      <c r="V114" s="507">
        <f>ROUND(IF(P43=0,ROUND(P114,4)*R114,P43*ROUND(P114,4)*R114),1)</f>
        <v>0</v>
      </c>
      <c r="W114" s="507">
        <f>ROUND(IF(P43=0,ROUND(P114,4)*S114,P43*ROUND(P114,4)*S114),1)</f>
        <v>19532100</v>
      </c>
      <c r="X114" s="507">
        <f>ROUND(IF(P43=0,ROUND(P114,4)*T114,P43*ROUND(P114,4)*T114),1)</f>
        <v>22000983</v>
      </c>
      <c r="Y114" s="483"/>
      <c r="Z114" s="483"/>
      <c r="AA114" s="483"/>
      <c r="AB114" s="467" t="s">
        <v>271</v>
      </c>
      <c r="AC114" s="467" t="s">
        <v>45</v>
      </c>
      <c r="AD114" s="469" t="s">
        <v>272</v>
      </c>
      <c r="AE114" s="469" t="s">
        <v>170</v>
      </c>
      <c r="AF114" s="469" t="s">
        <v>273</v>
      </c>
      <c r="AL114" s="467" t="s">
        <v>48</v>
      </c>
    </row>
    <row r="115" spans="1:38" ht="15.75">
      <c r="A115" s="500"/>
      <c r="B115" s="509"/>
      <c r="C115" s="502"/>
      <c r="D115" s="502"/>
      <c r="E115" s="510"/>
      <c r="F115" s="513" t="s">
        <v>274</v>
      </c>
      <c r="G115" s="510"/>
      <c r="H115" s="504"/>
      <c r="I115" s="504"/>
      <c r="J115" s="504"/>
      <c r="K115" s="504"/>
      <c r="L115" s="504"/>
      <c r="M115" s="504"/>
      <c r="N115" s="504"/>
      <c r="O115" s="504">
        <v>213</v>
      </c>
      <c r="P115" s="504"/>
      <c r="Q115" s="507"/>
      <c r="R115" s="507"/>
      <c r="S115" s="507"/>
      <c r="T115" s="507"/>
      <c r="U115" s="507"/>
      <c r="V115" s="507"/>
      <c r="W115" s="507"/>
      <c r="X115" s="507"/>
      <c r="Y115" s="483"/>
      <c r="Z115" s="483"/>
      <c r="AA115" s="483"/>
    </row>
    <row r="116" spans="1:38" ht="15.75">
      <c r="A116" s="500">
        <v>31</v>
      </c>
      <c r="B116" s="509"/>
      <c r="C116" s="502"/>
      <c r="D116" s="502"/>
      <c r="E116" s="510" t="s">
        <v>61</v>
      </c>
      <c r="F116" s="512" t="s">
        <v>275</v>
      </c>
      <c r="G116" s="510" t="s">
        <v>251</v>
      </c>
      <c r="H116" s="504"/>
      <c r="I116" s="504"/>
      <c r="J116" s="504"/>
      <c r="K116" s="504"/>
      <c r="L116" s="504"/>
      <c r="M116" s="504"/>
      <c r="N116" s="504"/>
      <c r="O116" s="504"/>
      <c r="P116" s="504">
        <f>ROUND(SUM(O116:O117),4)</f>
        <v>639</v>
      </c>
      <c r="Q116" s="507">
        <v>110000</v>
      </c>
      <c r="R116" s="507"/>
      <c r="S116" s="507">
        <v>25000</v>
      </c>
      <c r="T116" s="507"/>
      <c r="U116" s="507">
        <f>ROUND(IF(P43=0,ROUND(P116,4)*Q116,P43*ROUND(P116,4)*Q116),1)</f>
        <v>70290000</v>
      </c>
      <c r="V116" s="507">
        <f>ROUND(IF(P43=0,ROUND(P116,4)*R116,P43*ROUND(P116,4)*R116),1)</f>
        <v>0</v>
      </c>
      <c r="W116" s="507">
        <f>ROUND(IF(P43=0,ROUND(P116,4)*S116,P43*ROUND(P116,4)*S116),1)</f>
        <v>15975000</v>
      </c>
      <c r="X116" s="507">
        <f>ROUND(IF(P43=0,ROUND(P116,4)*T116,P43*ROUND(P116,4)*T116),1)</f>
        <v>0</v>
      </c>
      <c r="Y116" s="483"/>
      <c r="Z116" s="483"/>
      <c r="AA116" s="483"/>
    </row>
    <row r="117" spans="1:38" ht="15.75">
      <c r="A117" s="500"/>
      <c r="B117" s="509"/>
      <c r="C117" s="502"/>
      <c r="D117" s="502"/>
      <c r="E117" s="510"/>
      <c r="F117" s="513" t="s">
        <v>276</v>
      </c>
      <c r="G117" s="510"/>
      <c r="H117" s="504"/>
      <c r="I117" s="504"/>
      <c r="J117" s="504"/>
      <c r="K117" s="504"/>
      <c r="L117" s="504"/>
      <c r="M117" s="504"/>
      <c r="N117" s="504"/>
      <c r="O117" s="504">
        <v>639</v>
      </c>
      <c r="P117" s="504"/>
      <c r="Q117" s="507"/>
      <c r="R117" s="507"/>
      <c r="S117" s="507"/>
      <c r="T117" s="507"/>
      <c r="U117" s="507"/>
      <c r="V117" s="507"/>
      <c r="W117" s="507"/>
      <c r="X117" s="507"/>
      <c r="Y117" s="483"/>
      <c r="Z117" s="483"/>
      <c r="AA117" s="483"/>
    </row>
    <row r="118" spans="1:38" ht="15.75">
      <c r="A118" s="500">
        <v>32</v>
      </c>
      <c r="B118" s="509"/>
      <c r="C118" s="502" t="s">
        <v>277</v>
      </c>
      <c r="D118" s="502"/>
      <c r="E118" s="510" t="s">
        <v>277</v>
      </c>
      <c r="F118" s="512" t="s">
        <v>278</v>
      </c>
      <c r="G118" s="510" t="s">
        <v>279</v>
      </c>
      <c r="H118" s="504"/>
      <c r="I118" s="504"/>
      <c r="J118" s="504"/>
      <c r="K118" s="504"/>
      <c r="L118" s="504"/>
      <c r="M118" s="504"/>
      <c r="N118" s="504"/>
      <c r="O118" s="504"/>
      <c r="P118" s="504">
        <f>ROUND(SUM(O118:O119),4)</f>
        <v>210</v>
      </c>
      <c r="Q118" s="507">
        <v>61320</v>
      </c>
      <c r="R118" s="507"/>
      <c r="S118" s="507">
        <v>23580</v>
      </c>
      <c r="T118" s="507"/>
      <c r="U118" s="507">
        <f>ROUND(IF(P43=0,ROUND(P118,4)*Q118,P43*ROUND(P118,4)*Q118),1)</f>
        <v>12877200</v>
      </c>
      <c r="V118" s="507">
        <f>ROUND(IF(P43=0,ROUND(P118,4)*R118,P43*ROUND(P118,4)*R118),1)</f>
        <v>0</v>
      </c>
      <c r="W118" s="507">
        <f>ROUND(IF(P43=0,ROUND(P118,4)*S118,P43*ROUND(P118,4)*S118),1)</f>
        <v>4951800</v>
      </c>
      <c r="X118" s="507">
        <f>ROUND(IF(P43=0,ROUND(P118,4)*T118,P43*ROUND(P118,4)*T118),1)</f>
        <v>0</v>
      </c>
      <c r="Y118" s="483"/>
      <c r="Z118" s="483"/>
      <c r="AA118" s="483"/>
      <c r="AB118" s="467" t="s">
        <v>271</v>
      </c>
      <c r="AC118" s="467" t="s">
        <v>45</v>
      </c>
      <c r="AD118" s="469" t="s">
        <v>280</v>
      </c>
      <c r="AE118" s="469" t="s">
        <v>118</v>
      </c>
      <c r="AL118" s="467" t="s">
        <v>48</v>
      </c>
    </row>
    <row r="119" spans="1:38" ht="15.75">
      <c r="A119" s="500"/>
      <c r="B119" s="509"/>
      <c r="C119" s="502"/>
      <c r="D119" s="502"/>
      <c r="E119" s="510"/>
      <c r="F119" s="513" t="s">
        <v>281</v>
      </c>
      <c r="G119" s="510"/>
      <c r="H119" s="504"/>
      <c r="I119" s="504"/>
      <c r="J119" s="504"/>
      <c r="K119" s="504"/>
      <c r="L119" s="504"/>
      <c r="M119" s="504"/>
      <c r="N119" s="504"/>
      <c r="O119" s="504">
        <v>210</v>
      </c>
      <c r="P119" s="504"/>
      <c r="Q119" s="507"/>
      <c r="R119" s="507"/>
      <c r="S119" s="507"/>
      <c r="T119" s="507"/>
      <c r="U119" s="507"/>
      <c r="V119" s="507"/>
      <c r="W119" s="507"/>
      <c r="X119" s="507"/>
      <c r="Y119" s="483"/>
      <c r="Z119" s="483"/>
      <c r="AA119" s="483"/>
    </row>
    <row r="120" spans="1:38" ht="15.75">
      <c r="A120" s="500">
        <v>33</v>
      </c>
      <c r="B120" s="509"/>
      <c r="C120" s="502" t="s">
        <v>282</v>
      </c>
      <c r="D120" s="502" t="s">
        <v>283</v>
      </c>
      <c r="E120" s="510" t="s">
        <v>282</v>
      </c>
      <c r="F120" s="512" t="s">
        <v>284</v>
      </c>
      <c r="G120" s="510" t="s">
        <v>279</v>
      </c>
      <c r="H120" s="504"/>
      <c r="I120" s="504"/>
      <c r="J120" s="504"/>
      <c r="K120" s="504"/>
      <c r="L120" s="504"/>
      <c r="M120" s="504"/>
      <c r="N120" s="504"/>
      <c r="O120" s="504"/>
      <c r="P120" s="504">
        <f>ROUND(SUM(O120:O122),4)</f>
        <v>210</v>
      </c>
      <c r="Q120" s="507">
        <v>7289</v>
      </c>
      <c r="R120" s="507"/>
      <c r="S120" s="507">
        <v>23580</v>
      </c>
      <c r="T120" s="507"/>
      <c r="U120" s="507">
        <f>ROUND(IF(P43=0,ROUND(P120,4)*Q120,P43*ROUND(P120,4)*Q120),1)</f>
        <v>1530690</v>
      </c>
      <c r="V120" s="507">
        <f>ROUND(IF(P43=0,ROUND(P120,4)*R120,P43*ROUND(P120,4)*R120),1)</f>
        <v>0</v>
      </c>
      <c r="W120" s="507">
        <f>ROUND(IF(P43=0,ROUND(P120,4)*S120,P43*ROUND(P120,4)*S120),1)</f>
        <v>4951800</v>
      </c>
      <c r="X120" s="507">
        <f>ROUND(IF(P43=0,ROUND(P120,4)*T120,P43*ROUND(P120,4)*T120),1)</f>
        <v>0</v>
      </c>
      <c r="Y120" s="483"/>
      <c r="Z120" s="483"/>
      <c r="AA120" s="483"/>
      <c r="AB120" s="467" t="s">
        <v>271</v>
      </c>
      <c r="AC120" s="467" t="s">
        <v>45</v>
      </c>
      <c r="AD120" s="469" t="s">
        <v>285</v>
      </c>
      <c r="AE120" s="469" t="s">
        <v>118</v>
      </c>
      <c r="AL120" s="467" t="s">
        <v>48</v>
      </c>
    </row>
    <row r="121" spans="1:38" ht="15.75">
      <c r="A121" s="500"/>
      <c r="B121" s="509"/>
      <c r="C121" s="502"/>
      <c r="D121" s="502"/>
      <c r="E121" s="510"/>
      <c r="F121" s="513" t="s">
        <v>281</v>
      </c>
      <c r="G121" s="510"/>
      <c r="H121" s="504"/>
      <c r="I121" s="504"/>
      <c r="J121" s="504"/>
      <c r="K121" s="504"/>
      <c r="L121" s="504"/>
      <c r="M121" s="504"/>
      <c r="N121" s="504"/>
      <c r="O121" s="504">
        <v>210</v>
      </c>
      <c r="P121" s="504"/>
      <c r="Q121" s="507"/>
      <c r="R121" s="507"/>
      <c r="S121" s="507"/>
      <c r="T121" s="507"/>
      <c r="U121" s="507"/>
      <c r="V121" s="507"/>
      <c r="W121" s="507"/>
      <c r="X121" s="507"/>
      <c r="Y121" s="483"/>
      <c r="Z121" s="483"/>
      <c r="AA121" s="483"/>
    </row>
    <row r="122" spans="1:38" ht="15.75" hidden="1">
      <c r="A122" s="500"/>
      <c r="B122" s="509"/>
      <c r="C122" s="502"/>
      <c r="D122" s="502"/>
      <c r="E122" s="510"/>
      <c r="F122" s="514" t="s">
        <v>286</v>
      </c>
      <c r="G122" s="510"/>
      <c r="H122" s="504"/>
      <c r="I122" s="504"/>
      <c r="J122" s="504"/>
      <c r="K122" s="504"/>
      <c r="L122" s="504"/>
      <c r="M122" s="504"/>
      <c r="N122" s="504"/>
      <c r="O122" s="504"/>
      <c r="P122" s="504"/>
      <c r="Q122" s="507"/>
      <c r="R122" s="507"/>
      <c r="S122" s="507"/>
      <c r="T122" s="507"/>
      <c r="U122" s="507"/>
      <c r="V122" s="507"/>
      <c r="W122" s="507"/>
      <c r="X122" s="507"/>
      <c r="Y122" s="483"/>
      <c r="Z122" s="483"/>
      <c r="AA122" s="483"/>
    </row>
    <row r="123" spans="1:38" ht="15.75">
      <c r="A123" s="500">
        <v>34</v>
      </c>
      <c r="B123" s="509"/>
      <c r="C123" s="502" t="s">
        <v>287</v>
      </c>
      <c r="D123" s="502"/>
      <c r="E123" s="510" t="s">
        <v>287</v>
      </c>
      <c r="F123" s="512" t="s">
        <v>288</v>
      </c>
      <c r="G123" s="510" t="s">
        <v>52</v>
      </c>
      <c r="H123" s="504"/>
      <c r="I123" s="504"/>
      <c r="J123" s="504"/>
      <c r="K123" s="504"/>
      <c r="L123" s="504"/>
      <c r="M123" s="504"/>
      <c r="N123" s="504"/>
      <c r="O123" s="504"/>
      <c r="P123" s="504">
        <f>ROUND(SUM(O123:O124),4)</f>
        <v>0.06</v>
      </c>
      <c r="Q123" s="507"/>
      <c r="R123" s="507"/>
      <c r="S123" s="507">
        <v>219090</v>
      </c>
      <c r="T123" s="507">
        <v>460154</v>
      </c>
      <c r="U123" s="507">
        <f>ROUND(IF(P43=0,ROUND(P123,4)*Q123,P43*ROUND(P123,4)*Q123),1)</f>
        <v>0</v>
      </c>
      <c r="V123" s="507">
        <f>ROUND(IF(P43=0,ROUND(P123,4)*R123,P43*ROUND(P123,4)*R123),1)</f>
        <v>0</v>
      </c>
      <c r="W123" s="507">
        <f>ROUND(IF(P43=0,ROUND(P123,4)*S123,P43*ROUND(P123,4)*S123),1)</f>
        <v>13145.4</v>
      </c>
      <c r="X123" s="507">
        <f>ROUND(IF(P43=0,ROUND(P123,4)*T123,P43*ROUND(P123,4)*T123),1)</f>
        <v>27609.200000000001</v>
      </c>
      <c r="Y123" s="483"/>
      <c r="Z123" s="483"/>
      <c r="AA123" s="483"/>
      <c r="AB123" s="467" t="s">
        <v>44</v>
      </c>
      <c r="AC123" s="467" t="s">
        <v>45</v>
      </c>
      <c r="AE123" s="469" t="s">
        <v>289</v>
      </c>
      <c r="AF123" s="469" t="s">
        <v>290</v>
      </c>
      <c r="AL123" s="467" t="s">
        <v>48</v>
      </c>
    </row>
    <row r="124" spans="1:38" ht="15.75">
      <c r="A124" s="500"/>
      <c r="B124" s="509"/>
      <c r="C124" s="502"/>
      <c r="D124" s="502"/>
      <c r="E124" s="510"/>
      <c r="F124" s="513" t="s">
        <v>291</v>
      </c>
      <c r="G124" s="510"/>
      <c r="H124" s="504"/>
      <c r="I124" s="504"/>
      <c r="J124" s="504"/>
      <c r="K124" s="504"/>
      <c r="L124" s="504"/>
      <c r="M124" s="504"/>
      <c r="N124" s="504"/>
      <c r="O124" s="504">
        <v>0.06</v>
      </c>
      <c r="P124" s="504"/>
      <c r="Q124" s="507"/>
      <c r="R124" s="507"/>
      <c r="S124" s="507"/>
      <c r="T124" s="507"/>
      <c r="U124" s="507"/>
      <c r="V124" s="507"/>
      <c r="W124" s="507"/>
      <c r="X124" s="507"/>
      <c r="Y124" s="483"/>
      <c r="Z124" s="483"/>
      <c r="AA124" s="483"/>
    </row>
    <row r="125" spans="1:38" ht="15.75">
      <c r="A125" s="500">
        <v>35</v>
      </c>
      <c r="B125" s="509"/>
      <c r="C125" s="502"/>
      <c r="D125" s="502"/>
      <c r="E125" s="510" t="s">
        <v>61</v>
      </c>
      <c r="F125" s="512" t="s">
        <v>292</v>
      </c>
      <c r="G125" s="510" t="s">
        <v>43</v>
      </c>
      <c r="H125" s="504"/>
      <c r="I125" s="504"/>
      <c r="J125" s="504"/>
      <c r="K125" s="504"/>
      <c r="L125" s="504"/>
      <c r="M125" s="504"/>
      <c r="N125" s="504"/>
      <c r="O125" s="504"/>
      <c r="P125" s="504">
        <f>ROUND(SUM(O125:O126),4)</f>
        <v>6.6</v>
      </c>
      <c r="Q125" s="507">
        <v>190000</v>
      </c>
      <c r="R125" s="507"/>
      <c r="S125" s="507"/>
      <c r="T125" s="507"/>
      <c r="U125" s="507">
        <f>ROUND(IF(P43=0,ROUND(P125,4)*Q125,P43*ROUND(P125,4)*Q125),1)</f>
        <v>1254000</v>
      </c>
      <c r="V125" s="507">
        <f>ROUND(IF(P43=0,ROUND(P125,4)*R125,P43*ROUND(P125,4)*R125),1)</f>
        <v>0</v>
      </c>
      <c r="W125" s="507">
        <f>ROUND(IF(P43=0,ROUND(P125,4)*S125,P43*ROUND(P125,4)*S125),1)</f>
        <v>0</v>
      </c>
      <c r="X125" s="507">
        <f>ROUND(IF(P43=0,ROUND(P125,4)*T125,P43*ROUND(P125,4)*T125),1)</f>
        <v>0</v>
      </c>
      <c r="Y125" s="483"/>
      <c r="Z125" s="483"/>
      <c r="AA125" s="483"/>
    </row>
    <row r="126" spans="1:38" ht="15.75">
      <c r="A126" s="500"/>
      <c r="B126" s="509"/>
      <c r="C126" s="502"/>
      <c r="D126" s="502"/>
      <c r="E126" s="510"/>
      <c r="F126" s="513" t="s">
        <v>293</v>
      </c>
      <c r="G126" s="510"/>
      <c r="H126" s="504"/>
      <c r="I126" s="504"/>
      <c r="J126" s="504"/>
      <c r="K126" s="504"/>
      <c r="L126" s="504"/>
      <c r="M126" s="504"/>
      <c r="N126" s="504"/>
      <c r="O126" s="504">
        <v>6.6</v>
      </c>
      <c r="P126" s="504"/>
      <c r="Q126" s="507"/>
      <c r="R126" s="507"/>
      <c r="S126" s="507"/>
      <c r="T126" s="507"/>
      <c r="U126" s="507"/>
      <c r="V126" s="507"/>
      <c r="W126" s="507"/>
      <c r="X126" s="507"/>
      <c r="Y126" s="483"/>
      <c r="Z126" s="483"/>
      <c r="AA126" s="483"/>
    </row>
    <row r="127" spans="1:38" ht="15.75">
      <c r="A127" s="500">
        <v>36</v>
      </c>
      <c r="B127" s="509"/>
      <c r="C127" s="502" t="s">
        <v>294</v>
      </c>
      <c r="D127" s="502"/>
      <c r="E127" s="510" t="s">
        <v>294</v>
      </c>
      <c r="F127" s="512" t="s">
        <v>295</v>
      </c>
      <c r="G127" s="510" t="s">
        <v>296</v>
      </c>
      <c r="H127" s="504"/>
      <c r="I127" s="504"/>
      <c r="J127" s="504"/>
      <c r="K127" s="504"/>
      <c r="L127" s="504"/>
      <c r="M127" s="504"/>
      <c r="N127" s="504"/>
      <c r="O127" s="504"/>
      <c r="P127" s="504">
        <f>ROUND(SUM(O127:O128),4)</f>
        <v>2.2400000000000002</v>
      </c>
      <c r="Q127" s="507">
        <v>336000</v>
      </c>
      <c r="R127" s="507"/>
      <c r="S127" s="507">
        <v>79065</v>
      </c>
      <c r="T127" s="507">
        <v>234342</v>
      </c>
      <c r="U127" s="507">
        <f>ROUND(IF(P43=0,ROUND(P127,4)*Q127,P43*ROUND(P127,4)*Q127),1)</f>
        <v>752640</v>
      </c>
      <c r="V127" s="507">
        <f>ROUND(IF(P43=0,ROUND(P127,4)*R127,P43*ROUND(P127,4)*R127),1)</f>
        <v>0</v>
      </c>
      <c r="W127" s="507">
        <f>ROUND(IF(P43=0,ROUND(P127,4)*S127,P43*ROUND(P127,4)*S127),1)</f>
        <v>177105.6</v>
      </c>
      <c r="X127" s="507">
        <f>ROUND(IF(P43=0,ROUND(P127,4)*T127,P43*ROUND(P127,4)*T127),1)</f>
        <v>524926.1</v>
      </c>
      <c r="Y127" s="483"/>
      <c r="Z127" s="483"/>
      <c r="AA127" s="483"/>
      <c r="AB127" s="467" t="s">
        <v>44</v>
      </c>
      <c r="AC127" s="467" t="s">
        <v>45</v>
      </c>
      <c r="AD127" s="469" t="s">
        <v>297</v>
      </c>
      <c r="AE127" s="469" t="s">
        <v>298</v>
      </c>
      <c r="AF127" s="469" t="s">
        <v>299</v>
      </c>
      <c r="AL127" s="467" t="s">
        <v>48</v>
      </c>
    </row>
    <row r="128" spans="1:38" ht="15.75">
      <c r="A128" s="500"/>
      <c r="B128" s="509"/>
      <c r="C128" s="502"/>
      <c r="D128" s="502"/>
      <c r="E128" s="510"/>
      <c r="F128" s="513" t="s">
        <v>300</v>
      </c>
      <c r="G128" s="510"/>
      <c r="H128" s="504"/>
      <c r="I128" s="504"/>
      <c r="J128" s="504"/>
      <c r="K128" s="504"/>
      <c r="L128" s="504"/>
      <c r="M128" s="504"/>
      <c r="N128" s="504"/>
      <c r="O128" s="504">
        <v>2.2400000000000002</v>
      </c>
      <c r="P128" s="504"/>
      <c r="Q128" s="507"/>
      <c r="R128" s="507"/>
      <c r="S128" s="507"/>
      <c r="T128" s="507"/>
      <c r="U128" s="507"/>
      <c r="V128" s="507"/>
      <c r="W128" s="507"/>
      <c r="X128" s="507"/>
      <c r="Y128" s="483"/>
      <c r="Z128" s="483"/>
      <c r="AA128" s="483"/>
    </row>
    <row r="129" spans="1:38" ht="15.75">
      <c r="A129" s="500">
        <v>37</v>
      </c>
      <c r="B129" s="509"/>
      <c r="C129" s="502"/>
      <c r="D129" s="502"/>
      <c r="E129" s="510" t="s">
        <v>61</v>
      </c>
      <c r="F129" s="512" t="s">
        <v>301</v>
      </c>
      <c r="G129" s="510" t="s">
        <v>109</v>
      </c>
      <c r="H129" s="504"/>
      <c r="I129" s="504"/>
      <c r="J129" s="504"/>
      <c r="K129" s="504"/>
      <c r="L129" s="504"/>
      <c r="M129" s="504"/>
      <c r="N129" s="504"/>
      <c r="O129" s="504"/>
      <c r="P129" s="504">
        <f>ROUND(SUM(O129:O130),4)</f>
        <v>12</v>
      </c>
      <c r="Q129" s="507">
        <v>15000</v>
      </c>
      <c r="R129" s="507"/>
      <c r="S129" s="507"/>
      <c r="T129" s="507"/>
      <c r="U129" s="507">
        <f>ROUND(IF(P43=0,ROUND(P129,4)*Q129,P43*ROUND(P129,4)*Q129),1)</f>
        <v>180000</v>
      </c>
      <c r="V129" s="507">
        <f>ROUND(IF(P43=0,ROUND(P129,4)*R129,P43*ROUND(P129,4)*R129),1)</f>
        <v>0</v>
      </c>
      <c r="W129" s="507">
        <f>ROUND(IF(P43=0,ROUND(P129,4)*S129,P43*ROUND(P129,4)*S129),1)</f>
        <v>0</v>
      </c>
      <c r="X129" s="507">
        <f>ROUND(IF(P43=0,ROUND(P129,4)*T129,P43*ROUND(P129,4)*T129),1)</f>
        <v>0</v>
      </c>
      <c r="Y129" s="483"/>
      <c r="Z129" s="483"/>
      <c r="AA129" s="483"/>
    </row>
    <row r="130" spans="1:38" ht="15.75">
      <c r="A130" s="500"/>
      <c r="B130" s="509"/>
      <c r="C130" s="502"/>
      <c r="D130" s="502"/>
      <c r="E130" s="510"/>
      <c r="F130" s="513" t="s">
        <v>302</v>
      </c>
      <c r="G130" s="510"/>
      <c r="H130" s="504"/>
      <c r="I130" s="504"/>
      <c r="J130" s="504"/>
      <c r="K130" s="504"/>
      <c r="L130" s="504"/>
      <c r="M130" s="504"/>
      <c r="N130" s="504"/>
      <c r="O130" s="504">
        <v>12</v>
      </c>
      <c r="P130" s="504"/>
      <c r="Q130" s="507"/>
      <c r="R130" s="507"/>
      <c r="S130" s="507"/>
      <c r="T130" s="507"/>
      <c r="U130" s="507"/>
      <c r="V130" s="507"/>
      <c r="W130" s="507"/>
      <c r="X130" s="507"/>
      <c r="Y130" s="483"/>
      <c r="Z130" s="483"/>
      <c r="AA130" s="483"/>
    </row>
    <row r="131" spans="1:38" ht="15.75">
      <c r="A131" s="500">
        <v>38</v>
      </c>
      <c r="B131" s="509"/>
      <c r="C131" s="502" t="s">
        <v>303</v>
      </c>
      <c r="D131" s="502"/>
      <c r="E131" s="510" t="s">
        <v>303</v>
      </c>
      <c r="F131" s="512" t="s">
        <v>304</v>
      </c>
      <c r="G131" s="510" t="s">
        <v>52</v>
      </c>
      <c r="H131" s="504"/>
      <c r="I131" s="504"/>
      <c r="J131" s="504"/>
      <c r="K131" s="504"/>
      <c r="L131" s="504"/>
      <c r="M131" s="504"/>
      <c r="N131" s="504"/>
      <c r="O131" s="504"/>
      <c r="P131" s="504">
        <f>ROUND(SUM(O131:O132),4)</f>
        <v>0.06</v>
      </c>
      <c r="Q131" s="507"/>
      <c r="R131" s="507"/>
      <c r="S131" s="507">
        <v>104012</v>
      </c>
      <c r="T131" s="507">
        <v>848700</v>
      </c>
      <c r="U131" s="507">
        <f>ROUND(IF(P43=0,ROUND(P131,4)*Q131,P43*ROUND(P131,4)*Q131),1)</f>
        <v>0</v>
      </c>
      <c r="V131" s="507">
        <f>ROUND(IF(P43=0,ROUND(P131,4)*R131,P43*ROUND(P131,4)*R131),1)</f>
        <v>0</v>
      </c>
      <c r="W131" s="507">
        <f>ROUND(IF(P43=0,ROUND(P131,4)*S131,P43*ROUND(P131,4)*S131),1)</f>
        <v>6240.7</v>
      </c>
      <c r="X131" s="507">
        <f>ROUND(IF(P43=0,ROUND(P131,4)*T131,P43*ROUND(P131,4)*T131),1)</f>
        <v>50922</v>
      </c>
      <c r="Y131" s="483"/>
      <c r="Z131" s="483"/>
      <c r="AA131" s="483"/>
      <c r="AB131" s="467" t="s">
        <v>44</v>
      </c>
      <c r="AC131" s="467" t="s">
        <v>45</v>
      </c>
      <c r="AE131" s="469" t="s">
        <v>305</v>
      </c>
      <c r="AF131" s="469" t="s">
        <v>306</v>
      </c>
      <c r="AL131" s="467" t="s">
        <v>48</v>
      </c>
    </row>
    <row r="132" spans="1:38" ht="15.75">
      <c r="A132" s="500"/>
      <c r="B132" s="509"/>
      <c r="C132" s="502"/>
      <c r="D132" s="502"/>
      <c r="E132" s="510"/>
      <c r="F132" s="513">
        <f>P123</f>
        <v>0.06</v>
      </c>
      <c r="G132" s="510"/>
      <c r="H132" s="504"/>
      <c r="I132" s="504"/>
      <c r="J132" s="504"/>
      <c r="K132" s="504"/>
      <c r="L132" s="504"/>
      <c r="M132" s="504"/>
      <c r="N132" s="504"/>
      <c r="O132" s="504">
        <v>0.06</v>
      </c>
      <c r="P132" s="504"/>
      <c r="Q132" s="507"/>
      <c r="R132" s="507"/>
      <c r="S132" s="507"/>
      <c r="T132" s="507"/>
      <c r="U132" s="507"/>
      <c r="V132" s="507"/>
      <c r="W132" s="507"/>
      <c r="X132" s="507"/>
      <c r="Y132" s="483"/>
      <c r="Z132" s="483"/>
      <c r="AA132" s="483"/>
    </row>
    <row r="133" spans="1:38" ht="31.5">
      <c r="A133" s="500">
        <v>39</v>
      </c>
      <c r="B133" s="509"/>
      <c r="C133" s="502" t="s">
        <v>294</v>
      </c>
      <c r="D133" s="502"/>
      <c r="E133" s="510" t="s">
        <v>294</v>
      </c>
      <c r="F133" s="512" t="s">
        <v>307</v>
      </c>
      <c r="G133" s="510" t="s">
        <v>296</v>
      </c>
      <c r="H133" s="504"/>
      <c r="I133" s="504"/>
      <c r="J133" s="504"/>
      <c r="K133" s="504"/>
      <c r="L133" s="504"/>
      <c r="M133" s="504"/>
      <c r="N133" s="504"/>
      <c r="O133" s="504"/>
      <c r="P133" s="504">
        <f>ROUND(SUM(O133:O134),4)</f>
        <v>2.2400000000000002</v>
      </c>
      <c r="Q133" s="507">
        <v>336000</v>
      </c>
      <c r="R133" s="507"/>
      <c r="S133" s="507">
        <v>79065</v>
      </c>
      <c r="T133" s="507">
        <v>234342</v>
      </c>
      <c r="U133" s="507">
        <f>ROUND(IF(P43=0,ROUND(P133,4)*Q133,P43*ROUND(P133,4)*Q133),1)</f>
        <v>752640</v>
      </c>
      <c r="V133" s="507">
        <f>ROUND(IF(P43=0,ROUND(P133,4)*R133,P43*ROUND(P133,4)*R133),1)</f>
        <v>0</v>
      </c>
      <c r="W133" s="507">
        <f>ROUND(IF(P43=0,ROUND(P133,4)*S133,P43*ROUND(P133,4)*S133),1)</f>
        <v>177105.6</v>
      </c>
      <c r="X133" s="507">
        <f>ROUND(IF(P43=0,ROUND(P133,4)*T133,P43*ROUND(P133,4)*T133),1)</f>
        <v>524926.1</v>
      </c>
      <c r="Y133" s="483"/>
      <c r="Z133" s="483"/>
      <c r="AA133" s="483"/>
      <c r="AB133" s="467" t="s">
        <v>44</v>
      </c>
      <c r="AC133" s="467" t="s">
        <v>45</v>
      </c>
      <c r="AD133" s="469" t="s">
        <v>297</v>
      </c>
      <c r="AE133" s="469" t="s">
        <v>298</v>
      </c>
      <c r="AF133" s="469" t="s">
        <v>299</v>
      </c>
      <c r="AL133" s="467" t="s">
        <v>48</v>
      </c>
    </row>
    <row r="134" spans="1:38" ht="15.75">
      <c r="A134" s="500"/>
      <c r="B134" s="509"/>
      <c r="C134" s="502"/>
      <c r="D134" s="502"/>
      <c r="E134" s="510"/>
      <c r="F134" s="513">
        <f>P127</f>
        <v>2.2400000000000002</v>
      </c>
      <c r="G134" s="510"/>
      <c r="H134" s="504"/>
      <c r="I134" s="504"/>
      <c r="J134" s="504"/>
      <c r="K134" s="504"/>
      <c r="L134" s="504"/>
      <c r="M134" s="504"/>
      <c r="N134" s="504"/>
      <c r="O134" s="504">
        <v>2.2400000000000002</v>
      </c>
      <c r="P134" s="504"/>
      <c r="Q134" s="507"/>
      <c r="R134" s="507"/>
      <c r="S134" s="507"/>
      <c r="T134" s="507"/>
      <c r="U134" s="507"/>
      <c r="V134" s="507"/>
      <c r="W134" s="507"/>
      <c r="X134" s="507"/>
      <c r="Y134" s="483"/>
      <c r="Z134" s="483"/>
      <c r="AA134" s="483"/>
    </row>
    <row r="135" spans="1:38" ht="31.5">
      <c r="A135" s="500">
        <v>34</v>
      </c>
      <c r="B135" s="509"/>
      <c r="C135" s="502" t="s">
        <v>76</v>
      </c>
      <c r="D135" s="502"/>
      <c r="E135" s="510" t="s">
        <v>76</v>
      </c>
      <c r="F135" s="512" t="s">
        <v>77</v>
      </c>
      <c r="G135" s="510" t="s">
        <v>52</v>
      </c>
      <c r="H135" s="504"/>
      <c r="I135" s="504"/>
      <c r="J135" s="504"/>
      <c r="K135" s="504"/>
      <c r="L135" s="504"/>
      <c r="M135" s="504"/>
      <c r="N135" s="504"/>
      <c r="O135" s="504"/>
      <c r="P135" s="504">
        <f>ROUND(SUM(O135:O136),4)</f>
        <v>0.06</v>
      </c>
      <c r="Q135" s="507"/>
      <c r="R135" s="507"/>
      <c r="S135" s="507"/>
      <c r="T135" s="507">
        <v>2296366</v>
      </c>
      <c r="U135" s="507">
        <f>ROUND(IF(P43=0,ROUND(P135,4)*Q135,P43*ROUND(P135,4)*Q135),1)</f>
        <v>0</v>
      </c>
      <c r="V135" s="507">
        <f>ROUND(IF(P43=0,ROUND(P135,4)*R135,P43*ROUND(P135,4)*R135),1)</f>
        <v>0</v>
      </c>
      <c r="W135" s="507">
        <f>ROUND(IF(P43=0,ROUND(P135,4)*S135,P43*ROUND(P135,4)*S135),1)</f>
        <v>0</v>
      </c>
      <c r="X135" s="507">
        <f>ROUND(IF(P43=0,ROUND(P135,4)*T135,P43*ROUND(P135,4)*T135),1)</f>
        <v>137782</v>
      </c>
      <c r="Y135" s="483"/>
      <c r="Z135" s="483"/>
      <c r="AA135" s="483"/>
      <c r="AB135" s="467" t="s">
        <v>44</v>
      </c>
      <c r="AC135" s="467" t="s">
        <v>45</v>
      </c>
      <c r="AF135" s="469" t="s">
        <v>78</v>
      </c>
      <c r="AL135" s="467" t="s">
        <v>48</v>
      </c>
    </row>
    <row r="136" spans="1:38" ht="15.75">
      <c r="A136" s="500"/>
      <c r="B136" s="509"/>
      <c r="C136" s="502"/>
      <c r="D136" s="502"/>
      <c r="E136" s="510"/>
      <c r="F136" s="513">
        <f>P131</f>
        <v>0.06</v>
      </c>
      <c r="G136" s="510"/>
      <c r="H136" s="504"/>
      <c r="I136" s="504"/>
      <c r="J136" s="504"/>
      <c r="K136" s="504"/>
      <c r="L136" s="504"/>
      <c r="M136" s="504"/>
      <c r="N136" s="504"/>
      <c r="O136" s="504">
        <v>0.06</v>
      </c>
      <c r="P136" s="504"/>
      <c r="Q136" s="507"/>
      <c r="R136" s="507"/>
      <c r="S136" s="507"/>
      <c r="T136" s="507"/>
      <c r="U136" s="507"/>
      <c r="V136" s="507"/>
      <c r="W136" s="507"/>
      <c r="X136" s="507"/>
      <c r="Y136" s="483"/>
      <c r="Z136" s="483"/>
      <c r="AA136" s="483"/>
    </row>
    <row r="137" spans="1:38" ht="15.75">
      <c r="A137" s="500">
        <v>41</v>
      </c>
      <c r="B137" s="509"/>
      <c r="C137" s="502"/>
      <c r="D137" s="502"/>
      <c r="E137" s="510" t="s">
        <v>61</v>
      </c>
      <c r="F137" s="512" t="s">
        <v>308</v>
      </c>
      <c r="G137" s="510" t="s">
        <v>309</v>
      </c>
      <c r="H137" s="504"/>
      <c r="I137" s="504"/>
      <c r="J137" s="504"/>
      <c r="K137" s="504"/>
      <c r="L137" s="504"/>
      <c r="M137" s="504"/>
      <c r="N137" s="504"/>
      <c r="O137" s="504"/>
      <c r="P137" s="504">
        <f>ROUND(SUM(O137:O139),4)</f>
        <v>1</v>
      </c>
      <c r="Q137" s="507"/>
      <c r="R137" s="507"/>
      <c r="S137" s="507">
        <v>200000</v>
      </c>
      <c r="T137" s="507">
        <v>300000</v>
      </c>
      <c r="U137" s="507">
        <f>ROUND(IF(P43=0,ROUND(P137,4)*Q137,P43*ROUND(P137,4)*Q137),1)</f>
        <v>0</v>
      </c>
      <c r="V137" s="507">
        <f>ROUND(IF(P43=0,ROUND(P137,4)*R137,P43*ROUND(P137,4)*R137),1)</f>
        <v>0</v>
      </c>
      <c r="W137" s="507">
        <f>ROUND(IF(P43=0,ROUND(P137,4)*S137,P43*ROUND(P137,4)*S137),1)</f>
        <v>200000</v>
      </c>
      <c r="X137" s="507">
        <f>ROUND(IF(P43=0,ROUND(P137,4)*T137,P43*ROUND(P137,4)*T137),1)</f>
        <v>300000</v>
      </c>
      <c r="Y137" s="483"/>
      <c r="Z137" s="483"/>
      <c r="AA137" s="483"/>
    </row>
    <row r="138" spans="1:38" ht="15.75">
      <c r="A138" s="500"/>
      <c r="B138" s="509"/>
      <c r="C138" s="502"/>
      <c r="D138" s="502"/>
      <c r="E138" s="510"/>
      <c r="F138" s="513" t="s">
        <v>310</v>
      </c>
      <c r="G138" s="510"/>
      <c r="H138" s="504"/>
      <c r="I138" s="504"/>
      <c r="J138" s="504"/>
      <c r="K138" s="504"/>
      <c r="L138" s="504"/>
      <c r="M138" s="504"/>
      <c r="N138" s="504"/>
      <c r="O138" s="504">
        <v>1</v>
      </c>
      <c r="P138" s="504"/>
      <c r="Q138" s="507"/>
      <c r="R138" s="507"/>
      <c r="S138" s="507"/>
      <c r="T138" s="507"/>
      <c r="U138" s="507"/>
      <c r="V138" s="507"/>
      <c r="W138" s="507"/>
      <c r="X138" s="507"/>
      <c r="Y138" s="483"/>
      <c r="Z138" s="483"/>
      <c r="AA138" s="483"/>
    </row>
    <row r="139" spans="1:38" ht="15.75" hidden="1">
      <c r="A139" s="500"/>
      <c r="B139" s="509"/>
      <c r="C139" s="502"/>
      <c r="D139" s="502"/>
      <c r="E139" s="510"/>
      <c r="F139" s="513" t="s">
        <v>311</v>
      </c>
      <c r="G139" s="510"/>
      <c r="H139" s="504"/>
      <c r="I139" s="504"/>
      <c r="J139" s="504"/>
      <c r="K139" s="504"/>
      <c r="L139" s="504"/>
      <c r="M139" s="504"/>
      <c r="N139" s="504"/>
      <c r="O139" s="504"/>
      <c r="P139" s="504"/>
      <c r="Q139" s="507"/>
      <c r="R139" s="507"/>
      <c r="S139" s="507"/>
      <c r="T139" s="507"/>
      <c r="U139" s="507"/>
      <c r="V139" s="507"/>
      <c r="W139" s="507"/>
      <c r="X139" s="507"/>
      <c r="Y139" s="483"/>
      <c r="Z139" s="483"/>
      <c r="AA139" s="483"/>
    </row>
    <row r="140" spans="1:38" ht="15.75">
      <c r="A140" s="500">
        <v>42</v>
      </c>
      <c r="B140" s="509"/>
      <c r="C140" s="502" t="s">
        <v>253</v>
      </c>
      <c r="D140" s="502"/>
      <c r="E140" s="510" t="s">
        <v>253</v>
      </c>
      <c r="F140" s="512" t="s">
        <v>312</v>
      </c>
      <c r="G140" s="510" t="s">
        <v>52</v>
      </c>
      <c r="H140" s="504"/>
      <c r="I140" s="504"/>
      <c r="J140" s="504"/>
      <c r="K140" s="504"/>
      <c r="L140" s="504"/>
      <c r="M140" s="504"/>
      <c r="N140" s="504"/>
      <c r="O140" s="504"/>
      <c r="P140" s="504">
        <f>ROUND(SUM(O140:O141),4)</f>
        <v>3.0200000000000001E-2</v>
      </c>
      <c r="Q140" s="507"/>
      <c r="R140" s="507"/>
      <c r="S140" s="507">
        <v>863082</v>
      </c>
      <c r="T140" s="507">
        <v>1305387</v>
      </c>
      <c r="U140" s="507">
        <f>ROUND(IF(P43=0,ROUND(P140,4)*Q140,P43*ROUND(P140,4)*Q140),1)</f>
        <v>0</v>
      </c>
      <c r="V140" s="507">
        <f>ROUND(IF(P43=0,ROUND(P140,4)*R140,P43*ROUND(P140,4)*R140),1)</f>
        <v>0</v>
      </c>
      <c r="W140" s="507">
        <f>ROUND(IF(P43=0,ROUND(P140,4)*S140,P43*ROUND(P140,4)*S140),1)</f>
        <v>26065.1</v>
      </c>
      <c r="X140" s="507">
        <f>ROUND(IF(P43=0,ROUND(P140,4)*T140,P43*ROUND(P140,4)*T140),1)</f>
        <v>39422.699999999997</v>
      </c>
      <c r="Y140" s="483"/>
      <c r="Z140" s="483"/>
      <c r="AA140" s="483"/>
      <c r="AB140" s="467" t="s">
        <v>44</v>
      </c>
      <c r="AC140" s="467" t="s">
        <v>45</v>
      </c>
      <c r="AE140" s="469" t="s">
        <v>254</v>
      </c>
      <c r="AF140" s="469" t="s">
        <v>255</v>
      </c>
      <c r="AL140" s="467" t="s">
        <v>48</v>
      </c>
    </row>
    <row r="141" spans="1:38" ht="15.75">
      <c r="A141" s="500"/>
      <c r="B141" s="509"/>
      <c r="C141" s="502"/>
      <c r="D141" s="502"/>
      <c r="E141" s="510"/>
      <c r="F141" s="513" t="s">
        <v>313</v>
      </c>
      <c r="G141" s="510"/>
      <c r="H141" s="504"/>
      <c r="I141" s="504"/>
      <c r="J141" s="504"/>
      <c r="K141" s="504"/>
      <c r="L141" s="504"/>
      <c r="M141" s="504"/>
      <c r="N141" s="504"/>
      <c r="O141" s="504">
        <v>3.0200000000000001E-2</v>
      </c>
      <c r="P141" s="504"/>
      <c r="Q141" s="507"/>
      <c r="R141" s="507"/>
      <c r="S141" s="507"/>
      <c r="T141" s="507"/>
      <c r="U141" s="507"/>
      <c r="V141" s="507"/>
      <c r="W141" s="507"/>
      <c r="X141" s="507"/>
      <c r="Y141" s="483"/>
      <c r="Z141" s="483"/>
      <c r="AA141" s="483"/>
    </row>
    <row r="142" spans="1:38" ht="15.75">
      <c r="A142" s="500">
        <v>43</v>
      </c>
      <c r="B142" s="509"/>
      <c r="C142" s="502" t="s">
        <v>314</v>
      </c>
      <c r="D142" s="502"/>
      <c r="E142" s="510" t="s">
        <v>314</v>
      </c>
      <c r="F142" s="512" t="s">
        <v>315</v>
      </c>
      <c r="G142" s="510" t="s">
        <v>43</v>
      </c>
      <c r="H142" s="504"/>
      <c r="I142" s="504"/>
      <c r="J142" s="504"/>
      <c r="K142" s="504"/>
      <c r="L142" s="504"/>
      <c r="M142" s="504"/>
      <c r="N142" s="504"/>
      <c r="O142" s="504"/>
      <c r="P142" s="504">
        <f>ROUND(SUM(O142:O143),4)</f>
        <v>1.66</v>
      </c>
      <c r="Q142" s="507"/>
      <c r="R142" s="507"/>
      <c r="S142" s="507">
        <v>123930</v>
      </c>
      <c r="T142" s="507"/>
      <c r="U142" s="507">
        <f>ROUND(IF(P43=0,ROUND(P142,4)*Q142,P43*ROUND(P142,4)*Q142),1)</f>
        <v>0</v>
      </c>
      <c r="V142" s="507">
        <f>ROUND(IF(P43=0,ROUND(P142,4)*R142,P43*ROUND(P142,4)*R142),1)</f>
        <v>0</v>
      </c>
      <c r="W142" s="507">
        <f>ROUND(IF(P43=0,ROUND(P142,4)*S142,P43*ROUND(P142,4)*S142),1)</f>
        <v>205723.8</v>
      </c>
      <c r="X142" s="507">
        <f>ROUND(IF(P43=0,ROUND(P142,4)*T142,P43*ROUND(P142,4)*T142),1)</f>
        <v>0</v>
      </c>
      <c r="Y142" s="483"/>
      <c r="Z142" s="483"/>
      <c r="AA142" s="483"/>
      <c r="AB142" s="467" t="s">
        <v>44</v>
      </c>
      <c r="AC142" s="467" t="s">
        <v>45</v>
      </c>
      <c r="AE142" s="469" t="s">
        <v>316</v>
      </c>
      <c r="AL142" s="467" t="s">
        <v>48</v>
      </c>
    </row>
    <row r="143" spans="1:38" ht="15.75">
      <c r="A143" s="500"/>
      <c r="B143" s="509"/>
      <c r="C143" s="502"/>
      <c r="D143" s="502"/>
      <c r="E143" s="510"/>
      <c r="F143" s="513" t="s">
        <v>317</v>
      </c>
      <c r="G143" s="510"/>
      <c r="H143" s="504"/>
      <c r="I143" s="504"/>
      <c r="J143" s="504"/>
      <c r="K143" s="504"/>
      <c r="L143" s="504"/>
      <c r="M143" s="504"/>
      <c r="N143" s="504"/>
      <c r="O143" s="504">
        <v>1.66</v>
      </c>
      <c r="P143" s="504"/>
      <c r="Q143" s="507"/>
      <c r="R143" s="507"/>
      <c r="S143" s="507"/>
      <c r="T143" s="507"/>
      <c r="U143" s="507"/>
      <c r="V143" s="507"/>
      <c r="W143" s="507"/>
      <c r="X143" s="507"/>
      <c r="Y143" s="483"/>
      <c r="Z143" s="483"/>
      <c r="AA143" s="483"/>
    </row>
    <row r="144" spans="1:38" ht="15.75">
      <c r="A144" s="500">
        <v>44</v>
      </c>
      <c r="B144" s="509"/>
      <c r="C144" s="502" t="s">
        <v>318</v>
      </c>
      <c r="D144" s="502"/>
      <c r="E144" s="510" t="s">
        <v>318</v>
      </c>
      <c r="F144" s="512" t="s">
        <v>319</v>
      </c>
      <c r="G144" s="510" t="s">
        <v>296</v>
      </c>
      <c r="H144" s="504"/>
      <c r="I144" s="504"/>
      <c r="J144" s="504"/>
      <c r="K144" s="504"/>
      <c r="L144" s="504"/>
      <c r="M144" s="504"/>
      <c r="N144" s="504"/>
      <c r="O144" s="504"/>
      <c r="P144" s="504">
        <f>ROUND(SUM(O144:O145),4)</f>
        <v>1.5</v>
      </c>
      <c r="Q144" s="507">
        <v>413484</v>
      </c>
      <c r="R144" s="507"/>
      <c r="S144" s="507">
        <v>483976</v>
      </c>
      <c r="T144" s="507"/>
      <c r="U144" s="507">
        <f>ROUND(IF(P43=0,ROUND(P144,4)*Q144,P43*ROUND(P144,4)*Q144),1)</f>
        <v>620226</v>
      </c>
      <c r="V144" s="507">
        <f>ROUND(IF(P43=0,ROUND(P144,4)*R144,P43*ROUND(P144,4)*R144),1)</f>
        <v>0</v>
      </c>
      <c r="W144" s="507">
        <f>ROUND(IF(P43=0,ROUND(P144,4)*S144,P43*ROUND(P144,4)*S144),1)</f>
        <v>725964</v>
      </c>
      <c r="X144" s="507">
        <f>ROUND(IF(P43=0,ROUND(P144,4)*T144,P43*ROUND(P144,4)*T144),1)</f>
        <v>0</v>
      </c>
      <c r="Y144" s="483"/>
      <c r="Z144" s="483"/>
      <c r="AA144" s="483"/>
      <c r="AB144" s="467" t="s">
        <v>44</v>
      </c>
      <c r="AC144" s="467" t="s">
        <v>45</v>
      </c>
      <c r="AD144" s="469" t="s">
        <v>320</v>
      </c>
      <c r="AE144" s="469" t="s">
        <v>321</v>
      </c>
      <c r="AL144" s="467" t="s">
        <v>48</v>
      </c>
    </row>
    <row r="145" spans="1:38" ht="15.75">
      <c r="A145" s="500"/>
      <c r="B145" s="509"/>
      <c r="C145" s="502"/>
      <c r="D145" s="502"/>
      <c r="E145" s="510"/>
      <c r="F145" s="513" t="s">
        <v>322</v>
      </c>
      <c r="G145" s="510"/>
      <c r="H145" s="504"/>
      <c r="I145" s="504"/>
      <c r="J145" s="504"/>
      <c r="K145" s="504"/>
      <c r="L145" s="504"/>
      <c r="M145" s="504"/>
      <c r="N145" s="504"/>
      <c r="O145" s="504">
        <v>1.5</v>
      </c>
      <c r="P145" s="504"/>
      <c r="Q145" s="507"/>
      <c r="R145" s="507"/>
      <c r="S145" s="507"/>
      <c r="T145" s="507"/>
      <c r="U145" s="507"/>
      <c r="V145" s="507"/>
      <c r="W145" s="507"/>
      <c r="X145" s="507"/>
      <c r="Y145" s="483"/>
      <c r="Z145" s="483"/>
      <c r="AA145" s="483"/>
    </row>
    <row r="146" spans="1:38" ht="15.75">
      <c r="A146" s="500">
        <v>45</v>
      </c>
      <c r="B146" s="509"/>
      <c r="C146" s="502" t="s">
        <v>323</v>
      </c>
      <c r="D146" s="502"/>
      <c r="E146" s="510" t="s">
        <v>323</v>
      </c>
      <c r="F146" s="512" t="s">
        <v>324</v>
      </c>
      <c r="G146" s="510" t="s">
        <v>43</v>
      </c>
      <c r="H146" s="504"/>
      <c r="I146" s="504"/>
      <c r="J146" s="504"/>
      <c r="K146" s="504"/>
      <c r="L146" s="504"/>
      <c r="M146" s="504"/>
      <c r="N146" s="504"/>
      <c r="O146" s="504"/>
      <c r="P146" s="504">
        <f>ROUND(SUM(O146:O147),4)</f>
        <v>0.24</v>
      </c>
      <c r="Q146" s="507"/>
      <c r="R146" s="507"/>
      <c r="S146" s="507">
        <v>316463</v>
      </c>
      <c r="T146" s="507"/>
      <c r="U146" s="507">
        <f>ROUND(IF(P43=0,ROUND(P146,4)*Q146,P43*ROUND(P146,4)*Q146),1)</f>
        <v>0</v>
      </c>
      <c r="V146" s="507">
        <f>ROUND(IF(P43=0,ROUND(P146,4)*R146,P43*ROUND(P146,4)*R146),1)</f>
        <v>0</v>
      </c>
      <c r="W146" s="507">
        <f>ROUND(IF(P43=0,ROUND(P146,4)*S146,P43*ROUND(P146,4)*S146),1)</f>
        <v>75951.100000000006</v>
      </c>
      <c r="X146" s="507">
        <f>ROUND(IF(P43=0,ROUND(P146,4)*T146,P43*ROUND(P146,4)*T146),1)</f>
        <v>0</v>
      </c>
      <c r="Y146" s="483"/>
      <c r="Z146" s="483"/>
      <c r="AA146" s="483"/>
      <c r="AB146" s="467" t="s">
        <v>44</v>
      </c>
      <c r="AC146" s="467" t="s">
        <v>45</v>
      </c>
      <c r="AE146" s="469" t="s">
        <v>325</v>
      </c>
      <c r="AL146" s="467" t="s">
        <v>48</v>
      </c>
    </row>
    <row r="147" spans="1:38" ht="15.75">
      <c r="A147" s="500"/>
      <c r="B147" s="509"/>
      <c r="C147" s="502"/>
      <c r="D147" s="502"/>
      <c r="E147" s="510"/>
      <c r="F147" s="513" t="s">
        <v>326</v>
      </c>
      <c r="G147" s="510"/>
      <c r="H147" s="504"/>
      <c r="I147" s="504"/>
      <c r="J147" s="504"/>
      <c r="K147" s="504"/>
      <c r="L147" s="504"/>
      <c r="M147" s="504"/>
      <c r="N147" s="504"/>
      <c r="O147" s="504">
        <v>0.24</v>
      </c>
      <c r="P147" s="504"/>
      <c r="Q147" s="507"/>
      <c r="R147" s="507"/>
      <c r="S147" s="507"/>
      <c r="T147" s="507"/>
      <c r="U147" s="507"/>
      <c r="V147" s="507"/>
      <c r="W147" s="507"/>
      <c r="X147" s="507"/>
      <c r="Y147" s="483"/>
      <c r="Z147" s="483"/>
      <c r="AA147" s="483"/>
    </row>
    <row r="148" spans="1:38" ht="15.75">
      <c r="A148" s="500">
        <v>46</v>
      </c>
      <c r="B148" s="509"/>
      <c r="C148" s="502" t="s">
        <v>327</v>
      </c>
      <c r="D148" s="502"/>
      <c r="E148" s="510" t="s">
        <v>327</v>
      </c>
      <c r="F148" s="512" t="s">
        <v>328</v>
      </c>
      <c r="G148" s="510" t="s">
        <v>43</v>
      </c>
      <c r="H148" s="504"/>
      <c r="I148" s="504"/>
      <c r="J148" s="504"/>
      <c r="K148" s="504"/>
      <c r="L148" s="504"/>
      <c r="M148" s="504"/>
      <c r="N148" s="504"/>
      <c r="O148" s="504"/>
      <c r="P148" s="504">
        <f>ROUND(SUM(O148:O149),4)</f>
        <v>0.24</v>
      </c>
      <c r="Q148" s="507">
        <v>174216</v>
      </c>
      <c r="R148" s="507"/>
      <c r="S148" s="507">
        <v>99586</v>
      </c>
      <c r="T148" s="507"/>
      <c r="U148" s="507">
        <f>ROUND(IF(P43=0,ROUND(P148,4)*Q148,P43*ROUND(P148,4)*Q148),1)</f>
        <v>41811.800000000003</v>
      </c>
      <c r="V148" s="507">
        <f>ROUND(IF(P43=0,ROUND(P148,4)*R148,P43*ROUND(P148,4)*R148),1)</f>
        <v>0</v>
      </c>
      <c r="W148" s="507">
        <f>ROUND(IF(P43=0,ROUND(P148,4)*S148,P43*ROUND(P148,4)*S148),1)</f>
        <v>23900.6</v>
      </c>
      <c r="X148" s="507">
        <f>ROUND(IF(P43=0,ROUND(P148,4)*T148,P43*ROUND(P148,4)*T148),1)</f>
        <v>0</v>
      </c>
      <c r="Y148" s="483"/>
      <c r="Z148" s="483"/>
      <c r="AA148" s="483"/>
      <c r="AB148" s="467" t="s">
        <v>44</v>
      </c>
      <c r="AC148" s="467" t="s">
        <v>45</v>
      </c>
      <c r="AD148" s="469" t="s">
        <v>329</v>
      </c>
      <c r="AE148" s="469" t="s">
        <v>330</v>
      </c>
      <c r="AL148" s="467" t="s">
        <v>48</v>
      </c>
    </row>
    <row r="149" spans="1:38" ht="15.75">
      <c r="A149" s="500"/>
      <c r="B149" s="509"/>
      <c r="C149" s="502"/>
      <c r="D149" s="502"/>
      <c r="E149" s="510"/>
      <c r="F149" s="513" t="s">
        <v>326</v>
      </c>
      <c r="G149" s="510"/>
      <c r="H149" s="504"/>
      <c r="I149" s="504"/>
      <c r="J149" s="504"/>
      <c r="K149" s="504"/>
      <c r="L149" s="504"/>
      <c r="M149" s="504"/>
      <c r="N149" s="504"/>
      <c r="O149" s="504">
        <v>0.24</v>
      </c>
      <c r="P149" s="504"/>
      <c r="Q149" s="507"/>
      <c r="R149" s="507"/>
      <c r="S149" s="507"/>
      <c r="T149" s="507"/>
      <c r="U149" s="507"/>
      <c r="V149" s="507"/>
      <c r="W149" s="507"/>
      <c r="X149" s="507"/>
      <c r="Y149" s="483"/>
      <c r="Z149" s="483"/>
      <c r="AA149" s="483"/>
    </row>
    <row r="150" spans="1:38" ht="15.75">
      <c r="A150" s="500">
        <v>47</v>
      </c>
      <c r="B150" s="509"/>
      <c r="C150" s="502" t="s">
        <v>139</v>
      </c>
      <c r="D150" s="502"/>
      <c r="E150" s="510" t="s">
        <v>139</v>
      </c>
      <c r="F150" s="512" t="s">
        <v>266</v>
      </c>
      <c r="G150" s="510" t="s">
        <v>43</v>
      </c>
      <c r="H150" s="504"/>
      <c r="I150" s="504"/>
      <c r="J150" s="504"/>
      <c r="K150" s="504"/>
      <c r="L150" s="504"/>
      <c r="M150" s="504"/>
      <c r="N150" s="504"/>
      <c r="O150" s="504"/>
      <c r="P150" s="504">
        <f>ROUND(SUM(O150:O151),4)</f>
        <v>0.24</v>
      </c>
      <c r="Q150" s="507">
        <v>426000</v>
      </c>
      <c r="R150" s="507"/>
      <c r="S150" s="507">
        <v>420924</v>
      </c>
      <c r="T150" s="507"/>
      <c r="U150" s="507">
        <f>ROUND(IF(P43=0,ROUND(P150,4)*Q150,P43*ROUND(P150,4)*Q150),1)</f>
        <v>102240</v>
      </c>
      <c r="V150" s="507">
        <f>ROUND(IF(P43=0,ROUND(P150,4)*R150,P43*ROUND(P150,4)*R150),1)</f>
        <v>0</v>
      </c>
      <c r="W150" s="507">
        <f>ROUND(IF(P43=0,ROUND(P150,4)*S150,P43*ROUND(P150,4)*S150),1)</f>
        <v>101021.8</v>
      </c>
      <c r="X150" s="507">
        <f>ROUND(IF(P43=0,ROUND(P150,4)*T150,P43*ROUND(P150,4)*T150),1)</f>
        <v>0</v>
      </c>
      <c r="Y150" s="483"/>
      <c r="Z150" s="483"/>
      <c r="AA150" s="483"/>
      <c r="AB150" s="467" t="s">
        <v>44</v>
      </c>
      <c r="AC150" s="467" t="s">
        <v>45</v>
      </c>
      <c r="AD150" s="469" t="s">
        <v>141</v>
      </c>
      <c r="AE150" s="469" t="s">
        <v>142</v>
      </c>
      <c r="AL150" s="467" t="s">
        <v>48</v>
      </c>
    </row>
    <row r="151" spans="1:38" ht="15.75">
      <c r="A151" s="500"/>
      <c r="B151" s="509"/>
      <c r="C151" s="502"/>
      <c r="D151" s="502"/>
      <c r="E151" s="510"/>
      <c r="F151" s="513" t="s">
        <v>326</v>
      </c>
      <c r="G151" s="510"/>
      <c r="H151" s="504"/>
      <c r="I151" s="504"/>
      <c r="J151" s="504"/>
      <c r="K151" s="504"/>
      <c r="L151" s="504"/>
      <c r="M151" s="504"/>
      <c r="N151" s="504"/>
      <c r="O151" s="504">
        <v>0.24</v>
      </c>
      <c r="P151" s="504"/>
      <c r="Q151" s="507"/>
      <c r="R151" s="507"/>
      <c r="S151" s="507"/>
      <c r="T151" s="507"/>
      <c r="U151" s="507"/>
      <c r="V151" s="507"/>
      <c r="W151" s="507"/>
      <c r="X151" s="507"/>
      <c r="Y151" s="483"/>
      <c r="Z151" s="483"/>
      <c r="AA151" s="483"/>
    </row>
    <row r="152" spans="1:38" ht="15.75">
      <c r="A152" s="500">
        <v>48</v>
      </c>
      <c r="B152" s="509"/>
      <c r="C152" s="502" t="s">
        <v>144</v>
      </c>
      <c r="D152" s="502"/>
      <c r="E152" s="510" t="s">
        <v>144</v>
      </c>
      <c r="F152" s="512" t="s">
        <v>331</v>
      </c>
      <c r="G152" s="510" t="s">
        <v>86</v>
      </c>
      <c r="H152" s="504"/>
      <c r="I152" s="504"/>
      <c r="J152" s="504"/>
      <c r="K152" s="504"/>
      <c r="L152" s="504"/>
      <c r="M152" s="504"/>
      <c r="N152" s="504"/>
      <c r="O152" s="504"/>
      <c r="P152" s="504">
        <f>ROUND(SUM(O152:O153),4)</f>
        <v>1.3599999999999999E-2</v>
      </c>
      <c r="Q152" s="507">
        <v>4958871</v>
      </c>
      <c r="R152" s="507"/>
      <c r="S152" s="507">
        <v>7781400</v>
      </c>
      <c r="T152" s="507"/>
      <c r="U152" s="507">
        <f>ROUND(IF(P43=0,ROUND(P152,4)*Q152,P43*ROUND(P152,4)*Q152),1)</f>
        <v>67440.600000000006</v>
      </c>
      <c r="V152" s="507">
        <f>ROUND(IF(P43=0,ROUND(P152,4)*R152,P43*ROUND(P152,4)*R152),1)</f>
        <v>0</v>
      </c>
      <c r="W152" s="507">
        <f>ROUND(IF(P43=0,ROUND(P152,4)*S152,P43*ROUND(P152,4)*S152),1)</f>
        <v>105827</v>
      </c>
      <c r="X152" s="507">
        <f>ROUND(IF(P43=0,ROUND(P152,4)*T152,P43*ROUND(P152,4)*T152),1)</f>
        <v>0</v>
      </c>
      <c r="Y152" s="483"/>
      <c r="Z152" s="483"/>
      <c r="AA152" s="483"/>
      <c r="AB152" s="467" t="s">
        <v>44</v>
      </c>
      <c r="AC152" s="467" t="s">
        <v>45</v>
      </c>
      <c r="AD152" s="469" t="s">
        <v>146</v>
      </c>
      <c r="AE152" s="469" t="s">
        <v>147</v>
      </c>
      <c r="AL152" s="467" t="s">
        <v>48</v>
      </c>
    </row>
    <row r="153" spans="1:38" ht="15.75">
      <c r="A153" s="500"/>
      <c r="B153" s="509"/>
      <c r="C153" s="502"/>
      <c r="D153" s="502"/>
      <c r="E153" s="510"/>
      <c r="F153" s="513" t="s">
        <v>332</v>
      </c>
      <c r="G153" s="510"/>
      <c r="H153" s="504"/>
      <c r="I153" s="504"/>
      <c r="J153" s="504"/>
      <c r="K153" s="504"/>
      <c r="L153" s="504"/>
      <c r="M153" s="504"/>
      <c r="N153" s="504"/>
      <c r="O153" s="504">
        <v>1.3599999999999999E-2</v>
      </c>
      <c r="P153" s="504"/>
      <c r="Q153" s="507"/>
      <c r="R153" s="507"/>
      <c r="S153" s="507"/>
      <c r="T153" s="507"/>
      <c r="U153" s="507"/>
      <c r="V153" s="507"/>
      <c r="W153" s="507"/>
      <c r="X153" s="507"/>
      <c r="Y153" s="483"/>
      <c r="Z153" s="483"/>
      <c r="AA153" s="483"/>
    </row>
    <row r="154" spans="1:38" ht="22.5" customHeight="1">
      <c r="A154" s="500">
        <v>49</v>
      </c>
      <c r="B154" s="509"/>
      <c r="C154" s="502" t="s">
        <v>149</v>
      </c>
      <c r="D154" s="502" t="s">
        <v>150</v>
      </c>
      <c r="E154" s="510" t="s">
        <v>151</v>
      </c>
      <c r="F154" s="512" t="s">
        <v>333</v>
      </c>
      <c r="G154" s="510" t="s">
        <v>43</v>
      </c>
      <c r="H154" s="504"/>
      <c r="I154" s="504"/>
      <c r="J154" s="504"/>
      <c r="K154" s="504"/>
      <c r="L154" s="504"/>
      <c r="M154" s="504"/>
      <c r="N154" s="504"/>
      <c r="O154" s="504"/>
      <c r="P154" s="504">
        <f>ROUND(SUM(O154:O155),4)</f>
        <v>0.48</v>
      </c>
      <c r="Q154" s="507">
        <v>972841</v>
      </c>
      <c r="R154" s="507"/>
      <c r="S154" s="507">
        <v>294698</v>
      </c>
      <c r="T154" s="507">
        <v>55110</v>
      </c>
      <c r="U154" s="507">
        <f>ROUND(IF(P43=0,ROUND(P154,4)*Q154,P43*ROUND(P154,4)*Q154),1)</f>
        <v>466963.7</v>
      </c>
      <c r="V154" s="507">
        <f>ROUND(IF(P43=0,ROUND(P154,4)*R154,P43*ROUND(P154,4)*R154),1)</f>
        <v>0</v>
      </c>
      <c r="W154" s="507">
        <f>ROUND(IF(P43=0,ROUND(P154,4)*S154,P43*ROUND(P154,4)*S154),1)</f>
        <v>141455</v>
      </c>
      <c r="X154" s="507">
        <f>ROUND(IF(P43=0,ROUND(P154,4)*T154,P43*ROUND(P154,4)*T154),1)</f>
        <v>26452.799999999999</v>
      </c>
      <c r="Y154" s="483"/>
      <c r="Z154" s="483"/>
      <c r="AA154" s="483"/>
      <c r="AB154" s="467" t="s">
        <v>44</v>
      </c>
      <c r="AC154" s="467" t="s">
        <v>45</v>
      </c>
      <c r="AD154" s="469" t="s">
        <v>153</v>
      </c>
      <c r="AE154" s="469" t="s">
        <v>154</v>
      </c>
      <c r="AF154" s="469" t="s">
        <v>155</v>
      </c>
      <c r="AL154" s="467" t="s">
        <v>48</v>
      </c>
    </row>
    <row r="155" spans="1:38" ht="15.75">
      <c r="A155" s="500"/>
      <c r="B155" s="509"/>
      <c r="C155" s="502"/>
      <c r="D155" s="502"/>
      <c r="E155" s="510"/>
      <c r="F155" s="513" t="s">
        <v>334</v>
      </c>
      <c r="G155" s="510"/>
      <c r="H155" s="504"/>
      <c r="I155" s="504"/>
      <c r="J155" s="504"/>
      <c r="K155" s="504"/>
      <c r="L155" s="504"/>
      <c r="M155" s="504"/>
      <c r="N155" s="504"/>
      <c r="O155" s="504">
        <v>0.48</v>
      </c>
      <c r="P155" s="504"/>
      <c r="Q155" s="507"/>
      <c r="R155" s="507"/>
      <c r="S155" s="507"/>
      <c r="T155" s="507"/>
      <c r="U155" s="507"/>
      <c r="V155" s="507"/>
      <c r="W155" s="507"/>
      <c r="X155" s="507"/>
      <c r="Y155" s="483"/>
      <c r="Z155" s="483"/>
      <c r="AA155" s="483"/>
    </row>
    <row r="156" spans="1:38" ht="31.5">
      <c r="A156" s="500">
        <v>50</v>
      </c>
      <c r="B156" s="509"/>
      <c r="C156" s="502" t="s">
        <v>335</v>
      </c>
      <c r="D156" s="502" t="s">
        <v>336</v>
      </c>
      <c r="E156" s="510" t="s">
        <v>337</v>
      </c>
      <c r="F156" s="512" t="s">
        <v>338</v>
      </c>
      <c r="G156" s="510" t="s">
        <v>109</v>
      </c>
      <c r="H156" s="504"/>
      <c r="I156" s="504"/>
      <c r="J156" s="504"/>
      <c r="K156" s="504"/>
      <c r="L156" s="504"/>
      <c r="M156" s="504"/>
      <c r="N156" s="504"/>
      <c r="O156" s="504"/>
      <c r="P156" s="504">
        <f>ROUND(SUM(O156:O157),4)</f>
        <v>10.62</v>
      </c>
      <c r="Q156" s="507">
        <v>22694</v>
      </c>
      <c r="R156" s="507"/>
      <c r="S156" s="507">
        <v>83840</v>
      </c>
      <c r="T156" s="507">
        <v>885</v>
      </c>
      <c r="U156" s="507">
        <f>ROUND(IF(P43=0,ROUND(P156,4)*Q156,P43*ROUND(P156,4)*Q156),1)</f>
        <v>241010.3</v>
      </c>
      <c r="V156" s="507">
        <f>ROUND(IF(P43=0,ROUND(P156,4)*R156,P43*ROUND(P156,4)*R156),1)</f>
        <v>0</v>
      </c>
      <c r="W156" s="507">
        <f>ROUND(IF(P43=0,ROUND(P156,4)*S156,P43*ROUND(P156,4)*S156),1)</f>
        <v>890380.80000000005</v>
      </c>
      <c r="X156" s="507">
        <f>ROUND(IF(P43=0,ROUND(P156,4)*T156,P43*ROUND(P156,4)*T156),1)</f>
        <v>9398.7000000000007</v>
      </c>
      <c r="Y156" s="483"/>
      <c r="Z156" s="483"/>
      <c r="AA156" s="483"/>
      <c r="AB156" s="467" t="s">
        <v>44</v>
      </c>
      <c r="AC156" s="467" t="s">
        <v>45</v>
      </c>
      <c r="AD156" s="469" t="s">
        <v>339</v>
      </c>
      <c r="AE156" s="469" t="s">
        <v>340</v>
      </c>
      <c r="AF156" s="469" t="s">
        <v>171</v>
      </c>
      <c r="AL156" s="467" t="s">
        <v>48</v>
      </c>
    </row>
    <row r="157" spans="1:38" ht="15.75">
      <c r="A157" s="500"/>
      <c r="B157" s="509"/>
      <c r="C157" s="502"/>
      <c r="D157" s="502"/>
      <c r="E157" s="510"/>
      <c r="F157" s="513" t="s">
        <v>341</v>
      </c>
      <c r="G157" s="510"/>
      <c r="H157" s="504"/>
      <c r="I157" s="504"/>
      <c r="J157" s="504"/>
      <c r="K157" s="504"/>
      <c r="L157" s="504"/>
      <c r="M157" s="504"/>
      <c r="N157" s="504"/>
      <c r="O157" s="504">
        <v>10.62</v>
      </c>
      <c r="P157" s="504"/>
      <c r="Q157" s="507"/>
      <c r="R157" s="507"/>
      <c r="S157" s="507"/>
      <c r="T157" s="507"/>
      <c r="U157" s="507"/>
      <c r="V157" s="507"/>
      <c r="W157" s="507"/>
      <c r="X157" s="507"/>
      <c r="Y157" s="483"/>
      <c r="Z157" s="483"/>
      <c r="AA157" s="483"/>
    </row>
    <row r="158" spans="1:38" ht="15.75">
      <c r="A158" s="500">
        <v>51</v>
      </c>
      <c r="B158" s="509"/>
      <c r="C158" s="502" t="s">
        <v>179</v>
      </c>
      <c r="D158" s="502"/>
      <c r="E158" s="510" t="s">
        <v>179</v>
      </c>
      <c r="F158" s="512" t="s">
        <v>342</v>
      </c>
      <c r="G158" s="510" t="s">
        <v>86</v>
      </c>
      <c r="H158" s="504"/>
      <c r="I158" s="504"/>
      <c r="J158" s="504"/>
      <c r="K158" s="504"/>
      <c r="L158" s="504"/>
      <c r="M158" s="504"/>
      <c r="N158" s="504"/>
      <c r="O158" s="504"/>
      <c r="P158" s="504">
        <f>ROUND(SUM(O158:O159),4)</f>
        <v>9.2999999999999992E-3</v>
      </c>
      <c r="Q158" s="507">
        <v>7011730</v>
      </c>
      <c r="R158" s="507"/>
      <c r="S158" s="507">
        <v>7205000</v>
      </c>
      <c r="T158" s="507"/>
      <c r="U158" s="507">
        <f>ROUND(IF(P43=0,ROUND(P158,4)*Q158,P43*ROUND(P158,4)*Q158),1)</f>
        <v>65209.1</v>
      </c>
      <c r="V158" s="507">
        <f>ROUND(IF(P43=0,ROUND(P158,4)*R158,P43*ROUND(P158,4)*R158),1)</f>
        <v>0</v>
      </c>
      <c r="W158" s="507">
        <f>ROUND(IF(P43=0,ROUND(P158,4)*S158,P43*ROUND(P158,4)*S158),1)</f>
        <v>67006.5</v>
      </c>
      <c r="X158" s="507">
        <f>ROUND(IF(P43=0,ROUND(P158,4)*T158,P43*ROUND(P158,4)*T158),1)</f>
        <v>0</v>
      </c>
      <c r="Y158" s="483"/>
      <c r="Z158" s="483"/>
      <c r="AA158" s="483"/>
      <c r="AB158" s="467" t="s">
        <v>44</v>
      </c>
      <c r="AC158" s="467" t="s">
        <v>45</v>
      </c>
      <c r="AD158" s="469" t="s">
        <v>181</v>
      </c>
      <c r="AE158" s="469" t="s">
        <v>182</v>
      </c>
      <c r="AL158" s="467" t="s">
        <v>48</v>
      </c>
    </row>
    <row r="159" spans="1:38" ht="15.75">
      <c r="A159" s="500"/>
      <c r="B159" s="509"/>
      <c r="C159" s="502"/>
      <c r="D159" s="502"/>
      <c r="E159" s="510"/>
      <c r="F159" s="513" t="s">
        <v>343</v>
      </c>
      <c r="G159" s="510"/>
      <c r="H159" s="504"/>
      <c r="I159" s="504"/>
      <c r="J159" s="504"/>
      <c r="K159" s="504"/>
      <c r="L159" s="504"/>
      <c r="M159" s="504"/>
      <c r="N159" s="504"/>
      <c r="O159" s="504">
        <v>9.2999999999999992E-3</v>
      </c>
      <c r="P159" s="504"/>
      <c r="Q159" s="507"/>
      <c r="R159" s="507"/>
      <c r="S159" s="507"/>
      <c r="T159" s="507"/>
      <c r="U159" s="507"/>
      <c r="V159" s="507"/>
      <c r="W159" s="507"/>
      <c r="X159" s="507"/>
      <c r="Y159" s="483"/>
      <c r="Z159" s="483"/>
      <c r="AA159" s="483"/>
    </row>
    <row r="160" spans="1:38" ht="31.5">
      <c r="A160" s="500">
        <v>52</v>
      </c>
      <c r="B160" s="509"/>
      <c r="C160" s="502" t="s">
        <v>184</v>
      </c>
      <c r="D160" s="502" t="s">
        <v>212</v>
      </c>
      <c r="E160" s="510" t="s">
        <v>246</v>
      </c>
      <c r="F160" s="512" t="s">
        <v>344</v>
      </c>
      <c r="G160" s="510" t="s">
        <v>43</v>
      </c>
      <c r="H160" s="504"/>
      <c r="I160" s="504"/>
      <c r="J160" s="504"/>
      <c r="K160" s="504"/>
      <c r="L160" s="504"/>
      <c r="M160" s="504"/>
      <c r="N160" s="504"/>
      <c r="O160" s="504"/>
      <c r="P160" s="504">
        <f>ROUND(SUM(O160:O161),4)</f>
        <v>0.13</v>
      </c>
      <c r="Q160" s="507">
        <v>1027471</v>
      </c>
      <c r="R160" s="507"/>
      <c r="S160" s="507">
        <v>639711</v>
      </c>
      <c r="T160" s="507">
        <v>80297</v>
      </c>
      <c r="U160" s="507">
        <f>ROUND(IF(P43=0,ROUND(P160,4)*Q160,P43*ROUND(P160,4)*Q160),1)</f>
        <v>133571.20000000001</v>
      </c>
      <c r="V160" s="507">
        <f>ROUND(IF(P43=0,ROUND(P160,4)*R160,P43*ROUND(P160,4)*R160),1)</f>
        <v>0</v>
      </c>
      <c r="W160" s="507">
        <f>ROUND(IF(P43=0,ROUND(P160,4)*S160,P43*ROUND(P160,4)*S160),1)</f>
        <v>83162.399999999994</v>
      </c>
      <c r="X160" s="507">
        <f>ROUND(IF(P43=0,ROUND(P160,4)*T160,P43*ROUND(P160,4)*T160),1)</f>
        <v>10438.6</v>
      </c>
      <c r="Y160" s="483"/>
      <c r="Z160" s="483"/>
      <c r="AA160" s="483"/>
      <c r="AB160" s="467" t="s">
        <v>44</v>
      </c>
      <c r="AC160" s="467" t="s">
        <v>45</v>
      </c>
      <c r="AD160" s="469" t="s">
        <v>248</v>
      </c>
      <c r="AE160" s="469" t="s">
        <v>187</v>
      </c>
      <c r="AF160" s="469" t="s">
        <v>188</v>
      </c>
      <c r="AL160" s="467" t="s">
        <v>48</v>
      </c>
    </row>
    <row r="161" spans="1:38" ht="15.75">
      <c r="A161" s="500"/>
      <c r="B161" s="509"/>
      <c r="C161" s="502"/>
      <c r="D161" s="502"/>
      <c r="E161" s="510"/>
      <c r="F161" s="513" t="s">
        <v>345</v>
      </c>
      <c r="G161" s="510"/>
      <c r="H161" s="504"/>
      <c r="I161" s="504"/>
      <c r="J161" s="504"/>
      <c r="K161" s="504"/>
      <c r="L161" s="504"/>
      <c r="M161" s="504"/>
      <c r="N161" s="504"/>
      <c r="O161" s="504">
        <v>0.13</v>
      </c>
      <c r="P161" s="504"/>
      <c r="Q161" s="507"/>
      <c r="R161" s="507"/>
      <c r="S161" s="507"/>
      <c r="T161" s="507"/>
      <c r="U161" s="507"/>
      <c r="V161" s="507"/>
      <c r="W161" s="507"/>
      <c r="X161" s="507"/>
      <c r="Y161" s="483"/>
      <c r="Z161" s="483"/>
      <c r="AA161" s="483"/>
    </row>
    <row r="162" spans="1:38" ht="15.75">
      <c r="A162" s="500">
        <v>53</v>
      </c>
      <c r="B162" s="509"/>
      <c r="C162" s="502" t="s">
        <v>346</v>
      </c>
      <c r="D162" s="502"/>
      <c r="E162" s="510" t="s">
        <v>346</v>
      </c>
      <c r="F162" s="512" t="s">
        <v>347</v>
      </c>
      <c r="G162" s="510" t="s">
        <v>192</v>
      </c>
      <c r="H162" s="504"/>
      <c r="I162" s="504"/>
      <c r="J162" s="504"/>
      <c r="K162" s="504"/>
      <c r="L162" s="504"/>
      <c r="M162" s="504"/>
      <c r="N162" s="504"/>
      <c r="O162" s="504"/>
      <c r="P162" s="504">
        <f>ROUND(SUM(O162:O163),4)</f>
        <v>3.0999999999999999E-3</v>
      </c>
      <c r="Q162" s="507">
        <v>19617400</v>
      </c>
      <c r="R162" s="507"/>
      <c r="S162" s="507">
        <v>4032180</v>
      </c>
      <c r="T162" s="507">
        <v>112514</v>
      </c>
      <c r="U162" s="507">
        <f>ROUND(IF(P43=0,ROUND(P162,4)*Q162,P43*ROUND(P162,4)*Q162),1)</f>
        <v>60813.9</v>
      </c>
      <c r="V162" s="507">
        <f>ROUND(IF(P43=0,ROUND(P162,4)*R162,P43*ROUND(P162,4)*R162),1)</f>
        <v>0</v>
      </c>
      <c r="W162" s="507">
        <f>ROUND(IF(P43=0,ROUND(P162,4)*S162,P43*ROUND(P162,4)*S162),1)</f>
        <v>12499.8</v>
      </c>
      <c r="X162" s="507">
        <f>ROUND(IF(P43=0,ROUND(P162,4)*T162,P43*ROUND(P162,4)*T162),1)</f>
        <v>348.8</v>
      </c>
      <c r="Y162" s="483"/>
      <c r="Z162" s="483"/>
      <c r="AA162" s="483"/>
      <c r="AB162" s="467" t="s">
        <v>44</v>
      </c>
      <c r="AC162" s="467" t="s">
        <v>45</v>
      </c>
      <c r="AD162" s="469" t="s">
        <v>348</v>
      </c>
      <c r="AE162" s="469" t="s">
        <v>349</v>
      </c>
      <c r="AF162" s="469" t="s">
        <v>208</v>
      </c>
      <c r="AL162" s="467" t="s">
        <v>48</v>
      </c>
    </row>
    <row r="163" spans="1:38" ht="15.75">
      <c r="A163" s="500"/>
      <c r="B163" s="509"/>
      <c r="C163" s="502"/>
      <c r="D163" s="502"/>
      <c r="E163" s="510"/>
      <c r="F163" s="513" t="s">
        <v>350</v>
      </c>
      <c r="G163" s="510"/>
      <c r="H163" s="504"/>
      <c r="I163" s="504"/>
      <c r="J163" s="504"/>
      <c r="K163" s="504"/>
      <c r="L163" s="504"/>
      <c r="M163" s="504"/>
      <c r="N163" s="504"/>
      <c r="O163" s="504">
        <v>3.0999999999999999E-3</v>
      </c>
      <c r="P163" s="504"/>
      <c r="Q163" s="507"/>
      <c r="R163" s="507"/>
      <c r="S163" s="507"/>
      <c r="T163" s="507"/>
      <c r="U163" s="507"/>
      <c r="V163" s="507"/>
      <c r="W163" s="507"/>
      <c r="X163" s="507"/>
      <c r="Y163" s="483"/>
      <c r="Z163" s="483"/>
      <c r="AA163" s="483"/>
    </row>
    <row r="164" spans="1:38" ht="31.5">
      <c r="A164" s="500">
        <v>54</v>
      </c>
      <c r="B164" s="509"/>
      <c r="C164" s="502" t="s">
        <v>190</v>
      </c>
      <c r="D164" s="502"/>
      <c r="E164" s="510" t="s">
        <v>190</v>
      </c>
      <c r="F164" s="512" t="s">
        <v>351</v>
      </c>
      <c r="G164" s="510" t="s">
        <v>192</v>
      </c>
      <c r="H164" s="504"/>
      <c r="I164" s="504"/>
      <c r="J164" s="504"/>
      <c r="K164" s="504"/>
      <c r="L164" s="504"/>
      <c r="M164" s="504"/>
      <c r="N164" s="504"/>
      <c r="O164" s="504"/>
      <c r="P164" s="504">
        <f>ROUND(SUM(O164:O165),4)</f>
        <v>1.26E-2</v>
      </c>
      <c r="Q164" s="507">
        <v>19887100</v>
      </c>
      <c r="R164" s="507"/>
      <c r="S164" s="507">
        <v>2420880</v>
      </c>
      <c r="T164" s="507">
        <v>556468</v>
      </c>
      <c r="U164" s="507">
        <f>ROUND(IF(P43=0,ROUND(P164,4)*Q164,P43*ROUND(P164,4)*Q164),1)</f>
        <v>250577.5</v>
      </c>
      <c r="V164" s="507">
        <f>ROUND(IF(P43=0,ROUND(P164,4)*R164,P43*ROUND(P164,4)*R164),1)</f>
        <v>0</v>
      </c>
      <c r="W164" s="507">
        <f>ROUND(IF(P43=0,ROUND(P164,4)*S164,P43*ROUND(P164,4)*S164),1)</f>
        <v>30503.1</v>
      </c>
      <c r="X164" s="507">
        <f>ROUND(IF(P43=0,ROUND(P164,4)*T164,P43*ROUND(P164,4)*T164),1)</f>
        <v>7011.5</v>
      </c>
      <c r="Y164" s="483"/>
      <c r="Z164" s="483"/>
      <c r="AA164" s="483"/>
      <c r="AB164" s="467" t="s">
        <v>44</v>
      </c>
      <c r="AC164" s="467" t="s">
        <v>45</v>
      </c>
      <c r="AD164" s="469" t="s">
        <v>193</v>
      </c>
      <c r="AE164" s="469" t="s">
        <v>194</v>
      </c>
      <c r="AF164" s="469" t="s">
        <v>195</v>
      </c>
      <c r="AL164" s="467" t="s">
        <v>48</v>
      </c>
    </row>
    <row r="165" spans="1:38" ht="15.75">
      <c r="A165" s="500"/>
      <c r="B165" s="509"/>
      <c r="C165" s="502"/>
      <c r="D165" s="502"/>
      <c r="E165" s="510"/>
      <c r="F165" s="513" t="s">
        <v>352</v>
      </c>
      <c r="G165" s="510"/>
      <c r="H165" s="504"/>
      <c r="I165" s="504"/>
      <c r="J165" s="504"/>
      <c r="K165" s="504"/>
      <c r="L165" s="504"/>
      <c r="M165" s="504"/>
      <c r="N165" s="504"/>
      <c r="O165" s="504">
        <v>1.26E-2</v>
      </c>
      <c r="P165" s="504"/>
      <c r="Q165" s="507"/>
      <c r="R165" s="507"/>
      <c r="S165" s="507"/>
      <c r="T165" s="507"/>
      <c r="U165" s="507"/>
      <c r="V165" s="507"/>
      <c r="W165" s="507"/>
      <c r="X165" s="507"/>
      <c r="Y165" s="483"/>
      <c r="Z165" s="483"/>
      <c r="AA165" s="483"/>
    </row>
    <row r="166" spans="1:38" ht="15.75">
      <c r="A166" s="500">
        <v>55</v>
      </c>
      <c r="B166" s="509"/>
      <c r="C166" s="502" t="s">
        <v>76</v>
      </c>
      <c r="D166" s="502"/>
      <c r="E166" s="510" t="s">
        <v>76</v>
      </c>
      <c r="F166" s="512" t="s">
        <v>1353</v>
      </c>
      <c r="G166" s="510" t="s">
        <v>52</v>
      </c>
      <c r="H166" s="504"/>
      <c r="I166" s="504"/>
      <c r="J166" s="504"/>
      <c r="K166" s="504"/>
      <c r="L166" s="504"/>
      <c r="M166" s="504"/>
      <c r="N166" s="504"/>
      <c r="O166" s="504"/>
      <c r="P166" s="504">
        <f>ROUND(SUM(O166:O167),4)</f>
        <v>1.3599999999999999E-2</v>
      </c>
      <c r="Q166" s="507"/>
      <c r="R166" s="507"/>
      <c r="S166" s="507"/>
      <c r="T166" s="507">
        <v>2296366</v>
      </c>
      <c r="U166" s="507">
        <f>ROUND(IF(P43=0,ROUND(P166,4)*Q166,P43*ROUND(P166,4)*Q166),1)</f>
        <v>0</v>
      </c>
      <c r="V166" s="507">
        <f>ROUND(IF(P43=0,ROUND(P166,4)*R166,P43*ROUND(P166,4)*R166),1)</f>
        <v>0</v>
      </c>
      <c r="W166" s="507">
        <f>ROUND(IF(P43=0,ROUND(P166,4)*S166,P43*ROUND(P166,4)*S166),1)</f>
        <v>0</v>
      </c>
      <c r="X166" s="507">
        <f>ROUND(IF(P43=0,ROUND(P166,4)*T166,P43*ROUND(P166,4)*T166),1)</f>
        <v>31230.6</v>
      </c>
      <c r="Y166" s="483"/>
      <c r="Z166" s="483"/>
      <c r="AA166" s="483"/>
      <c r="AB166" s="467" t="s">
        <v>44</v>
      </c>
      <c r="AC166" s="467" t="s">
        <v>45</v>
      </c>
      <c r="AF166" s="469" t="s">
        <v>78</v>
      </c>
      <c r="AL166" s="467" t="s">
        <v>48</v>
      </c>
    </row>
    <row r="167" spans="1:38" ht="15.75">
      <c r="A167" s="500"/>
      <c r="B167" s="509"/>
      <c r="C167" s="502"/>
      <c r="D167" s="502"/>
      <c r="E167" s="510"/>
      <c r="F167" s="513" t="s">
        <v>332</v>
      </c>
      <c r="G167" s="510"/>
      <c r="H167" s="504"/>
      <c r="I167" s="504"/>
      <c r="J167" s="504"/>
      <c r="K167" s="504"/>
      <c r="L167" s="504"/>
      <c r="M167" s="504"/>
      <c r="N167" s="504"/>
      <c r="O167" s="504">
        <v>1.3599999999999999E-2</v>
      </c>
      <c r="P167" s="504"/>
      <c r="Q167" s="507"/>
      <c r="R167" s="507"/>
      <c r="S167" s="507"/>
      <c r="T167" s="507"/>
      <c r="U167" s="507"/>
      <c r="V167" s="507"/>
      <c r="W167" s="507"/>
      <c r="X167" s="507"/>
      <c r="Y167" s="483"/>
      <c r="Z167" s="483"/>
      <c r="AA167" s="483"/>
    </row>
    <row r="168" spans="1:38" ht="31.5">
      <c r="A168" s="471">
        <v>56</v>
      </c>
      <c r="B168" s="481"/>
      <c r="C168" s="473" t="s">
        <v>80</v>
      </c>
      <c r="D168" s="473"/>
      <c r="E168" s="482" t="s">
        <v>80</v>
      </c>
      <c r="F168" s="484" t="s">
        <v>81</v>
      </c>
      <c r="G168" s="482" t="s">
        <v>52</v>
      </c>
      <c r="H168" s="475"/>
      <c r="I168" s="475"/>
      <c r="J168" s="475"/>
      <c r="K168" s="475"/>
      <c r="L168" s="475"/>
      <c r="M168" s="475"/>
      <c r="N168" s="475"/>
      <c r="O168" s="475"/>
      <c r="P168" s="475">
        <f>ROUND(SUM(O168:O169),4)</f>
        <v>1.3599999999999999E-2</v>
      </c>
      <c r="Q168" s="477"/>
      <c r="R168" s="477"/>
      <c r="S168" s="477"/>
      <c r="T168" s="477">
        <f>881224*AA168</f>
        <v>3524896</v>
      </c>
      <c r="U168" s="477">
        <f>ROUND(IF(P43=0,ROUND(P168,4)*Q168,P43*ROUND(P168,4)*Q168),1)</f>
        <v>0</v>
      </c>
      <c r="V168" s="477">
        <f>ROUND(IF(P43=0,ROUND(P168,4)*R168,P43*ROUND(P168,4)*R168),1)</f>
        <v>0</v>
      </c>
      <c r="W168" s="477">
        <f>ROUND(IF(P43=0,ROUND(P168,4)*S168,P43*ROUND(P168,4)*S168),1)</f>
        <v>0</v>
      </c>
      <c r="X168" s="477">
        <f>ROUND(IF(P43=0,ROUND(P168,4)*T168,P43*ROUND(P168,4)*T168),1)</f>
        <v>47938.6</v>
      </c>
      <c r="Y168" s="483"/>
      <c r="Z168" s="483"/>
      <c r="AA168" s="483">
        <v>4</v>
      </c>
      <c r="AB168" s="467" t="s">
        <v>44</v>
      </c>
      <c r="AC168" s="467" t="s">
        <v>45</v>
      </c>
      <c r="AF168" s="469" t="s">
        <v>82</v>
      </c>
      <c r="AL168" s="467" t="s">
        <v>48</v>
      </c>
    </row>
    <row r="169" spans="1:38" ht="15.75">
      <c r="A169" s="471"/>
      <c r="B169" s="481"/>
      <c r="C169" s="473"/>
      <c r="D169" s="473"/>
      <c r="E169" s="482"/>
      <c r="F169" s="485">
        <f>P166</f>
        <v>1.3599999999999999E-2</v>
      </c>
      <c r="G169" s="482"/>
      <c r="H169" s="475"/>
      <c r="I169" s="475"/>
      <c r="J169" s="475"/>
      <c r="K169" s="475"/>
      <c r="L169" s="475"/>
      <c r="M169" s="475"/>
      <c r="N169" s="475"/>
      <c r="O169" s="475">
        <v>1.3599999999999999E-2</v>
      </c>
      <c r="P169" s="475"/>
      <c r="Q169" s="477"/>
      <c r="R169" s="477"/>
      <c r="S169" s="477"/>
      <c r="T169" s="477"/>
      <c r="U169" s="477"/>
      <c r="V169" s="477"/>
      <c r="W169" s="477"/>
      <c r="X169" s="477"/>
      <c r="Y169" s="483"/>
      <c r="Z169" s="483"/>
      <c r="AA169" s="483"/>
    </row>
    <row r="170" spans="1:38" ht="18.75" hidden="1" customHeight="1">
      <c r="A170" s="471"/>
      <c r="B170" s="472"/>
      <c r="C170" s="473"/>
      <c r="D170" s="473"/>
      <c r="E170" s="474" t="s">
        <v>127</v>
      </c>
      <c r="F170" s="474" t="s">
        <v>353</v>
      </c>
      <c r="G170" s="474"/>
      <c r="H170" s="475"/>
      <c r="I170" s="475"/>
      <c r="J170" s="475"/>
      <c r="K170" s="475"/>
      <c r="L170" s="475"/>
      <c r="M170" s="475"/>
      <c r="N170" s="475"/>
      <c r="O170" s="475"/>
      <c r="P170" s="480"/>
      <c r="Q170" s="476"/>
      <c r="R170" s="477"/>
      <c r="S170" s="476"/>
      <c r="T170" s="476"/>
      <c r="U170" s="476">
        <f>ROUND(SUM(U44:U169),0)</f>
        <v>381460172</v>
      </c>
      <c r="V170" s="477">
        <f>ROUND(SUM(V44:V169),0)</f>
        <v>0</v>
      </c>
      <c r="W170" s="476">
        <f>ROUND(SUM(W44:W169),0)</f>
        <v>136286318</v>
      </c>
      <c r="X170" s="476">
        <f>ROUND(SUM(X44:X169),0)</f>
        <v>44335161</v>
      </c>
      <c r="Y170" s="478"/>
      <c r="Z170" s="478"/>
      <c r="AA170" s="478"/>
    </row>
    <row r="171" spans="1:38" ht="28.5" hidden="1" customHeight="1">
      <c r="A171" s="486"/>
      <c r="B171" s="487"/>
      <c r="C171" s="488"/>
      <c r="D171" s="488"/>
      <c r="E171" s="489" t="s">
        <v>354</v>
      </c>
      <c r="F171" s="489" t="s">
        <v>355</v>
      </c>
      <c r="G171" s="489"/>
      <c r="H171" s="490"/>
      <c r="I171" s="490"/>
      <c r="J171" s="490"/>
      <c r="K171" s="490"/>
      <c r="L171" s="490"/>
      <c r="M171" s="490"/>
      <c r="N171" s="490"/>
      <c r="O171" s="490"/>
      <c r="P171" s="491"/>
      <c r="Q171" s="492"/>
      <c r="R171" s="493"/>
      <c r="S171" s="492"/>
      <c r="T171" s="492"/>
      <c r="U171" s="492" t="e">
        <f>ROUND(#REF!+U170,0)</f>
        <v>#REF!</v>
      </c>
      <c r="V171" s="493" t="e">
        <f>ROUND(#REF!+V170,0)</f>
        <v>#REF!</v>
      </c>
      <c r="W171" s="492" t="e">
        <f>ROUND(#REF!+W170,0)</f>
        <v>#REF!</v>
      </c>
      <c r="X171" s="492" t="e">
        <f>ROUND(#REF!+X170,0)</f>
        <v>#REF!</v>
      </c>
      <c r="Y171" s="494"/>
      <c r="Z171" s="494"/>
      <c r="AA171" s="494"/>
    </row>
    <row r="173" spans="1:38" ht="15" customHeight="1">
      <c r="F173" s="498" t="s">
        <v>1373</v>
      </c>
      <c r="G173" s="962" t="s">
        <v>1385</v>
      </c>
      <c r="H173" s="962"/>
      <c r="I173" s="962"/>
      <c r="J173" s="962"/>
      <c r="K173" s="962"/>
      <c r="L173" s="962"/>
      <c r="M173" s="962"/>
      <c r="N173" s="962"/>
      <c r="O173" s="962"/>
      <c r="P173" s="962"/>
    </row>
    <row r="181" spans="6:16" ht="15" customHeight="1">
      <c r="F181" s="498" t="s">
        <v>1394</v>
      </c>
      <c r="G181" s="962" t="s">
        <v>1393</v>
      </c>
      <c r="H181" s="962"/>
      <c r="I181" s="962"/>
      <c r="J181" s="962"/>
      <c r="K181" s="962"/>
      <c r="L181" s="962"/>
      <c r="M181" s="962"/>
      <c r="N181" s="962"/>
      <c r="O181" s="962"/>
      <c r="P181" s="962"/>
    </row>
  </sheetData>
  <mergeCells count="26">
    <mergeCell ref="L4:L5"/>
    <mergeCell ref="M4:M5"/>
    <mergeCell ref="N4:N5"/>
    <mergeCell ref="G173:P173"/>
    <mergeCell ref="A4:A5"/>
    <mergeCell ref="B4:B5"/>
    <mergeCell ref="C4:C5"/>
    <mergeCell ref="D4:D5"/>
    <mergeCell ref="E4:E5"/>
    <mergeCell ref="F4:F5"/>
    <mergeCell ref="G181:P181"/>
    <mergeCell ref="AD4:AF4"/>
    <mergeCell ref="AG4:AI4"/>
    <mergeCell ref="AJ4:AK4"/>
    <mergeCell ref="A1:X1"/>
    <mergeCell ref="A3:X3"/>
    <mergeCell ref="A2:X2"/>
    <mergeCell ref="O4:O5"/>
    <mergeCell ref="P4:P5"/>
    <mergeCell ref="Q4:T4"/>
    <mergeCell ref="U4:X4"/>
    <mergeCell ref="Y4:AA4"/>
    <mergeCell ref="AB4:AC4"/>
    <mergeCell ref="G4:G5"/>
    <mergeCell ref="H4:H5"/>
    <mergeCell ref="I4:K4"/>
  </mergeCells>
  <pageMargins left="0.98425196850393704" right="0.59055118110236227" top="0.55118110236220474" bottom="0.51181102362204722" header="0.27559055118110237" footer="0.19685039370078741"/>
  <pageSetup paperSize="9" fitToHeight="0" orientation="portrait" blackAndWhite="1"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80"/>
  <sheetViews>
    <sheetView workbookViewId="0">
      <pane ySplit="4" topLeftCell="A5" activePane="bottomLeft" state="frozenSplit"/>
      <selection activeCell="A101" sqref="A101:I101"/>
      <selection pane="bottomLeft" activeCell="A101" sqref="A101:I101"/>
    </sheetView>
  </sheetViews>
  <sheetFormatPr defaultColWidth="10" defaultRowHeight="15" customHeight="1"/>
  <cols>
    <col min="1" max="1" width="10" customWidth="1"/>
    <col min="2" max="2" width="12.5" customWidth="1"/>
    <col min="3" max="3" width="31.83203125" customWidth="1"/>
    <col min="4" max="4" width="11.6640625" customWidth="1"/>
    <col min="5" max="6" width="15" customWidth="1"/>
    <col min="7" max="7" width="9.1640625" customWidth="1"/>
    <col min="8" max="8" width="8.33203125" customWidth="1"/>
    <col min="9" max="9" width="15" customWidth="1"/>
    <col min="10" max="11" width="33.33203125" customWidth="1"/>
  </cols>
  <sheetData>
    <row r="1" spans="1:11" ht="26.25" customHeight="1">
      <c r="A1" s="981" t="s">
        <v>356</v>
      </c>
      <c r="B1" s="982"/>
      <c r="C1" s="982"/>
      <c r="D1" s="982"/>
      <c r="E1" s="982"/>
      <c r="F1" s="982"/>
      <c r="G1" s="982"/>
      <c r="H1" s="982"/>
      <c r="I1" s="982"/>
      <c r="J1" s="982"/>
      <c r="K1" s="982"/>
    </row>
    <row r="2" spans="1:11" ht="32.25" customHeight="1">
      <c r="A2" s="983" t="str">
        <f>'Công trình'!A2</f>
        <v>CÔNG TRÌNH : SỬA CHỮA TUYẾN ĐƯỜNG TỪ NHÀ BÀ TRƯỜNG, TỔ 5 PHƯỜNG VẠN HƯƠNG ĐẾN NHÀ BÀ KIM, TỔ DÂN PHỐ BẮC HẢI PHƯỜNG BÀNG LA</v>
      </c>
      <c r="B2" s="982"/>
      <c r="C2" s="982"/>
      <c r="D2" s="982"/>
      <c r="E2" s="982"/>
      <c r="F2" s="982"/>
      <c r="G2" s="982"/>
      <c r="H2" s="982"/>
      <c r="I2" s="982"/>
      <c r="J2" s="982"/>
      <c r="K2" s="982"/>
    </row>
    <row r="4" spans="1:11" ht="30" customHeight="1">
      <c r="A4" s="4" t="s">
        <v>4</v>
      </c>
      <c r="B4" s="1" t="s">
        <v>357</v>
      </c>
      <c r="C4" s="1" t="s">
        <v>358</v>
      </c>
      <c r="D4" s="1" t="s">
        <v>359</v>
      </c>
      <c r="E4" s="1" t="str">
        <f>"Giá gốc_x000D_
"&amp;'Công trình'!AL1</f>
        <v>Giá gốc_x000D_
(đ)</v>
      </c>
      <c r="F4" s="1" t="str">
        <f>"Giá tháng_x000D_
"&amp;'Công trình'!AL1</f>
        <v>Giá tháng_x000D_
(đ)</v>
      </c>
      <c r="G4" s="1" t="s">
        <v>360</v>
      </c>
      <c r="H4" s="1" t="s">
        <v>361</v>
      </c>
      <c r="I4" s="1" t="str">
        <f>"Giá sau VAT_x000D_
"&amp;'Công trình'!AL1</f>
        <v>Giá sau VAT_x000D_
(đ)</v>
      </c>
      <c r="J4" s="1" t="s">
        <v>362</v>
      </c>
      <c r="K4" s="1" t="s">
        <v>363</v>
      </c>
    </row>
    <row r="5" spans="1:11" ht="16.5" customHeight="1">
      <c r="A5" s="5" t="s">
        <v>364</v>
      </c>
      <c r="B5" s="6"/>
      <c r="C5" s="6" t="s">
        <v>365</v>
      </c>
      <c r="D5" s="6"/>
      <c r="E5" s="7"/>
      <c r="F5" s="8"/>
      <c r="G5" s="9"/>
      <c r="H5" s="10"/>
      <c r="I5" s="7"/>
      <c r="J5" s="10"/>
      <c r="K5" s="11"/>
    </row>
    <row r="6" spans="1:11" ht="16.5" customHeight="1">
      <c r="A6" s="12">
        <v>1</v>
      </c>
      <c r="B6" s="13" t="s">
        <v>366</v>
      </c>
      <c r="C6" s="14" t="s">
        <v>367</v>
      </c>
      <c r="D6" s="13" t="s">
        <v>116</v>
      </c>
      <c r="E6" s="15">
        <v>5000</v>
      </c>
      <c r="F6" s="16">
        <v>12000</v>
      </c>
      <c r="G6" s="17">
        <v>1</v>
      </c>
      <c r="H6" s="18" t="b">
        <v>1</v>
      </c>
      <c r="I6" s="15">
        <v>13200</v>
      </c>
      <c r="J6" s="19" t="s">
        <v>368</v>
      </c>
      <c r="K6" s="20" t="s">
        <v>369</v>
      </c>
    </row>
    <row r="7" spans="1:11" ht="16.5" customHeight="1">
      <c r="A7" s="12">
        <v>2</v>
      </c>
      <c r="B7" s="13" t="s">
        <v>370</v>
      </c>
      <c r="C7" s="14" t="s">
        <v>371</v>
      </c>
      <c r="D7" s="13" t="s">
        <v>43</v>
      </c>
      <c r="E7" s="15">
        <v>140000</v>
      </c>
      <c r="F7" s="16">
        <v>150000</v>
      </c>
      <c r="G7" s="17">
        <v>1</v>
      </c>
      <c r="H7" s="18" t="b">
        <v>1</v>
      </c>
      <c r="I7" s="15">
        <v>170500</v>
      </c>
      <c r="J7" s="19" t="s">
        <v>372</v>
      </c>
      <c r="K7" s="20" t="s">
        <v>369</v>
      </c>
    </row>
    <row r="8" spans="1:11" ht="16.5" customHeight="1">
      <c r="A8" s="12">
        <v>3</v>
      </c>
      <c r="B8" s="13" t="s">
        <v>373</v>
      </c>
      <c r="C8" s="14" t="s">
        <v>374</v>
      </c>
      <c r="D8" s="13" t="s">
        <v>43</v>
      </c>
      <c r="E8" s="15">
        <v>400000</v>
      </c>
      <c r="F8" s="16">
        <v>445000</v>
      </c>
      <c r="G8" s="17">
        <v>1</v>
      </c>
      <c r="H8" s="18" t="b">
        <v>1</v>
      </c>
      <c r="I8" s="15">
        <v>495000</v>
      </c>
      <c r="J8" s="19" t="s">
        <v>375</v>
      </c>
      <c r="K8" s="20" t="s">
        <v>369</v>
      </c>
    </row>
    <row r="9" spans="1:11" ht="16.5" customHeight="1">
      <c r="A9" s="12">
        <v>4</v>
      </c>
      <c r="B9" s="13" t="s">
        <v>376</v>
      </c>
      <c r="C9" s="14" t="s">
        <v>377</v>
      </c>
      <c r="D9" s="13" t="s">
        <v>43</v>
      </c>
      <c r="E9" s="15">
        <v>400000</v>
      </c>
      <c r="F9" s="16">
        <v>445000</v>
      </c>
      <c r="G9" s="17">
        <v>1</v>
      </c>
      <c r="H9" s="18" t="b">
        <v>1</v>
      </c>
      <c r="I9" s="15">
        <v>495000</v>
      </c>
      <c r="J9" s="19" t="s">
        <v>375</v>
      </c>
      <c r="K9" s="20" t="s">
        <v>369</v>
      </c>
    </row>
    <row r="10" spans="1:11" ht="16.5" customHeight="1">
      <c r="A10" s="12">
        <v>5</v>
      </c>
      <c r="B10" s="13" t="s">
        <v>378</v>
      </c>
      <c r="C10" s="14" t="s">
        <v>379</v>
      </c>
      <c r="D10" s="13" t="s">
        <v>43</v>
      </c>
      <c r="E10" s="15">
        <v>450000</v>
      </c>
      <c r="F10" s="16">
        <v>480000</v>
      </c>
      <c r="G10" s="17">
        <v>1</v>
      </c>
      <c r="H10" s="18" t="b">
        <v>1</v>
      </c>
      <c r="I10" s="15">
        <v>550000</v>
      </c>
      <c r="J10" s="19" t="s">
        <v>380</v>
      </c>
      <c r="K10" s="20" t="s">
        <v>369</v>
      </c>
    </row>
    <row r="11" spans="1:11" ht="16.5" customHeight="1">
      <c r="A11" s="12">
        <v>6</v>
      </c>
      <c r="B11" s="13" t="s">
        <v>381</v>
      </c>
      <c r="C11" s="14" t="s">
        <v>382</v>
      </c>
      <c r="D11" s="13" t="s">
        <v>43</v>
      </c>
      <c r="E11" s="15">
        <v>184843</v>
      </c>
      <c r="F11" s="16">
        <v>270000</v>
      </c>
      <c r="G11" s="17">
        <v>1</v>
      </c>
      <c r="H11" s="18" t="b">
        <v>1</v>
      </c>
      <c r="I11" s="15">
        <v>313500</v>
      </c>
      <c r="J11" s="19" t="s">
        <v>383</v>
      </c>
      <c r="K11" s="20" t="s">
        <v>369</v>
      </c>
    </row>
    <row r="12" spans="1:11" ht="16.5" customHeight="1">
      <c r="A12" s="12">
        <v>7</v>
      </c>
      <c r="B12" s="13" t="s">
        <v>384</v>
      </c>
      <c r="C12" s="14" t="s">
        <v>385</v>
      </c>
      <c r="D12" s="13" t="s">
        <v>386</v>
      </c>
      <c r="E12" s="15">
        <v>19000</v>
      </c>
      <c r="F12" s="16">
        <v>22000</v>
      </c>
      <c r="G12" s="17">
        <v>1</v>
      </c>
      <c r="H12" s="18" t="b">
        <v>1</v>
      </c>
      <c r="I12" s="15">
        <v>24200</v>
      </c>
      <c r="J12" s="19" t="s">
        <v>387</v>
      </c>
      <c r="K12" s="20" t="s">
        <v>369</v>
      </c>
    </row>
    <row r="13" spans="1:11" ht="16.5" customHeight="1">
      <c r="A13" s="12">
        <v>8</v>
      </c>
      <c r="B13" s="13" t="s">
        <v>388</v>
      </c>
      <c r="C13" s="14" t="s">
        <v>389</v>
      </c>
      <c r="D13" s="13" t="s">
        <v>116</v>
      </c>
      <c r="E13" s="15">
        <v>3200</v>
      </c>
      <c r="F13" s="16">
        <v>5200</v>
      </c>
      <c r="G13" s="17">
        <v>1</v>
      </c>
      <c r="H13" s="18" t="b">
        <v>1</v>
      </c>
      <c r="I13" s="15">
        <v>5720</v>
      </c>
      <c r="J13" s="19" t="s">
        <v>390</v>
      </c>
      <c r="K13" s="20" t="s">
        <v>369</v>
      </c>
    </row>
    <row r="14" spans="1:11" ht="16.5" customHeight="1">
      <c r="A14" s="12">
        <v>9</v>
      </c>
      <c r="B14" s="13" t="s">
        <v>391</v>
      </c>
      <c r="C14" s="14" t="s">
        <v>392</v>
      </c>
      <c r="D14" s="13" t="s">
        <v>393</v>
      </c>
      <c r="E14" s="15">
        <v>20000</v>
      </c>
      <c r="F14" s="16">
        <v>24000</v>
      </c>
      <c r="G14" s="17">
        <v>1</v>
      </c>
      <c r="H14" s="18" t="b">
        <v>1</v>
      </c>
      <c r="I14" s="15">
        <v>26400</v>
      </c>
      <c r="J14" s="19" t="s">
        <v>394</v>
      </c>
      <c r="K14" s="20" t="s">
        <v>369</v>
      </c>
    </row>
    <row r="15" spans="1:11" ht="16.5" customHeight="1">
      <c r="A15" s="12">
        <v>10</v>
      </c>
      <c r="B15" s="13" t="s">
        <v>395</v>
      </c>
      <c r="C15" s="14" t="s">
        <v>396</v>
      </c>
      <c r="D15" s="13" t="s">
        <v>43</v>
      </c>
      <c r="E15" s="15">
        <v>320000</v>
      </c>
      <c r="F15" s="16">
        <v>340000</v>
      </c>
      <c r="G15" s="17">
        <v>1</v>
      </c>
      <c r="H15" s="18" t="b">
        <v>1</v>
      </c>
      <c r="I15" s="15">
        <v>374000</v>
      </c>
      <c r="J15" s="19" t="s">
        <v>397</v>
      </c>
      <c r="K15" s="20" t="s">
        <v>369</v>
      </c>
    </row>
    <row r="16" spans="1:11" ht="16.5" customHeight="1">
      <c r="A16" s="12">
        <v>11</v>
      </c>
      <c r="B16" s="13" t="s">
        <v>398</v>
      </c>
      <c r="C16" s="14" t="s">
        <v>399</v>
      </c>
      <c r="D16" s="13" t="s">
        <v>43</v>
      </c>
      <c r="E16" s="15">
        <v>320000</v>
      </c>
      <c r="F16" s="16">
        <v>340000</v>
      </c>
      <c r="G16" s="17">
        <v>1</v>
      </c>
      <c r="H16" s="18" t="b">
        <v>1</v>
      </c>
      <c r="I16" s="15">
        <v>374000</v>
      </c>
      <c r="J16" s="19" t="s">
        <v>400</v>
      </c>
      <c r="K16" s="20" t="s">
        <v>369</v>
      </c>
    </row>
    <row r="17" spans="1:11" ht="16.5" customHeight="1">
      <c r="A17" s="12">
        <v>12</v>
      </c>
      <c r="B17" s="13" t="s">
        <v>401</v>
      </c>
      <c r="C17" s="14" t="s">
        <v>402</v>
      </c>
      <c r="D17" s="13" t="s">
        <v>43</v>
      </c>
      <c r="E17" s="15">
        <v>320000</v>
      </c>
      <c r="F17" s="16">
        <v>340000</v>
      </c>
      <c r="G17" s="17">
        <v>1</v>
      </c>
      <c r="H17" s="18" t="b">
        <v>1</v>
      </c>
      <c r="I17" s="15">
        <v>374000</v>
      </c>
      <c r="J17" s="19" t="s">
        <v>403</v>
      </c>
      <c r="K17" s="20" t="s">
        <v>369</v>
      </c>
    </row>
    <row r="18" spans="1:11" ht="16.5" customHeight="1">
      <c r="A18" s="12">
        <v>13</v>
      </c>
      <c r="B18" s="13" t="s">
        <v>404</v>
      </c>
      <c r="C18" s="14" t="s">
        <v>405</v>
      </c>
      <c r="D18" s="13" t="s">
        <v>406</v>
      </c>
      <c r="E18" s="15">
        <v>11667</v>
      </c>
      <c r="F18" s="16">
        <v>35000</v>
      </c>
      <c r="G18" s="17">
        <v>1</v>
      </c>
      <c r="H18" s="18" t="b">
        <v>1</v>
      </c>
      <c r="I18" s="15">
        <v>38500</v>
      </c>
      <c r="J18" s="19" t="s">
        <v>407</v>
      </c>
      <c r="K18" s="20" t="s">
        <v>369</v>
      </c>
    </row>
    <row r="19" spans="1:11" ht="16.5" customHeight="1">
      <c r="A19" s="12">
        <v>14</v>
      </c>
      <c r="B19" s="13" t="s">
        <v>408</v>
      </c>
      <c r="C19" s="14" t="s">
        <v>409</v>
      </c>
      <c r="D19" s="13" t="s">
        <v>393</v>
      </c>
      <c r="E19" s="15">
        <v>23000</v>
      </c>
      <c r="F19" s="21">
        <v>23000</v>
      </c>
      <c r="G19" s="17">
        <v>1</v>
      </c>
      <c r="H19" s="18" t="b">
        <v>1</v>
      </c>
      <c r="I19" s="15">
        <v>25300</v>
      </c>
      <c r="J19" s="19" t="s">
        <v>410</v>
      </c>
      <c r="K19" s="20" t="s">
        <v>369</v>
      </c>
    </row>
    <row r="20" spans="1:11" ht="16.5" customHeight="1">
      <c r="A20" s="12">
        <v>15</v>
      </c>
      <c r="B20" s="13" t="s">
        <v>411</v>
      </c>
      <c r="C20" s="14" t="s">
        <v>412</v>
      </c>
      <c r="D20" s="13" t="s">
        <v>406</v>
      </c>
      <c r="E20" s="15">
        <v>900</v>
      </c>
      <c r="F20" s="16">
        <v>1250</v>
      </c>
      <c r="G20" s="17">
        <v>1</v>
      </c>
      <c r="H20" s="18" t="b">
        <v>1</v>
      </c>
      <c r="I20" s="15">
        <v>1375</v>
      </c>
      <c r="J20" s="19" t="s">
        <v>413</v>
      </c>
      <c r="K20" s="20" t="s">
        <v>369</v>
      </c>
    </row>
    <row r="21" spans="1:11" ht="16.5" customHeight="1">
      <c r="A21" s="12">
        <v>16</v>
      </c>
      <c r="B21" s="13" t="s">
        <v>414</v>
      </c>
      <c r="C21" s="14" t="s">
        <v>415</v>
      </c>
      <c r="D21" s="13" t="s">
        <v>43</v>
      </c>
      <c r="E21" s="15">
        <v>3409091</v>
      </c>
      <c r="F21" s="16">
        <v>4318182</v>
      </c>
      <c r="G21" s="17">
        <v>1</v>
      </c>
      <c r="H21" s="18" t="b">
        <v>1</v>
      </c>
      <c r="I21" s="15">
        <v>4750000.2</v>
      </c>
      <c r="J21" s="19" t="s">
        <v>416</v>
      </c>
      <c r="K21" s="20" t="s">
        <v>369</v>
      </c>
    </row>
    <row r="22" spans="1:11" ht="16.5" customHeight="1">
      <c r="A22" s="12">
        <v>17</v>
      </c>
      <c r="B22" s="13" t="s">
        <v>417</v>
      </c>
      <c r="C22" s="14" t="s">
        <v>418</v>
      </c>
      <c r="D22" s="13" t="s">
        <v>43</v>
      </c>
      <c r="E22" s="15">
        <v>3409091</v>
      </c>
      <c r="F22" s="16">
        <v>4318182</v>
      </c>
      <c r="G22" s="17">
        <v>1</v>
      </c>
      <c r="H22" s="18" t="b">
        <v>1</v>
      </c>
      <c r="I22" s="15">
        <v>4750000.2</v>
      </c>
      <c r="J22" s="19" t="s">
        <v>419</v>
      </c>
      <c r="K22" s="20" t="s">
        <v>369</v>
      </c>
    </row>
    <row r="23" spans="1:11" ht="16.5" customHeight="1">
      <c r="A23" s="12">
        <v>18</v>
      </c>
      <c r="B23" s="13" t="s">
        <v>420</v>
      </c>
      <c r="C23" s="14" t="s">
        <v>421</v>
      </c>
      <c r="D23" s="13" t="s">
        <v>43</v>
      </c>
      <c r="E23" s="15">
        <v>3409091</v>
      </c>
      <c r="F23" s="16">
        <v>4318182</v>
      </c>
      <c r="G23" s="17">
        <v>1</v>
      </c>
      <c r="H23" s="18" t="b">
        <v>1</v>
      </c>
      <c r="I23" s="15">
        <v>4750000.2</v>
      </c>
      <c r="J23" s="19" t="s">
        <v>422</v>
      </c>
      <c r="K23" s="20" t="s">
        <v>369</v>
      </c>
    </row>
    <row r="24" spans="1:11" ht="16.5" customHeight="1">
      <c r="A24" s="12">
        <v>19</v>
      </c>
      <c r="B24" s="13" t="s">
        <v>423</v>
      </c>
      <c r="C24" s="14" t="s">
        <v>424</v>
      </c>
      <c r="D24" s="13" t="s">
        <v>43</v>
      </c>
      <c r="E24" s="15">
        <v>3409091</v>
      </c>
      <c r="F24" s="16">
        <v>4318182</v>
      </c>
      <c r="G24" s="17">
        <v>1</v>
      </c>
      <c r="H24" s="18" t="b">
        <v>1</v>
      </c>
      <c r="I24" s="15">
        <v>4750000.2</v>
      </c>
      <c r="J24" s="19" t="s">
        <v>422</v>
      </c>
      <c r="K24" s="20" t="s">
        <v>369</v>
      </c>
    </row>
    <row r="25" spans="1:11" ht="16.5" customHeight="1">
      <c r="A25" s="12">
        <v>20</v>
      </c>
      <c r="B25" s="13" t="s">
        <v>425</v>
      </c>
      <c r="C25" s="14" t="s">
        <v>426</v>
      </c>
      <c r="D25" s="13" t="s">
        <v>427</v>
      </c>
      <c r="E25" s="15">
        <v>60000</v>
      </c>
      <c r="F25" s="16">
        <v>120000</v>
      </c>
      <c r="G25" s="17">
        <v>1</v>
      </c>
      <c r="H25" s="18" t="b">
        <v>1</v>
      </c>
      <c r="I25" s="15">
        <v>132000</v>
      </c>
      <c r="J25" s="19" t="s">
        <v>428</v>
      </c>
      <c r="K25" s="20" t="s">
        <v>369</v>
      </c>
    </row>
    <row r="26" spans="1:11" ht="16.5" customHeight="1">
      <c r="A26" s="12">
        <v>21</v>
      </c>
      <c r="B26" s="13" t="s">
        <v>429</v>
      </c>
      <c r="C26" s="14" t="s">
        <v>430</v>
      </c>
      <c r="D26" s="13" t="s">
        <v>393</v>
      </c>
      <c r="E26" s="15">
        <v>20278</v>
      </c>
      <c r="F26" s="16">
        <v>35000</v>
      </c>
      <c r="G26" s="17">
        <v>1</v>
      </c>
      <c r="H26" s="18" t="b">
        <v>1</v>
      </c>
      <c r="I26" s="15">
        <v>38500</v>
      </c>
      <c r="J26" s="19" t="s">
        <v>431</v>
      </c>
      <c r="K26" s="20" t="s">
        <v>369</v>
      </c>
    </row>
    <row r="27" spans="1:11" ht="16.5" customHeight="1">
      <c r="A27" s="12">
        <v>22</v>
      </c>
      <c r="B27" s="13" t="s">
        <v>432</v>
      </c>
      <c r="C27" s="14" t="s">
        <v>433</v>
      </c>
      <c r="D27" s="13" t="s">
        <v>393</v>
      </c>
      <c r="E27" s="15">
        <v>4700</v>
      </c>
      <c r="F27" s="21">
        <v>4700</v>
      </c>
      <c r="G27" s="17">
        <v>1</v>
      </c>
      <c r="H27" s="18" t="b">
        <v>1</v>
      </c>
      <c r="I27" s="15">
        <v>5170</v>
      </c>
      <c r="J27" s="19" t="s">
        <v>434</v>
      </c>
      <c r="K27" s="20" t="s">
        <v>369</v>
      </c>
    </row>
    <row r="28" spans="1:11" ht="16.5" customHeight="1">
      <c r="A28" s="12">
        <v>23</v>
      </c>
      <c r="B28" s="13" t="s">
        <v>435</v>
      </c>
      <c r="C28" s="14" t="s">
        <v>436</v>
      </c>
      <c r="D28" s="13" t="s">
        <v>393</v>
      </c>
      <c r="E28" s="15">
        <v>20000</v>
      </c>
      <c r="F28" s="21">
        <v>20000</v>
      </c>
      <c r="G28" s="17">
        <v>1</v>
      </c>
      <c r="H28" s="18" t="b">
        <v>1</v>
      </c>
      <c r="I28" s="15">
        <v>22000</v>
      </c>
      <c r="J28" s="19" t="s">
        <v>437</v>
      </c>
      <c r="K28" s="20" t="s">
        <v>369</v>
      </c>
    </row>
    <row r="29" spans="1:11" ht="16.5" customHeight="1">
      <c r="A29" s="12">
        <v>24</v>
      </c>
      <c r="B29" s="13" t="s">
        <v>438</v>
      </c>
      <c r="C29" s="14" t="s">
        <v>439</v>
      </c>
      <c r="D29" s="13" t="s">
        <v>393</v>
      </c>
      <c r="E29" s="15">
        <v>233</v>
      </c>
      <c r="F29" s="21">
        <v>233</v>
      </c>
      <c r="G29" s="17">
        <v>1</v>
      </c>
      <c r="H29" s="18" t="b">
        <v>1</v>
      </c>
      <c r="I29" s="15">
        <v>256.3</v>
      </c>
      <c r="J29" s="19" t="s">
        <v>440</v>
      </c>
      <c r="K29" s="20" t="s">
        <v>369</v>
      </c>
    </row>
    <row r="30" spans="1:11" ht="16.5" customHeight="1">
      <c r="A30" s="12">
        <v>25</v>
      </c>
      <c r="B30" s="13" t="s">
        <v>441</v>
      </c>
      <c r="C30" s="14" t="s">
        <v>442</v>
      </c>
      <c r="D30" s="13" t="s">
        <v>109</v>
      </c>
      <c r="E30" s="15">
        <v>11100</v>
      </c>
      <c r="F30" s="22">
        <v>10500</v>
      </c>
      <c r="G30" s="17">
        <v>1</v>
      </c>
      <c r="H30" s="18" t="b">
        <v>1</v>
      </c>
      <c r="I30" s="15">
        <v>11550</v>
      </c>
      <c r="J30" s="19" t="s">
        <v>443</v>
      </c>
      <c r="K30" s="20" t="s">
        <v>369</v>
      </c>
    </row>
    <row r="31" spans="1:11" ht="16.5" customHeight="1">
      <c r="A31" s="12">
        <v>26</v>
      </c>
      <c r="B31" s="13" t="s">
        <v>444</v>
      </c>
      <c r="C31" s="14" t="s">
        <v>445</v>
      </c>
      <c r="D31" s="13" t="s">
        <v>446</v>
      </c>
      <c r="E31" s="15">
        <v>12</v>
      </c>
      <c r="F31" s="16">
        <v>20</v>
      </c>
      <c r="G31" s="17">
        <v>1</v>
      </c>
      <c r="H31" s="18" t="b">
        <v>1</v>
      </c>
      <c r="I31" s="15">
        <v>22</v>
      </c>
      <c r="J31" s="19" t="s">
        <v>447</v>
      </c>
      <c r="K31" s="20" t="s">
        <v>369</v>
      </c>
    </row>
    <row r="32" spans="1:11" ht="16.5" customHeight="1">
      <c r="A32" s="12">
        <v>27</v>
      </c>
      <c r="B32" s="13" t="s">
        <v>444</v>
      </c>
      <c r="C32" s="14" t="s">
        <v>445</v>
      </c>
      <c r="D32" s="13" t="s">
        <v>446</v>
      </c>
      <c r="E32" s="15">
        <v>12</v>
      </c>
      <c r="F32" s="16">
        <v>20</v>
      </c>
      <c r="G32" s="17">
        <v>1</v>
      </c>
      <c r="H32" s="18" t="b">
        <v>1</v>
      </c>
      <c r="I32" s="15">
        <v>22</v>
      </c>
      <c r="J32" s="19" t="s">
        <v>448</v>
      </c>
      <c r="K32" s="20" t="s">
        <v>369</v>
      </c>
    </row>
    <row r="33" spans="1:11" ht="16.5" customHeight="1">
      <c r="A33" s="12">
        <v>28</v>
      </c>
      <c r="B33" s="13" t="s">
        <v>449</v>
      </c>
      <c r="C33" s="14" t="s">
        <v>450</v>
      </c>
      <c r="D33" s="13" t="s">
        <v>393</v>
      </c>
      <c r="E33" s="15">
        <v>15300</v>
      </c>
      <c r="F33" s="16">
        <v>17100</v>
      </c>
      <c r="G33" s="17">
        <v>1</v>
      </c>
      <c r="H33" s="18" t="b">
        <v>1</v>
      </c>
      <c r="I33" s="15">
        <v>18810</v>
      </c>
      <c r="J33" s="19" t="s">
        <v>451</v>
      </c>
      <c r="K33" s="20" t="s">
        <v>369</v>
      </c>
    </row>
    <row r="34" spans="1:11" ht="16.5" customHeight="1">
      <c r="A34" s="12">
        <v>29</v>
      </c>
      <c r="B34" s="13" t="s">
        <v>452</v>
      </c>
      <c r="C34" s="14" t="s">
        <v>453</v>
      </c>
      <c r="D34" s="13" t="s">
        <v>454</v>
      </c>
      <c r="E34" s="15">
        <v>53333</v>
      </c>
      <c r="F34" s="16">
        <v>83000</v>
      </c>
      <c r="G34" s="17">
        <v>1</v>
      </c>
      <c r="H34" s="18" t="b">
        <v>1</v>
      </c>
      <c r="I34" s="15">
        <v>91300</v>
      </c>
      <c r="J34" s="19" t="s">
        <v>455</v>
      </c>
      <c r="K34" s="20" t="s">
        <v>369</v>
      </c>
    </row>
    <row r="35" spans="1:11" ht="16.5" customHeight="1">
      <c r="A35" s="12">
        <v>30</v>
      </c>
      <c r="B35" s="13" t="s">
        <v>456</v>
      </c>
      <c r="C35" s="14" t="s">
        <v>457</v>
      </c>
      <c r="D35" s="13" t="s">
        <v>458</v>
      </c>
      <c r="E35" s="15">
        <v>792000</v>
      </c>
      <c r="F35" s="16">
        <v>890000</v>
      </c>
      <c r="G35" s="17">
        <v>1</v>
      </c>
      <c r="H35" s="18" t="b">
        <v>1</v>
      </c>
      <c r="I35" s="15">
        <v>979000</v>
      </c>
      <c r="J35" s="19" t="s">
        <v>459</v>
      </c>
      <c r="K35" s="20" t="s">
        <v>369</v>
      </c>
    </row>
    <row r="36" spans="1:11" ht="16.5" customHeight="1">
      <c r="A36" s="12">
        <v>31</v>
      </c>
      <c r="B36" s="13" t="s">
        <v>460</v>
      </c>
      <c r="C36" s="14" t="s">
        <v>461</v>
      </c>
      <c r="D36" s="13" t="s">
        <v>116</v>
      </c>
      <c r="E36" s="15">
        <v>12818</v>
      </c>
      <c r="F36" s="16">
        <v>18500</v>
      </c>
      <c r="G36" s="17">
        <v>1</v>
      </c>
      <c r="H36" s="18" t="b">
        <v>1</v>
      </c>
      <c r="I36" s="15">
        <v>20350</v>
      </c>
      <c r="J36" s="19" t="s">
        <v>462</v>
      </c>
      <c r="K36" s="20" t="s">
        <v>369</v>
      </c>
    </row>
    <row r="37" spans="1:11" ht="16.5" customHeight="1">
      <c r="A37" s="12">
        <v>32</v>
      </c>
      <c r="B37" s="13" t="s">
        <v>463</v>
      </c>
      <c r="C37" s="14" t="s">
        <v>464</v>
      </c>
      <c r="D37" s="13" t="s">
        <v>393</v>
      </c>
      <c r="E37" s="15">
        <v>25000</v>
      </c>
      <c r="F37" s="21">
        <v>25000</v>
      </c>
      <c r="G37" s="17">
        <v>1</v>
      </c>
      <c r="H37" s="18" t="b">
        <v>1</v>
      </c>
      <c r="I37" s="15">
        <v>27500</v>
      </c>
      <c r="J37" s="19" t="s">
        <v>465</v>
      </c>
      <c r="K37" s="20" t="s">
        <v>369</v>
      </c>
    </row>
    <row r="38" spans="1:11" ht="16.5" customHeight="1">
      <c r="A38" s="12">
        <v>33</v>
      </c>
      <c r="B38" s="13" t="s">
        <v>466</v>
      </c>
      <c r="C38" s="14" t="s">
        <v>467</v>
      </c>
      <c r="D38" s="13" t="s">
        <v>393</v>
      </c>
      <c r="E38" s="15">
        <v>19200</v>
      </c>
      <c r="F38" s="16">
        <v>19500</v>
      </c>
      <c r="G38" s="17">
        <v>1</v>
      </c>
      <c r="H38" s="18" t="b">
        <v>1</v>
      </c>
      <c r="I38" s="15">
        <v>21450</v>
      </c>
      <c r="J38" s="19" t="s">
        <v>468</v>
      </c>
      <c r="K38" s="20" t="s">
        <v>369</v>
      </c>
    </row>
    <row r="39" spans="1:11" ht="16.5" customHeight="1">
      <c r="A39" s="12">
        <v>34</v>
      </c>
      <c r="B39" s="13" t="s">
        <v>469</v>
      </c>
      <c r="C39" s="14" t="s">
        <v>470</v>
      </c>
      <c r="D39" s="13" t="s">
        <v>393</v>
      </c>
      <c r="E39" s="15">
        <v>19250</v>
      </c>
      <c r="F39" s="16">
        <v>19500</v>
      </c>
      <c r="G39" s="17">
        <v>1</v>
      </c>
      <c r="H39" s="18" t="b">
        <v>1</v>
      </c>
      <c r="I39" s="15">
        <v>21450</v>
      </c>
      <c r="J39" s="19" t="s">
        <v>471</v>
      </c>
      <c r="K39" s="20" t="s">
        <v>369</v>
      </c>
    </row>
    <row r="40" spans="1:11" ht="16.5" customHeight="1">
      <c r="A40" s="12">
        <v>35</v>
      </c>
      <c r="B40" s="13" t="s">
        <v>472</v>
      </c>
      <c r="C40" s="14" t="s">
        <v>473</v>
      </c>
      <c r="D40" s="13" t="s">
        <v>393</v>
      </c>
      <c r="E40" s="15">
        <v>19250</v>
      </c>
      <c r="F40" s="16">
        <v>19500</v>
      </c>
      <c r="G40" s="17">
        <v>1</v>
      </c>
      <c r="H40" s="18" t="b">
        <v>1</v>
      </c>
      <c r="I40" s="15">
        <v>21450</v>
      </c>
      <c r="J40" s="19" t="s">
        <v>471</v>
      </c>
      <c r="K40" s="20" t="s">
        <v>369</v>
      </c>
    </row>
    <row r="41" spans="1:11" ht="16.5" customHeight="1">
      <c r="A41" s="12">
        <v>36</v>
      </c>
      <c r="B41" s="13" t="s">
        <v>474</v>
      </c>
      <c r="C41" s="14" t="s">
        <v>475</v>
      </c>
      <c r="D41" s="13" t="s">
        <v>393</v>
      </c>
      <c r="E41" s="15">
        <v>19200</v>
      </c>
      <c r="F41" s="22">
        <v>16500</v>
      </c>
      <c r="G41" s="17">
        <v>1</v>
      </c>
      <c r="H41" s="18" t="b">
        <v>1</v>
      </c>
      <c r="I41" s="15">
        <v>18150</v>
      </c>
      <c r="J41" s="19" t="s">
        <v>476</v>
      </c>
      <c r="K41" s="20" t="s">
        <v>369</v>
      </c>
    </row>
    <row r="42" spans="1:11" ht="54" customHeight="1">
      <c r="A42" s="12">
        <v>37</v>
      </c>
      <c r="B42" s="13" t="s">
        <v>477</v>
      </c>
      <c r="C42" s="14" t="s">
        <v>478</v>
      </c>
      <c r="D42" s="13" t="s">
        <v>393</v>
      </c>
      <c r="E42" s="15">
        <v>19200</v>
      </c>
      <c r="F42" s="22">
        <v>16500</v>
      </c>
      <c r="G42" s="17">
        <v>1</v>
      </c>
      <c r="H42" s="18" t="b">
        <v>1</v>
      </c>
      <c r="I42" s="15">
        <v>18150</v>
      </c>
      <c r="J42" s="19" t="s">
        <v>479</v>
      </c>
      <c r="K42" s="20" t="s">
        <v>480</v>
      </c>
    </row>
    <row r="43" spans="1:11" ht="54" customHeight="1">
      <c r="A43" s="12">
        <v>38</v>
      </c>
      <c r="B43" s="13" t="s">
        <v>481</v>
      </c>
      <c r="C43" s="14" t="s">
        <v>482</v>
      </c>
      <c r="D43" s="13" t="s">
        <v>393</v>
      </c>
      <c r="E43" s="15">
        <v>19200</v>
      </c>
      <c r="F43" s="22">
        <v>16500</v>
      </c>
      <c r="G43" s="17">
        <v>1</v>
      </c>
      <c r="H43" s="18" t="b">
        <v>1</v>
      </c>
      <c r="I43" s="15">
        <v>18150</v>
      </c>
      <c r="J43" s="19" t="s">
        <v>483</v>
      </c>
      <c r="K43" s="20" t="s">
        <v>480</v>
      </c>
    </row>
    <row r="44" spans="1:11" ht="54" customHeight="1">
      <c r="A44" s="12">
        <v>39</v>
      </c>
      <c r="B44" s="13" t="s">
        <v>484</v>
      </c>
      <c r="C44" s="14" t="s">
        <v>485</v>
      </c>
      <c r="D44" s="13" t="s">
        <v>393</v>
      </c>
      <c r="E44" s="15">
        <v>1380</v>
      </c>
      <c r="F44" s="16">
        <v>1481</v>
      </c>
      <c r="G44" s="17">
        <v>0.7</v>
      </c>
      <c r="H44" s="18" t="b">
        <v>1</v>
      </c>
      <c r="I44" s="15">
        <v>1629.1</v>
      </c>
      <c r="J44" s="19" t="s">
        <v>486</v>
      </c>
      <c r="K44" s="20" t="s">
        <v>480</v>
      </c>
    </row>
    <row r="45" spans="1:11" ht="54" customHeight="1">
      <c r="A45" s="12">
        <v>40</v>
      </c>
      <c r="B45" s="13" t="s">
        <v>484</v>
      </c>
      <c r="C45" s="14" t="s">
        <v>485</v>
      </c>
      <c r="D45" s="13" t="s">
        <v>393</v>
      </c>
      <c r="E45" s="15">
        <v>1380</v>
      </c>
      <c r="F45" s="16">
        <v>1481</v>
      </c>
      <c r="G45" s="17">
        <v>1</v>
      </c>
      <c r="H45" s="18" t="b">
        <v>1</v>
      </c>
      <c r="I45" s="15">
        <v>1629.1</v>
      </c>
      <c r="J45" s="19" t="s">
        <v>486</v>
      </c>
      <c r="K45" s="20" t="s">
        <v>480</v>
      </c>
    </row>
    <row r="46" spans="1:11" ht="54" customHeight="1">
      <c r="A46" s="23">
        <v>41</v>
      </c>
      <c r="B46" s="24" t="s">
        <v>487</v>
      </c>
      <c r="C46" s="25" t="s">
        <v>488</v>
      </c>
      <c r="D46" s="24" t="s">
        <v>393</v>
      </c>
      <c r="E46" s="26">
        <v>1398</v>
      </c>
      <c r="F46" s="27">
        <v>1500</v>
      </c>
      <c r="G46" s="28">
        <v>1</v>
      </c>
      <c r="H46" s="29" t="b">
        <v>1</v>
      </c>
      <c r="I46" s="26">
        <v>1650</v>
      </c>
      <c r="J46" s="30" t="s">
        <v>489</v>
      </c>
      <c r="K46" s="31" t="s">
        <v>480</v>
      </c>
    </row>
    <row r="47" spans="1:11" ht="16.5" customHeight="1">
      <c r="A47" s="5" t="s">
        <v>490</v>
      </c>
      <c r="B47" s="6"/>
      <c r="C47" s="6" t="s">
        <v>491</v>
      </c>
      <c r="D47" s="6"/>
      <c r="E47" s="7"/>
      <c r="F47" s="8"/>
      <c r="G47" s="9"/>
      <c r="H47" s="10"/>
      <c r="I47" s="7"/>
      <c r="J47" s="10"/>
      <c r="K47" s="11"/>
    </row>
    <row r="48" spans="1:11" ht="16.5" customHeight="1">
      <c r="A48" s="12">
        <v>1</v>
      </c>
      <c r="B48" s="13" t="s">
        <v>492</v>
      </c>
      <c r="C48" s="14" t="s">
        <v>493</v>
      </c>
      <c r="D48" s="13" t="s">
        <v>494</v>
      </c>
      <c r="E48" s="15">
        <v>221303</v>
      </c>
      <c r="F48" s="32">
        <f>'Nhân công'!T8</f>
        <v>221303</v>
      </c>
      <c r="G48" s="17">
        <v>1</v>
      </c>
      <c r="H48" s="18" t="b">
        <v>1</v>
      </c>
      <c r="I48" s="15"/>
      <c r="J48" s="19" t="s">
        <v>492</v>
      </c>
      <c r="K48" s="20" t="s">
        <v>369</v>
      </c>
    </row>
    <row r="49" spans="1:11" ht="16.5" customHeight="1">
      <c r="A49" s="12">
        <v>2</v>
      </c>
      <c r="B49" s="13" t="s">
        <v>495</v>
      </c>
      <c r="C49" s="14" t="s">
        <v>496</v>
      </c>
      <c r="D49" s="13" t="s">
        <v>494</v>
      </c>
      <c r="E49" s="15">
        <v>239592</v>
      </c>
      <c r="F49" s="32">
        <f>'Nhân công'!T9</f>
        <v>239592</v>
      </c>
      <c r="G49" s="17">
        <v>1</v>
      </c>
      <c r="H49" s="18" t="b">
        <v>1</v>
      </c>
      <c r="I49" s="15"/>
      <c r="J49" s="19" t="s">
        <v>495</v>
      </c>
      <c r="K49" s="20" t="s">
        <v>369</v>
      </c>
    </row>
    <row r="50" spans="1:11" ht="16.5" customHeight="1">
      <c r="A50" s="12">
        <v>3</v>
      </c>
      <c r="B50" s="13" t="s">
        <v>497</v>
      </c>
      <c r="C50" s="14" t="s">
        <v>498</v>
      </c>
      <c r="D50" s="13" t="s">
        <v>494</v>
      </c>
      <c r="E50" s="15">
        <v>242000</v>
      </c>
      <c r="F50" s="32">
        <f>'Nhân công'!T10</f>
        <v>242000</v>
      </c>
      <c r="G50" s="17">
        <v>1</v>
      </c>
      <c r="H50" s="18" t="b">
        <v>1</v>
      </c>
      <c r="I50" s="15"/>
      <c r="J50" s="19" t="s">
        <v>497</v>
      </c>
      <c r="K50" s="20" t="s">
        <v>369</v>
      </c>
    </row>
    <row r="51" spans="1:11" ht="16.5" customHeight="1">
      <c r="A51" s="12">
        <v>4</v>
      </c>
      <c r="B51" s="13" t="s">
        <v>499</v>
      </c>
      <c r="C51" s="14" t="s">
        <v>500</v>
      </c>
      <c r="D51" s="13" t="s">
        <v>494</v>
      </c>
      <c r="E51" s="15">
        <v>262000</v>
      </c>
      <c r="F51" s="32">
        <f>'Nhân công'!T11</f>
        <v>262000</v>
      </c>
      <c r="G51" s="17">
        <v>1</v>
      </c>
      <c r="H51" s="18" t="b">
        <v>1</v>
      </c>
      <c r="I51" s="15"/>
      <c r="J51" s="19" t="s">
        <v>499</v>
      </c>
      <c r="K51" s="20" t="s">
        <v>369</v>
      </c>
    </row>
    <row r="52" spans="1:11" ht="16.5" customHeight="1">
      <c r="A52" s="12">
        <v>5</v>
      </c>
      <c r="B52" s="13" t="s">
        <v>501</v>
      </c>
      <c r="C52" s="14" t="s">
        <v>502</v>
      </c>
      <c r="D52" s="13" t="s">
        <v>494</v>
      </c>
      <c r="E52" s="15">
        <v>284408</v>
      </c>
      <c r="F52" s="32">
        <f>'Nhân công'!T12</f>
        <v>284408</v>
      </c>
      <c r="G52" s="17">
        <v>0.5</v>
      </c>
      <c r="H52" s="18" t="b">
        <v>1</v>
      </c>
      <c r="I52" s="15"/>
      <c r="J52" s="19" t="s">
        <v>501</v>
      </c>
      <c r="K52" s="20" t="s">
        <v>369</v>
      </c>
    </row>
    <row r="53" spans="1:11" ht="16.5" customHeight="1">
      <c r="A53" s="23">
        <v>6</v>
      </c>
      <c r="B53" s="24" t="s">
        <v>501</v>
      </c>
      <c r="C53" s="25" t="s">
        <v>502</v>
      </c>
      <c r="D53" s="24" t="s">
        <v>494</v>
      </c>
      <c r="E53" s="26">
        <v>284408</v>
      </c>
      <c r="F53" s="33">
        <f>'Nhân công'!T12</f>
        <v>284408</v>
      </c>
      <c r="G53" s="28">
        <v>1</v>
      </c>
      <c r="H53" s="29" t="b">
        <v>1</v>
      </c>
      <c r="I53" s="26"/>
      <c r="J53" s="30" t="s">
        <v>501</v>
      </c>
      <c r="K53" s="31" t="s">
        <v>369</v>
      </c>
    </row>
    <row r="54" spans="1:11" ht="16.5" customHeight="1">
      <c r="A54" s="5" t="s">
        <v>503</v>
      </c>
      <c r="B54" s="6"/>
      <c r="C54" s="6" t="s">
        <v>504</v>
      </c>
      <c r="D54" s="6"/>
      <c r="E54" s="7"/>
      <c r="F54" s="8"/>
      <c r="G54" s="9"/>
      <c r="H54" s="10"/>
      <c r="I54" s="7"/>
      <c r="J54" s="10"/>
      <c r="K54" s="11"/>
    </row>
    <row r="55" spans="1:11" ht="28.5" customHeight="1">
      <c r="A55" s="12">
        <v>1</v>
      </c>
      <c r="B55" s="13" t="s">
        <v>505</v>
      </c>
      <c r="C55" s="14" t="s">
        <v>506</v>
      </c>
      <c r="D55" s="13" t="s">
        <v>309</v>
      </c>
      <c r="E55" s="15">
        <v>1756646</v>
      </c>
      <c r="F55" s="16">
        <f>Máy!K6</f>
        <v>1764371</v>
      </c>
      <c r="G55" s="17">
        <v>1</v>
      </c>
      <c r="H55" s="18" t="b">
        <v>1</v>
      </c>
      <c r="I55" s="15"/>
      <c r="J55" s="19" t="s">
        <v>507</v>
      </c>
      <c r="K55" s="20" t="s">
        <v>508</v>
      </c>
    </row>
    <row r="56" spans="1:11" ht="28.5" customHeight="1">
      <c r="A56" s="12">
        <v>2</v>
      </c>
      <c r="B56" s="13" t="s">
        <v>509</v>
      </c>
      <c r="C56" s="14" t="s">
        <v>510</v>
      </c>
      <c r="D56" s="13" t="s">
        <v>309</v>
      </c>
      <c r="E56" s="15">
        <v>281286</v>
      </c>
      <c r="F56" s="22">
        <f>Máy!K18</f>
        <v>279591</v>
      </c>
      <c r="G56" s="17">
        <v>1</v>
      </c>
      <c r="H56" s="18" t="b">
        <v>1</v>
      </c>
      <c r="I56" s="15"/>
      <c r="J56" s="19" t="s">
        <v>511</v>
      </c>
      <c r="K56" s="20" t="s">
        <v>508</v>
      </c>
    </row>
    <row r="57" spans="1:11" ht="28.5" customHeight="1">
      <c r="A57" s="12">
        <v>3</v>
      </c>
      <c r="B57" s="13" t="s">
        <v>512</v>
      </c>
      <c r="C57" s="14" t="s">
        <v>513</v>
      </c>
      <c r="D57" s="13" t="s">
        <v>309</v>
      </c>
      <c r="E57" s="15">
        <v>4267355</v>
      </c>
      <c r="F57" s="16">
        <f>Máy!K28</f>
        <v>4293002</v>
      </c>
      <c r="G57" s="17">
        <v>1</v>
      </c>
      <c r="H57" s="18" t="b">
        <v>1</v>
      </c>
      <c r="I57" s="15"/>
      <c r="J57" s="19" t="s">
        <v>514</v>
      </c>
      <c r="K57" s="20" t="s">
        <v>508</v>
      </c>
    </row>
    <row r="58" spans="1:11" ht="28.5" customHeight="1">
      <c r="A58" s="12">
        <v>4</v>
      </c>
      <c r="B58" s="13" t="s">
        <v>515</v>
      </c>
      <c r="C58" s="14" t="s">
        <v>516</v>
      </c>
      <c r="D58" s="13" t="s">
        <v>309</v>
      </c>
      <c r="E58" s="15">
        <v>2068759</v>
      </c>
      <c r="F58" s="16">
        <f>Máy!K38</f>
        <v>2082046</v>
      </c>
      <c r="G58" s="17">
        <v>1</v>
      </c>
      <c r="H58" s="18" t="b">
        <v>1</v>
      </c>
      <c r="I58" s="15"/>
      <c r="J58" s="19" t="s">
        <v>517</v>
      </c>
      <c r="K58" s="20" t="s">
        <v>508</v>
      </c>
    </row>
    <row r="59" spans="1:11" ht="28.5" customHeight="1">
      <c r="A59" s="12">
        <v>5</v>
      </c>
      <c r="B59" s="13" t="s">
        <v>518</v>
      </c>
      <c r="C59" s="14" t="s">
        <v>519</v>
      </c>
      <c r="D59" s="13" t="s">
        <v>309</v>
      </c>
      <c r="E59" s="15">
        <v>2391243</v>
      </c>
      <c r="F59" s="16">
        <f>Máy!K48</f>
        <v>2407002</v>
      </c>
      <c r="G59" s="17">
        <v>1</v>
      </c>
      <c r="H59" s="18" t="b">
        <v>1</v>
      </c>
      <c r="I59" s="15"/>
      <c r="J59" s="19" t="s">
        <v>520</v>
      </c>
      <c r="K59" s="20" t="s">
        <v>508</v>
      </c>
    </row>
    <row r="60" spans="1:11" ht="28.5" customHeight="1">
      <c r="A60" s="12">
        <v>6</v>
      </c>
      <c r="B60" s="13" t="s">
        <v>521</v>
      </c>
      <c r="C60" s="14" t="s">
        <v>522</v>
      </c>
      <c r="D60" s="13" t="s">
        <v>309</v>
      </c>
      <c r="E60" s="15">
        <v>2938899</v>
      </c>
      <c r="F60" s="16">
        <f>Máy!K58</f>
        <v>2958984</v>
      </c>
      <c r="G60" s="17">
        <v>1</v>
      </c>
      <c r="H60" s="18" t="b">
        <v>1</v>
      </c>
      <c r="I60" s="15"/>
      <c r="J60" s="19" t="s">
        <v>523</v>
      </c>
      <c r="K60" s="20" t="s">
        <v>508</v>
      </c>
    </row>
    <row r="61" spans="1:11" ht="28.5" customHeight="1">
      <c r="A61" s="12">
        <v>7</v>
      </c>
      <c r="B61" s="13" t="s">
        <v>524</v>
      </c>
      <c r="C61" s="14" t="s">
        <v>525</v>
      </c>
      <c r="D61" s="13" t="s">
        <v>309</v>
      </c>
      <c r="E61" s="15">
        <v>4000423</v>
      </c>
      <c r="F61" s="16">
        <f>Máy!K68</f>
        <v>4026070</v>
      </c>
      <c r="G61" s="17">
        <v>1</v>
      </c>
      <c r="H61" s="18" t="b">
        <v>1</v>
      </c>
      <c r="I61" s="15"/>
      <c r="J61" s="19" t="s">
        <v>526</v>
      </c>
      <c r="K61" s="20" t="s">
        <v>508</v>
      </c>
    </row>
    <row r="62" spans="1:11" ht="28.5" customHeight="1">
      <c r="A62" s="12">
        <v>8</v>
      </c>
      <c r="B62" s="13" t="s">
        <v>527</v>
      </c>
      <c r="C62" s="14" t="s">
        <v>528</v>
      </c>
      <c r="D62" s="13" t="s">
        <v>309</v>
      </c>
      <c r="E62" s="15">
        <v>276782</v>
      </c>
      <c r="F62" s="22">
        <f>Máy!K78</f>
        <v>275463</v>
      </c>
      <c r="G62" s="17">
        <v>1</v>
      </c>
      <c r="H62" s="18" t="b">
        <v>1</v>
      </c>
      <c r="I62" s="15"/>
      <c r="J62" s="19" t="s">
        <v>529</v>
      </c>
      <c r="K62" s="20" t="s">
        <v>508</v>
      </c>
    </row>
    <row r="63" spans="1:11" ht="28.5" customHeight="1">
      <c r="A63" s="12">
        <v>9</v>
      </c>
      <c r="B63" s="13" t="s">
        <v>530</v>
      </c>
      <c r="C63" s="14" t="s">
        <v>531</v>
      </c>
      <c r="D63" s="13" t="s">
        <v>309</v>
      </c>
      <c r="E63" s="15">
        <v>272875</v>
      </c>
      <c r="F63" s="22">
        <f>Máy!K88</f>
        <v>271933</v>
      </c>
      <c r="G63" s="17">
        <v>1</v>
      </c>
      <c r="H63" s="18" t="b">
        <v>1</v>
      </c>
      <c r="I63" s="15"/>
      <c r="J63" s="19" t="s">
        <v>532</v>
      </c>
      <c r="K63" s="20" t="s">
        <v>508</v>
      </c>
    </row>
    <row r="64" spans="1:11" ht="28.5" customHeight="1">
      <c r="A64" s="12">
        <v>10</v>
      </c>
      <c r="B64" s="13" t="s">
        <v>533</v>
      </c>
      <c r="C64" s="14" t="s">
        <v>534</v>
      </c>
      <c r="D64" s="13" t="s">
        <v>309</v>
      </c>
      <c r="E64" s="15">
        <v>411700</v>
      </c>
      <c r="F64" s="22">
        <f>Máy!K98</f>
        <v>402656</v>
      </c>
      <c r="G64" s="17">
        <v>1</v>
      </c>
      <c r="H64" s="18" t="b">
        <v>1</v>
      </c>
      <c r="I64" s="15"/>
      <c r="J64" s="19" t="s">
        <v>535</v>
      </c>
      <c r="K64" s="20" t="s">
        <v>508</v>
      </c>
    </row>
    <row r="65" spans="1:11" ht="28.5" customHeight="1">
      <c r="A65" s="12">
        <v>11</v>
      </c>
      <c r="B65" s="13" t="s">
        <v>536</v>
      </c>
      <c r="C65" s="14" t="s">
        <v>537</v>
      </c>
      <c r="D65" s="13" t="s">
        <v>309</v>
      </c>
      <c r="E65" s="15">
        <v>47521</v>
      </c>
      <c r="F65" s="22">
        <f>Máy!K108</f>
        <v>46579</v>
      </c>
      <c r="G65" s="17">
        <v>1</v>
      </c>
      <c r="H65" s="18" t="b">
        <v>1</v>
      </c>
      <c r="I65" s="15"/>
      <c r="J65" s="19" t="s">
        <v>538</v>
      </c>
      <c r="K65" s="20" t="s">
        <v>508</v>
      </c>
    </row>
    <row r="66" spans="1:11" ht="28.5" customHeight="1">
      <c r="A66" s="12">
        <v>12</v>
      </c>
      <c r="B66" s="13" t="s">
        <v>539</v>
      </c>
      <c r="C66" s="14" t="s">
        <v>540</v>
      </c>
      <c r="D66" s="13" t="s">
        <v>309</v>
      </c>
      <c r="E66" s="15">
        <v>1781990</v>
      </c>
      <c r="F66" s="16">
        <f>Máy!K115</f>
        <v>1793732</v>
      </c>
      <c r="G66" s="17">
        <v>1</v>
      </c>
      <c r="H66" s="18" t="b">
        <v>1</v>
      </c>
      <c r="I66" s="15"/>
      <c r="J66" s="19" t="s">
        <v>541</v>
      </c>
      <c r="K66" s="20" t="s">
        <v>508</v>
      </c>
    </row>
    <row r="67" spans="1:11" ht="28.5" customHeight="1">
      <c r="A67" s="12">
        <v>13</v>
      </c>
      <c r="B67" s="13" t="s">
        <v>542</v>
      </c>
      <c r="C67" s="14" t="s">
        <v>543</v>
      </c>
      <c r="D67" s="13" t="s">
        <v>309</v>
      </c>
      <c r="E67" s="15">
        <v>1287637</v>
      </c>
      <c r="F67" s="16">
        <f>Máy!K125</f>
        <v>1295671</v>
      </c>
      <c r="G67" s="17">
        <v>1</v>
      </c>
      <c r="H67" s="18" t="b">
        <v>1</v>
      </c>
      <c r="I67" s="15"/>
      <c r="J67" s="19" t="s">
        <v>544</v>
      </c>
      <c r="K67" s="20" t="s">
        <v>508</v>
      </c>
    </row>
    <row r="68" spans="1:11" ht="28.5" customHeight="1">
      <c r="A68" s="12">
        <v>14</v>
      </c>
      <c r="B68" s="13" t="s">
        <v>545</v>
      </c>
      <c r="C68" s="14" t="s">
        <v>546</v>
      </c>
      <c r="D68" s="13" t="s">
        <v>309</v>
      </c>
      <c r="E68" s="15">
        <v>1595255</v>
      </c>
      <c r="F68" s="16">
        <f>Máy!K135</f>
        <v>1606688</v>
      </c>
      <c r="G68" s="17">
        <v>1</v>
      </c>
      <c r="H68" s="18" t="b">
        <v>1</v>
      </c>
      <c r="I68" s="15"/>
      <c r="J68" s="19" t="s">
        <v>547</v>
      </c>
      <c r="K68" s="20" t="s">
        <v>508</v>
      </c>
    </row>
    <row r="69" spans="1:11" ht="28.5" customHeight="1">
      <c r="A69" s="12">
        <v>15</v>
      </c>
      <c r="B69" s="13" t="s">
        <v>548</v>
      </c>
      <c r="C69" s="14" t="s">
        <v>549</v>
      </c>
      <c r="D69" s="13" t="s">
        <v>309</v>
      </c>
      <c r="E69" s="15">
        <v>1152746</v>
      </c>
      <c r="F69" s="16">
        <f>Máy!K145</f>
        <v>1160162</v>
      </c>
      <c r="G69" s="17">
        <v>1</v>
      </c>
      <c r="H69" s="18" t="b">
        <v>1</v>
      </c>
      <c r="I69" s="15"/>
      <c r="J69" s="19" t="s">
        <v>550</v>
      </c>
      <c r="K69" s="20" t="s">
        <v>508</v>
      </c>
    </row>
    <row r="70" spans="1:11" ht="28.5" customHeight="1">
      <c r="A70" s="12">
        <v>16</v>
      </c>
      <c r="B70" s="13" t="s">
        <v>551</v>
      </c>
      <c r="C70" s="14" t="s">
        <v>552</v>
      </c>
      <c r="D70" s="13" t="s">
        <v>309</v>
      </c>
      <c r="E70" s="15">
        <v>3200091</v>
      </c>
      <c r="F70" s="16">
        <f>Máy!K155</f>
        <v>3220793</v>
      </c>
      <c r="G70" s="17">
        <v>1</v>
      </c>
      <c r="H70" s="18" t="b">
        <v>1</v>
      </c>
      <c r="I70" s="15"/>
      <c r="J70" s="19" t="s">
        <v>553</v>
      </c>
      <c r="K70" s="20" t="s">
        <v>508</v>
      </c>
    </row>
    <row r="71" spans="1:11" ht="28.5" customHeight="1">
      <c r="A71" s="12">
        <v>17</v>
      </c>
      <c r="B71" s="13" t="s">
        <v>554</v>
      </c>
      <c r="C71" s="14" t="s">
        <v>555</v>
      </c>
      <c r="D71" s="13" t="s">
        <v>309</v>
      </c>
      <c r="E71" s="15">
        <v>18982</v>
      </c>
      <c r="F71" s="22">
        <f>Máy!K165</f>
        <v>18228</v>
      </c>
      <c r="G71" s="17">
        <v>1</v>
      </c>
      <c r="H71" s="18" t="b">
        <v>1</v>
      </c>
      <c r="I71" s="15"/>
      <c r="J71" s="19" t="s">
        <v>556</v>
      </c>
      <c r="K71" s="20" t="s">
        <v>508</v>
      </c>
    </row>
    <row r="72" spans="1:11" ht="28.5" customHeight="1">
      <c r="A72" s="12">
        <v>18</v>
      </c>
      <c r="B72" s="13" t="s">
        <v>557</v>
      </c>
      <c r="C72" s="14" t="s">
        <v>558</v>
      </c>
      <c r="D72" s="13" t="s">
        <v>309</v>
      </c>
      <c r="E72" s="15">
        <v>1842337</v>
      </c>
      <c r="F72" s="16">
        <f>Máy!K172</f>
        <v>1856860</v>
      </c>
      <c r="G72" s="17">
        <v>1</v>
      </c>
      <c r="H72" s="18" t="b">
        <v>1</v>
      </c>
      <c r="I72" s="15"/>
      <c r="J72" s="19" t="s">
        <v>559</v>
      </c>
      <c r="K72" s="20" t="s">
        <v>508</v>
      </c>
    </row>
    <row r="73" spans="1:11" ht="28.5" customHeight="1">
      <c r="A73" s="12">
        <v>19</v>
      </c>
      <c r="B73" s="13" t="s">
        <v>560</v>
      </c>
      <c r="C73" s="14" t="s">
        <v>561</v>
      </c>
      <c r="D73" s="13" t="s">
        <v>309</v>
      </c>
      <c r="E73" s="15">
        <v>3778425</v>
      </c>
      <c r="F73" s="16">
        <f>Máy!K182</f>
        <v>3787695</v>
      </c>
      <c r="G73" s="17">
        <v>1</v>
      </c>
      <c r="H73" s="18" t="b">
        <v>1</v>
      </c>
      <c r="I73" s="15"/>
      <c r="J73" s="19" t="s">
        <v>562</v>
      </c>
      <c r="K73" s="20" t="s">
        <v>508</v>
      </c>
    </row>
    <row r="74" spans="1:11" ht="28.5" customHeight="1">
      <c r="A74" s="12">
        <v>20</v>
      </c>
      <c r="B74" s="13" t="s">
        <v>563</v>
      </c>
      <c r="C74" s="14" t="s">
        <v>564</v>
      </c>
      <c r="D74" s="13" t="s">
        <v>309</v>
      </c>
      <c r="E74" s="15">
        <v>320806</v>
      </c>
      <c r="F74" s="22">
        <f>Máy!K194</f>
        <v>318734</v>
      </c>
      <c r="G74" s="17">
        <v>1</v>
      </c>
      <c r="H74" s="18" t="b">
        <v>1</v>
      </c>
      <c r="I74" s="15"/>
      <c r="J74" s="19" t="s">
        <v>565</v>
      </c>
      <c r="K74" s="20" t="s">
        <v>508</v>
      </c>
    </row>
    <row r="75" spans="1:11" ht="28.5" customHeight="1">
      <c r="A75" s="12">
        <v>21</v>
      </c>
      <c r="B75" s="13" t="s">
        <v>566</v>
      </c>
      <c r="C75" s="14" t="s">
        <v>567</v>
      </c>
      <c r="D75" s="13" t="s">
        <v>309</v>
      </c>
      <c r="E75" s="15">
        <v>294869</v>
      </c>
      <c r="F75" s="22">
        <f>Máy!K204</f>
        <v>293362</v>
      </c>
      <c r="G75" s="17">
        <v>1</v>
      </c>
      <c r="H75" s="18" t="b">
        <v>1</v>
      </c>
      <c r="I75" s="15"/>
      <c r="J75" s="19" t="s">
        <v>568</v>
      </c>
      <c r="K75" s="20" t="s">
        <v>508</v>
      </c>
    </row>
    <row r="76" spans="1:11" ht="28.5" customHeight="1">
      <c r="A76" s="12">
        <v>22</v>
      </c>
      <c r="B76" s="13" t="s">
        <v>569</v>
      </c>
      <c r="C76" s="14" t="s">
        <v>570</v>
      </c>
      <c r="D76" s="13" t="s">
        <v>309</v>
      </c>
      <c r="E76" s="15">
        <v>2096893</v>
      </c>
      <c r="F76" s="16">
        <f>Máy!K214</f>
        <v>2111107</v>
      </c>
      <c r="G76" s="17">
        <v>1</v>
      </c>
      <c r="H76" s="18" t="b">
        <v>1</v>
      </c>
      <c r="I76" s="15"/>
      <c r="J76" s="19" t="s">
        <v>571</v>
      </c>
      <c r="K76" s="20" t="s">
        <v>508</v>
      </c>
    </row>
    <row r="77" spans="1:11" ht="16.5" customHeight="1">
      <c r="A77" s="12">
        <v>23</v>
      </c>
      <c r="B77" s="13" t="s">
        <v>572</v>
      </c>
      <c r="C77" s="14" t="s">
        <v>573</v>
      </c>
      <c r="D77" s="13" t="s">
        <v>574</v>
      </c>
      <c r="E77" s="15">
        <v>200000</v>
      </c>
      <c r="F77" s="32">
        <v>200000</v>
      </c>
      <c r="G77" s="17">
        <v>1</v>
      </c>
      <c r="H77" s="18" t="b">
        <v>0</v>
      </c>
      <c r="I77" s="15"/>
      <c r="J77" s="19" t="str">
        <f>""</f>
        <v/>
      </c>
      <c r="K77" s="20" t="s">
        <v>369</v>
      </c>
    </row>
    <row r="78" spans="1:11" ht="28.5" customHeight="1">
      <c r="A78" s="12">
        <v>24</v>
      </c>
      <c r="B78" s="13" t="s">
        <v>575</v>
      </c>
      <c r="C78" s="14" t="s">
        <v>576</v>
      </c>
      <c r="D78" s="13" t="s">
        <v>309</v>
      </c>
      <c r="E78" s="15">
        <v>1727890</v>
      </c>
      <c r="F78" s="16">
        <f>Máy!K225</f>
        <v>1740559</v>
      </c>
      <c r="G78" s="17">
        <v>1</v>
      </c>
      <c r="H78" s="18" t="b">
        <v>1</v>
      </c>
      <c r="I78" s="15"/>
      <c r="J78" s="19" t="s">
        <v>577</v>
      </c>
      <c r="K78" s="20" t="s">
        <v>508</v>
      </c>
    </row>
    <row r="79" spans="1:11" ht="28.5" customHeight="1">
      <c r="A79" s="12">
        <v>25</v>
      </c>
      <c r="B79" s="13" t="s">
        <v>575</v>
      </c>
      <c r="C79" s="14" t="s">
        <v>576</v>
      </c>
      <c r="D79" s="13" t="s">
        <v>309</v>
      </c>
      <c r="E79" s="15">
        <v>1727890</v>
      </c>
      <c r="F79" s="16">
        <f>Máy!K225</f>
        <v>1740559</v>
      </c>
      <c r="G79" s="17">
        <v>4</v>
      </c>
      <c r="H79" s="18" t="b">
        <v>1</v>
      </c>
      <c r="I79" s="15"/>
      <c r="J79" s="19" t="s">
        <v>577</v>
      </c>
      <c r="K79" s="20" t="s">
        <v>508</v>
      </c>
    </row>
    <row r="80" spans="1:11" ht="28.5" customHeight="1">
      <c r="A80" s="23">
        <v>26</v>
      </c>
      <c r="B80" s="24" t="s">
        <v>578</v>
      </c>
      <c r="C80" s="25" t="s">
        <v>579</v>
      </c>
      <c r="D80" s="24" t="s">
        <v>309</v>
      </c>
      <c r="E80" s="26">
        <v>1271914</v>
      </c>
      <c r="F80" s="27">
        <f>Máy!K235</f>
        <v>1279021</v>
      </c>
      <c r="G80" s="28">
        <v>1</v>
      </c>
      <c r="H80" s="29" t="b">
        <v>1</v>
      </c>
      <c r="I80" s="26"/>
      <c r="J80" s="30" t="s">
        <v>580</v>
      </c>
      <c r="K80" s="31" t="s">
        <v>508</v>
      </c>
    </row>
  </sheetData>
  <mergeCells count="2">
    <mergeCell ref="A1:K1"/>
    <mergeCell ref="A2:K2"/>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E47"/>
  <sheetViews>
    <sheetView workbookViewId="0">
      <selection activeCell="H4" sqref="H4"/>
    </sheetView>
  </sheetViews>
  <sheetFormatPr defaultColWidth="10" defaultRowHeight="15" customHeight="1"/>
  <cols>
    <col min="1" max="1" width="10" style="34" customWidth="1"/>
    <col min="2" max="2" width="48.33203125" style="34" customWidth="1"/>
    <col min="3" max="3" width="11.6640625" style="34" customWidth="1"/>
    <col min="4" max="4" width="15" style="34" customWidth="1"/>
    <col min="5" max="5" width="38.33203125" style="34" customWidth="1"/>
    <col min="6" max="16384" width="10" style="34"/>
  </cols>
  <sheetData>
    <row r="1" spans="1:5" ht="26.25" customHeight="1">
      <c r="A1" s="981" t="s">
        <v>581</v>
      </c>
      <c r="B1" s="985"/>
      <c r="C1" s="985"/>
      <c r="D1" s="985"/>
    </row>
    <row r="2" spans="1:5" ht="45.75" customHeight="1">
      <c r="A2" s="983" t="str">
        <f>'Công trình'!A2</f>
        <v>CÔNG TRÌNH : SỬA CHỮA TUYẾN ĐƯỜNG TỪ NHÀ BÀ TRƯỜNG, TỔ 5 PHƯỜNG VẠN HƯƠNG ĐẾN NHÀ BÀ KIM, TỔ DÂN PHỐ BẮC HẢI PHƯỜNG BÀNG LA</v>
      </c>
      <c r="B2" s="985"/>
      <c r="C2" s="985"/>
      <c r="D2" s="985"/>
    </row>
    <row r="3" spans="1:5" s="35" customFormat="1" ht="37.5" customHeight="1">
      <c r="A3" s="991" t="s">
        <v>582</v>
      </c>
      <c r="B3" s="992"/>
      <c r="C3" s="992"/>
      <c r="D3" s="992"/>
    </row>
    <row r="4" spans="1:5" s="36" customFormat="1" ht="26.25" customHeight="1">
      <c r="A4" s="37" t="s">
        <v>4</v>
      </c>
      <c r="B4" s="987" t="s">
        <v>583</v>
      </c>
      <c r="C4" s="988"/>
      <c r="D4" s="38" t="s">
        <v>584</v>
      </c>
    </row>
    <row r="5" spans="1:5" ht="15" hidden="1" customHeight="1">
      <c r="A5" s="39"/>
      <c r="B5" s="989" t="s">
        <v>585</v>
      </c>
      <c r="C5" s="990"/>
      <c r="D5" s="40">
        <v>0</v>
      </c>
    </row>
    <row r="6" spans="1:5" ht="15" customHeight="1">
      <c r="A6" s="39">
        <v>1</v>
      </c>
      <c r="B6" s="989" t="s">
        <v>586</v>
      </c>
      <c r="C6" s="990"/>
      <c r="D6" s="40">
        <v>0</v>
      </c>
      <c r="E6" s="984"/>
    </row>
    <row r="7" spans="1:5" ht="15" customHeight="1">
      <c r="A7" s="39">
        <v>2</v>
      </c>
      <c r="B7" s="989" t="s">
        <v>587</v>
      </c>
      <c r="C7" s="990"/>
      <c r="D7" s="40">
        <v>26</v>
      </c>
      <c r="E7" s="985"/>
    </row>
    <row r="8" spans="1:5" ht="15" customHeight="1">
      <c r="A8" s="41">
        <v>3</v>
      </c>
      <c r="B8" s="993" t="s">
        <v>588</v>
      </c>
      <c r="C8" s="994"/>
      <c r="D8" s="42">
        <v>1</v>
      </c>
    </row>
    <row r="9" spans="1:5" s="35" customFormat="1" ht="37.5" customHeight="1">
      <c r="A9" s="991" t="s">
        <v>589</v>
      </c>
      <c r="B9" s="992"/>
      <c r="C9" s="992"/>
      <c r="D9" s="992"/>
    </row>
    <row r="10" spans="1:5" s="36" customFormat="1" ht="26.25" customHeight="1">
      <c r="A10" s="37" t="s">
        <v>4</v>
      </c>
      <c r="B10" s="987" t="s">
        <v>590</v>
      </c>
      <c r="C10" s="988"/>
      <c r="D10" s="38" t="s">
        <v>591</v>
      </c>
    </row>
    <row r="11" spans="1:5" ht="15" customHeight="1">
      <c r="A11" s="39">
        <v>1</v>
      </c>
      <c r="B11" s="989" t="s">
        <v>592</v>
      </c>
      <c r="C11" s="990"/>
      <c r="D11" s="43">
        <v>0</v>
      </c>
    </row>
    <row r="12" spans="1:5" ht="15" customHeight="1">
      <c r="A12" s="39">
        <v>2</v>
      </c>
      <c r="B12" s="989" t="s">
        <v>593</v>
      </c>
      <c r="C12" s="990"/>
      <c r="D12" s="43">
        <v>0</v>
      </c>
    </row>
    <row r="13" spans="1:5" ht="15" customHeight="1">
      <c r="A13" s="39">
        <v>3</v>
      </c>
      <c r="B13" s="989" t="s">
        <v>594</v>
      </c>
      <c r="C13" s="990"/>
      <c r="D13" s="43">
        <v>0</v>
      </c>
    </row>
    <row r="14" spans="1:5" ht="15" customHeight="1">
      <c r="A14" s="39">
        <v>4</v>
      </c>
      <c r="B14" s="989" t="s">
        <v>595</v>
      </c>
      <c r="C14" s="990"/>
      <c r="D14" s="43">
        <v>0</v>
      </c>
    </row>
    <row r="15" spans="1:5" ht="15" customHeight="1">
      <c r="A15" s="39">
        <v>5</v>
      </c>
      <c r="B15" s="989" t="s">
        <v>596</v>
      </c>
      <c r="C15" s="990"/>
      <c r="D15" s="43">
        <v>0</v>
      </c>
    </row>
    <row r="16" spans="1:5" ht="15" customHeight="1">
      <c r="A16" s="39">
        <v>6</v>
      </c>
      <c r="B16" s="989" t="s">
        <v>597</v>
      </c>
      <c r="C16" s="990"/>
      <c r="D16" s="43">
        <v>0</v>
      </c>
    </row>
    <row r="17" spans="1:5" ht="15" customHeight="1">
      <c r="A17" s="39">
        <v>7</v>
      </c>
      <c r="B17" s="989" t="s">
        <v>598</v>
      </c>
      <c r="C17" s="990"/>
      <c r="D17" s="43">
        <v>0</v>
      </c>
    </row>
    <row r="18" spans="1:5" ht="15" customHeight="1">
      <c r="A18" s="39">
        <v>8</v>
      </c>
      <c r="B18" s="989" t="s">
        <v>599</v>
      </c>
      <c r="C18" s="990"/>
      <c r="D18" s="43">
        <v>0</v>
      </c>
    </row>
    <row r="19" spans="1:5" ht="15" customHeight="1">
      <c r="A19" s="39">
        <v>9</v>
      </c>
      <c r="B19" s="989" t="s">
        <v>600</v>
      </c>
      <c r="C19" s="990"/>
      <c r="D19" s="43">
        <v>0</v>
      </c>
    </row>
    <row r="20" spans="1:5" ht="15" customHeight="1">
      <c r="A20" s="41">
        <v>10</v>
      </c>
      <c r="B20" s="993" t="s">
        <v>601</v>
      </c>
      <c r="C20" s="994"/>
      <c r="D20" s="44">
        <v>0</v>
      </c>
    </row>
    <row r="21" spans="1:5" s="35" customFormat="1" ht="37.5" customHeight="1">
      <c r="A21" s="991" t="s">
        <v>602</v>
      </c>
      <c r="B21" s="992"/>
      <c r="C21" s="992"/>
      <c r="D21" s="992"/>
    </row>
    <row r="22" spans="1:5" s="36" customFormat="1" ht="26.25" customHeight="1">
      <c r="A22" s="37" t="s">
        <v>4</v>
      </c>
      <c r="B22" s="38" t="s">
        <v>603</v>
      </c>
      <c r="C22" s="38" t="s">
        <v>359</v>
      </c>
      <c r="D22" s="38" t="str">
        <f>"Đơn giá "&amp;'Công trình'!AL1</f>
        <v>Đơn giá (đ)</v>
      </c>
    </row>
    <row r="23" spans="1:5" ht="15" customHeight="1">
      <c r="A23" s="39">
        <v>1</v>
      </c>
      <c r="B23" s="20" t="s">
        <v>604</v>
      </c>
      <c r="C23" s="18" t="s">
        <v>605</v>
      </c>
      <c r="D23" s="45">
        <v>23345.45</v>
      </c>
      <c r="E23" s="986"/>
    </row>
    <row r="24" spans="1:5" ht="15" customHeight="1">
      <c r="A24" s="39">
        <v>2</v>
      </c>
      <c r="B24" s="20" t="s">
        <v>606</v>
      </c>
      <c r="C24" s="18" t="s">
        <v>605</v>
      </c>
      <c r="D24" s="45">
        <v>12963</v>
      </c>
      <c r="E24" s="985"/>
    </row>
    <row r="25" spans="1:5" ht="15" customHeight="1">
      <c r="A25" s="39">
        <v>3</v>
      </c>
      <c r="B25" s="20" t="s">
        <v>607</v>
      </c>
      <c r="C25" s="18" t="s">
        <v>608</v>
      </c>
      <c r="D25" s="45">
        <v>1685</v>
      </c>
    </row>
    <row r="26" spans="1:5" ht="15" customHeight="1">
      <c r="A26" s="41">
        <v>4</v>
      </c>
      <c r="B26" s="31" t="s">
        <v>609</v>
      </c>
      <c r="C26" s="29" t="s">
        <v>605</v>
      </c>
      <c r="D26" s="46">
        <v>21645.45</v>
      </c>
    </row>
    <row r="27" spans="1:5" s="35" customFormat="1" ht="37.5" customHeight="1">
      <c r="A27" s="991" t="s">
        <v>610</v>
      </c>
      <c r="B27" s="992"/>
      <c r="C27" s="992"/>
      <c r="D27" s="992"/>
    </row>
    <row r="28" spans="1:5" s="36" customFormat="1" ht="26.25" customHeight="1">
      <c r="A28" s="37" t="s">
        <v>4</v>
      </c>
      <c r="B28" s="987" t="s">
        <v>611</v>
      </c>
      <c r="C28" s="988"/>
      <c r="D28" s="38" t="s">
        <v>360</v>
      </c>
    </row>
    <row r="29" spans="1:5" ht="15" customHeight="1">
      <c r="A29" s="39">
        <v>1</v>
      </c>
      <c r="B29" s="989" t="s">
        <v>612</v>
      </c>
      <c r="C29" s="990"/>
      <c r="D29" s="47">
        <v>1.03</v>
      </c>
    </row>
    <row r="30" spans="1:5" ht="15" customHeight="1">
      <c r="A30" s="39">
        <v>2</v>
      </c>
      <c r="B30" s="989" t="s">
        <v>613</v>
      </c>
      <c r="C30" s="990"/>
      <c r="D30" s="47">
        <v>1</v>
      </c>
    </row>
    <row r="31" spans="1:5" ht="15" customHeight="1">
      <c r="A31" s="39">
        <v>3</v>
      </c>
      <c r="B31" s="989" t="s">
        <v>614</v>
      </c>
      <c r="C31" s="990"/>
      <c r="D31" s="47">
        <v>1.05</v>
      </c>
    </row>
    <row r="32" spans="1:5" ht="15" customHeight="1">
      <c r="A32" s="41">
        <v>4</v>
      </c>
      <c r="B32" s="993" t="s">
        <v>615</v>
      </c>
      <c r="C32" s="994"/>
      <c r="D32" s="42">
        <v>1.02</v>
      </c>
    </row>
    <row r="33" spans="1:5" s="35" customFormat="1" ht="37.5" customHeight="1">
      <c r="A33" s="991" t="s">
        <v>616</v>
      </c>
      <c r="B33" s="992"/>
      <c r="C33" s="992"/>
      <c r="D33" s="992"/>
    </row>
    <row r="34" spans="1:5" s="36" customFormat="1" ht="26.25" customHeight="1">
      <c r="A34" s="37" t="s">
        <v>4</v>
      </c>
      <c r="B34" s="987" t="s">
        <v>603</v>
      </c>
      <c r="C34" s="988"/>
      <c r="D34" s="38" t="s">
        <v>584</v>
      </c>
    </row>
    <row r="35" spans="1:5" ht="15" customHeight="1">
      <c r="A35" s="39">
        <v>1</v>
      </c>
      <c r="B35" s="989" t="s">
        <v>617</v>
      </c>
      <c r="C35" s="990"/>
      <c r="D35" s="40">
        <v>30</v>
      </c>
    </row>
    <row r="36" spans="1:5" ht="15" customHeight="1">
      <c r="A36" s="41">
        <v>2</v>
      </c>
      <c r="B36" s="993" t="s">
        <v>618</v>
      </c>
      <c r="C36" s="994"/>
      <c r="D36" s="44">
        <v>0.1</v>
      </c>
    </row>
    <row r="37" spans="1:5" s="35" customFormat="1" ht="37.5" customHeight="1">
      <c r="A37" s="991" t="s">
        <v>619</v>
      </c>
      <c r="B37" s="992"/>
      <c r="C37" s="992"/>
      <c r="D37" s="992"/>
    </row>
    <row r="38" spans="1:5" s="36" customFormat="1" ht="26.25" customHeight="1">
      <c r="A38" s="37" t="s">
        <v>4</v>
      </c>
      <c r="B38" s="987" t="s">
        <v>620</v>
      </c>
      <c r="C38" s="988"/>
      <c r="D38" s="38" t="s">
        <v>621</v>
      </c>
    </row>
    <row r="39" spans="1:5" ht="15" customHeight="1">
      <c r="A39" s="39">
        <v>1</v>
      </c>
      <c r="B39" s="989" t="s">
        <v>622</v>
      </c>
      <c r="C39" s="990"/>
      <c r="D39" s="40">
        <v>1</v>
      </c>
      <c r="E39" s="34">
        <f>D39</f>
        <v>1</v>
      </c>
    </row>
    <row r="40" spans="1:5" ht="15" customHeight="1">
      <c r="A40" s="39">
        <v>2</v>
      </c>
      <c r="B40" s="989" t="s">
        <v>623</v>
      </c>
      <c r="C40" s="990"/>
      <c r="D40" s="40">
        <v>0</v>
      </c>
      <c r="E40" s="34">
        <f>D40</f>
        <v>0</v>
      </c>
    </row>
    <row r="41" spans="1:5" ht="15" customHeight="1">
      <c r="A41" s="39">
        <v>3</v>
      </c>
      <c r="B41" s="989" t="s">
        <v>624</v>
      </c>
      <c r="C41" s="990"/>
      <c r="D41" s="40">
        <v>0</v>
      </c>
    </row>
    <row r="42" spans="1:5" ht="15" customHeight="1">
      <c r="A42" s="41">
        <v>4</v>
      </c>
      <c r="B42" s="993" t="s">
        <v>625</v>
      </c>
      <c r="C42" s="994"/>
      <c r="D42" s="48">
        <v>3</v>
      </c>
    </row>
    <row r="43" spans="1:5" s="35" customFormat="1" ht="37.5" customHeight="1">
      <c r="A43" s="991" t="s">
        <v>626</v>
      </c>
      <c r="B43" s="992"/>
      <c r="C43" s="992"/>
      <c r="D43" s="992"/>
    </row>
    <row r="44" spans="1:5" s="36" customFormat="1" ht="26.25" customHeight="1">
      <c r="A44" s="37" t="s">
        <v>4</v>
      </c>
      <c r="B44" s="987" t="s">
        <v>627</v>
      </c>
      <c r="C44" s="988"/>
      <c r="D44" s="38" t="s">
        <v>628</v>
      </c>
    </row>
    <row r="45" spans="1:5" ht="15" customHeight="1">
      <c r="A45" s="39">
        <v>1</v>
      </c>
      <c r="B45" s="989" t="s">
        <v>629</v>
      </c>
      <c r="C45" s="990"/>
      <c r="D45" s="18" t="s">
        <v>630</v>
      </c>
    </row>
    <row r="46" spans="1:5" ht="15" customHeight="1">
      <c r="A46" s="39">
        <v>2</v>
      </c>
      <c r="B46" s="989" t="s">
        <v>631</v>
      </c>
      <c r="C46" s="990"/>
      <c r="D46" s="18" t="s">
        <v>632</v>
      </c>
    </row>
    <row r="47" spans="1:5" ht="15" customHeight="1">
      <c r="A47" s="41">
        <v>3</v>
      </c>
      <c r="B47" s="993" t="s">
        <v>633</v>
      </c>
      <c r="C47" s="994"/>
      <c r="D47" s="29" t="s">
        <v>634</v>
      </c>
    </row>
  </sheetData>
  <mergeCells count="44">
    <mergeCell ref="A1:D1"/>
    <mergeCell ref="A2:D2"/>
    <mergeCell ref="B4:C4"/>
    <mergeCell ref="B5:C5"/>
    <mergeCell ref="B6:C6"/>
    <mergeCell ref="B7:C7"/>
    <mergeCell ref="B18:C18"/>
    <mergeCell ref="B19:C19"/>
    <mergeCell ref="B8:C8"/>
    <mergeCell ref="A3:D3"/>
    <mergeCell ref="B10:C10"/>
    <mergeCell ref="B11:C11"/>
    <mergeCell ref="B12:C12"/>
    <mergeCell ref="B13:C13"/>
    <mergeCell ref="B41:C41"/>
    <mergeCell ref="B42:C42"/>
    <mergeCell ref="A37:D37"/>
    <mergeCell ref="B31:C31"/>
    <mergeCell ref="B32:C32"/>
    <mergeCell ref="B34:C34"/>
    <mergeCell ref="B35:C35"/>
    <mergeCell ref="B36:C36"/>
    <mergeCell ref="A33:D33"/>
    <mergeCell ref="B44:C44"/>
    <mergeCell ref="B45:C45"/>
    <mergeCell ref="B46:C46"/>
    <mergeCell ref="B47:C47"/>
    <mergeCell ref="A43:D43"/>
    <mergeCell ref="E6:E7"/>
    <mergeCell ref="E23:E24"/>
    <mergeCell ref="B38:C38"/>
    <mergeCell ref="B39:C39"/>
    <mergeCell ref="B40:C40"/>
    <mergeCell ref="B30:C30"/>
    <mergeCell ref="B14:C14"/>
    <mergeCell ref="B15:C15"/>
    <mergeCell ref="B16:C16"/>
    <mergeCell ref="B17:C17"/>
    <mergeCell ref="A27:D27"/>
    <mergeCell ref="B20:C20"/>
    <mergeCell ref="A9:D9"/>
    <mergeCell ref="A21:D21"/>
    <mergeCell ref="B28:C28"/>
    <mergeCell ref="B29:C29"/>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U12"/>
  <sheetViews>
    <sheetView workbookViewId="0">
      <selection activeCell="H4" sqref="H4"/>
    </sheetView>
  </sheetViews>
  <sheetFormatPr defaultColWidth="10" defaultRowHeight="15" customHeight="1"/>
  <cols>
    <col min="1" max="1" width="10" style="34" customWidth="1"/>
    <col min="2" max="2" width="12.5" style="34" customWidth="1"/>
    <col min="3" max="3" width="33.33203125" style="34" customWidth="1"/>
    <col min="4" max="4" width="11.6640625" style="34" customWidth="1"/>
    <col min="5" max="5" width="9.1640625" style="34" customWidth="1"/>
    <col min="6" max="7" width="15" style="34" customWidth="1"/>
    <col min="8" max="19" width="15" style="34" hidden="1" customWidth="1"/>
    <col min="20" max="20" width="15" style="34" customWidth="1"/>
    <col min="21" max="21" width="16.6640625" style="55" hidden="1" customWidth="1"/>
    <col min="22" max="16384" width="10" style="34"/>
  </cols>
  <sheetData>
    <row r="1" spans="1:21" ht="26.25" customHeight="1">
      <c r="A1" s="981" t="s">
        <v>635</v>
      </c>
      <c r="B1" s="985"/>
      <c r="C1" s="985"/>
      <c r="D1" s="985"/>
      <c r="E1" s="985"/>
      <c r="F1" s="985"/>
      <c r="G1" s="985"/>
      <c r="H1" s="985"/>
      <c r="I1" s="985"/>
      <c r="J1" s="985"/>
      <c r="K1" s="985"/>
      <c r="L1" s="985"/>
      <c r="M1" s="985"/>
      <c r="N1" s="985"/>
      <c r="O1" s="985"/>
      <c r="P1" s="985"/>
      <c r="Q1" s="985"/>
      <c r="R1" s="985"/>
      <c r="S1" s="985"/>
      <c r="T1" s="985"/>
    </row>
    <row r="2" spans="1:21" ht="15" customHeight="1">
      <c r="A2" s="997" t="s">
        <v>636</v>
      </c>
      <c r="B2" s="985"/>
      <c r="C2" s="985"/>
      <c r="D2" s="985"/>
      <c r="E2" s="985"/>
      <c r="F2" s="985"/>
      <c r="G2" s="985"/>
      <c r="H2" s="985"/>
      <c r="I2" s="985"/>
      <c r="J2" s="985"/>
      <c r="K2" s="985"/>
      <c r="L2" s="985"/>
      <c r="M2" s="985"/>
      <c r="N2" s="985"/>
      <c r="O2" s="985"/>
      <c r="P2" s="985"/>
      <c r="Q2" s="985"/>
      <c r="R2" s="985"/>
      <c r="S2" s="985"/>
      <c r="T2" s="985"/>
    </row>
    <row r="3" spans="1:21" ht="32.25" customHeight="1">
      <c r="A3" s="983" t="str">
        <f>'Công trình'!A2</f>
        <v>CÔNG TRÌNH : SỬA CHỮA TUYẾN ĐƯỜNG TỪ NHÀ BÀ TRƯỜNG, TỔ 5 PHƯỜNG VẠN HƯƠNG ĐẾN NHÀ BÀ KIM, TỔ DÂN PHỐ BẮC HẢI PHƯỜNG BÀNG LA</v>
      </c>
      <c r="B3" s="985"/>
      <c r="C3" s="985"/>
      <c r="D3" s="985"/>
      <c r="E3" s="985"/>
      <c r="F3" s="985"/>
      <c r="G3" s="985"/>
      <c r="H3" s="985"/>
      <c r="I3" s="985"/>
      <c r="J3" s="985"/>
      <c r="K3" s="985"/>
      <c r="L3" s="985"/>
      <c r="M3" s="985"/>
      <c r="N3" s="985"/>
      <c r="O3" s="985"/>
      <c r="P3" s="985"/>
      <c r="Q3" s="985"/>
      <c r="R3" s="985"/>
      <c r="S3" s="985"/>
      <c r="T3" s="985"/>
    </row>
    <row r="4" spans="1:21" ht="22.5" customHeight="1">
      <c r="A4" s="998" t="str">
        <f>"Đơn vị tính:  "&amp;'Công trình'!AL1</f>
        <v>Đơn vị tính:  (đ)</v>
      </c>
      <c r="B4" s="985"/>
      <c r="C4" s="985"/>
      <c r="D4" s="985"/>
      <c r="E4" s="985"/>
      <c r="F4" s="985"/>
      <c r="G4" s="985"/>
      <c r="H4" s="985"/>
      <c r="I4" s="985"/>
      <c r="J4" s="985"/>
      <c r="K4" s="985"/>
      <c r="L4" s="985"/>
      <c r="M4" s="985"/>
      <c r="N4" s="985"/>
      <c r="O4" s="985"/>
      <c r="P4" s="985"/>
      <c r="Q4" s="985"/>
      <c r="R4" s="985"/>
      <c r="S4" s="985"/>
      <c r="T4" s="985"/>
    </row>
    <row r="5" spans="1:21" ht="27.75" customHeight="1">
      <c r="A5" s="999" t="s">
        <v>4</v>
      </c>
      <c r="B5" s="1002" t="s">
        <v>357</v>
      </c>
      <c r="C5" s="1002" t="s">
        <v>637</v>
      </c>
      <c r="D5" s="1002" t="s">
        <v>359</v>
      </c>
      <c r="E5" s="1002" t="s">
        <v>638</v>
      </c>
      <c r="F5" s="1002" t="s">
        <v>639</v>
      </c>
      <c r="G5" s="1002" t="s">
        <v>640</v>
      </c>
      <c r="H5" s="1002" t="s">
        <v>641</v>
      </c>
      <c r="I5" s="1005" t="str">
        <f>"Phụ cấp "&amp;'Công trình'!AL1</f>
        <v>Phụ cấp (đ)</v>
      </c>
      <c r="J5" s="1005"/>
      <c r="K5" s="1005"/>
      <c r="L5" s="1005"/>
      <c r="M5" s="1005"/>
      <c r="N5" s="1005"/>
      <c r="O5" s="1005"/>
      <c r="P5" s="1005"/>
      <c r="Q5" s="1005"/>
      <c r="R5" s="1006"/>
      <c r="S5" s="1002" t="s">
        <v>642</v>
      </c>
      <c r="T5" s="1002" t="s">
        <v>643</v>
      </c>
      <c r="U5" s="995" t="s">
        <v>644</v>
      </c>
    </row>
    <row r="6" spans="1:21" ht="45" customHeight="1">
      <c r="A6" s="1000"/>
      <c r="B6" s="1003"/>
      <c r="C6" s="1003"/>
      <c r="D6" s="1003"/>
      <c r="E6" s="1003"/>
      <c r="F6" s="1003"/>
      <c r="G6" s="1003"/>
      <c r="H6" s="1003"/>
      <c r="I6" s="1" t="str">
        <f>"Lưu động _x000D_
("&amp;'Đầu vào'!D11*100&amp;"% LTC)"</f>
        <v>Lưu động _x000D_
(0% LTC)</v>
      </c>
      <c r="J6" s="1" t="str">
        <f>"Không ổn định S.X _x000D_
("&amp;'Đầu vào'!D12*100&amp;"% LCB)"</f>
        <v>Không ổn định S.X _x000D_
(0% LCB)</v>
      </c>
      <c r="K6" s="1" t="str">
        <f>"Lương phụ nghỉ lễ, tết _x000D_
("&amp;'Đầu vào'!D13*100&amp;"% LCB)"</f>
        <v>Lương phụ nghỉ lễ, tết _x000D_
(0% LCB)</v>
      </c>
      <c r="L6" s="1" t="str">
        <f>"Khoán trực tiếp _x000D_
("&amp;'Đầu vào'!D14*100&amp;"% LCB)"</f>
        <v>Khoán trực tiếp _x000D_
(0% LCB)</v>
      </c>
      <c r="M6" s="1" t="str">
        <f>"Khu vực _x000D_
("&amp;'Đầu vào'!D15*100&amp;"% LTC)"</f>
        <v>Khu vực _x000D_
(0% LTC)</v>
      </c>
      <c r="N6" s="1" t="str">
        <f>"Độc hại _x000D_
("&amp;'Đầu vào'!D16*100&amp;"% LTC)"</f>
        <v>Độc hại _x000D_
(0% LTC)</v>
      </c>
      <c r="O6" s="1" t="str">
        <f>"Thu hút _x000D_
("&amp;'Đầu vào'!D17*100&amp;"% LCB)"</f>
        <v>Thu hút _x000D_
(0% LCB)</v>
      </c>
      <c r="P6" s="1" t="str">
        <f>"Trách nhiệm _x000D_
("&amp;'Đầu vào'!D18*100&amp;"% LTC)"</f>
        <v>Trách nhiệm _x000D_
(0% LTC)</v>
      </c>
      <c r="Q6" s="1" t="str">
        <f>"Bảo hiểm _x000D_
("&amp;'Đầu vào'!D19*100&amp;"% LCB)"</f>
        <v>Bảo hiểm _x000D_
(0% LCB)</v>
      </c>
      <c r="R6" s="1" t="str">
        <f>"Vùng sâu, vùng xa _x000D_
("&amp;'Đầu vào'!D20*100&amp;"% LCB)"</f>
        <v>Vùng sâu, vùng xa _x000D_
(0% LCB)</v>
      </c>
      <c r="S6" s="1003"/>
      <c r="T6" s="1003"/>
      <c r="U6" s="995"/>
    </row>
    <row r="7" spans="1:21" ht="27.75" customHeight="1">
      <c r="A7" s="1001"/>
      <c r="B7" s="1004"/>
      <c r="C7" s="1004"/>
      <c r="D7" s="1004"/>
      <c r="E7" s="1004"/>
      <c r="F7" s="1004"/>
      <c r="G7" s="1004"/>
      <c r="H7" s="1004"/>
      <c r="I7" s="50">
        <f>'Đầu vào'!D11</f>
        <v>0</v>
      </c>
      <c r="J7" s="50">
        <f>'Đầu vào'!D12</f>
        <v>0</v>
      </c>
      <c r="K7" s="50">
        <f>'Đầu vào'!D13</f>
        <v>0</v>
      </c>
      <c r="L7" s="50">
        <f>'Đầu vào'!D14</f>
        <v>0</v>
      </c>
      <c r="M7" s="50">
        <f>'Đầu vào'!D15</f>
        <v>0</v>
      </c>
      <c r="N7" s="50">
        <f>'Đầu vào'!D16</f>
        <v>0</v>
      </c>
      <c r="O7" s="50">
        <f>'Đầu vào'!D17</f>
        <v>0</v>
      </c>
      <c r="P7" s="50">
        <f>'Đầu vào'!D18</f>
        <v>0</v>
      </c>
      <c r="Q7" s="50">
        <f>'Đầu vào'!D19</f>
        <v>0</v>
      </c>
      <c r="R7" s="50">
        <f>'Đầu vào'!D20</f>
        <v>0</v>
      </c>
      <c r="S7" s="1004"/>
      <c r="T7" s="1004"/>
      <c r="U7" s="996"/>
    </row>
    <row r="8" spans="1:21" ht="16.5" customHeight="1">
      <c r="A8" s="39">
        <v>1</v>
      </c>
      <c r="B8" s="51" t="str">
        <f>'Giá tháng'!B48</f>
        <v>N1.30</v>
      </c>
      <c r="C8" s="20" t="str">
        <f>'Giá tháng'!C48</f>
        <v>Nhân công 3,0/7 - Nhóm 1</v>
      </c>
      <c r="D8" s="18" t="str">
        <f>'Giá tháng'!D48</f>
        <v>công</v>
      </c>
      <c r="E8" s="52">
        <f>ROUND(U8,'Đầu vào'!D42)</f>
        <v>1.39</v>
      </c>
      <c r="F8" s="53">
        <v>242000</v>
      </c>
      <c r="G8" s="54">
        <v>1.52</v>
      </c>
      <c r="H8" s="53">
        <f>ROUND(E8*F8/G8,'Đầu vào'!D39)</f>
        <v>221302.6</v>
      </c>
      <c r="I8" s="53"/>
      <c r="J8" s="53">
        <f>ROUND(J7*H8,'Đầu vào'!D39)</f>
        <v>0</v>
      </c>
      <c r="K8" s="53">
        <f>ROUND(K7*H8,'Đầu vào'!D39)</f>
        <v>0</v>
      </c>
      <c r="L8" s="53">
        <f>ROUND(L7*H8,'Đầu vào'!D39)</f>
        <v>0</v>
      </c>
      <c r="M8" s="53"/>
      <c r="N8" s="53"/>
      <c r="O8" s="53">
        <f>ROUND(O7*H8,'Đầu vào'!D39)</f>
        <v>0</v>
      </c>
      <c r="P8" s="53"/>
      <c r="Q8" s="53">
        <f>ROUND(Q7*H8,'Đầu vào'!D39)</f>
        <v>0</v>
      </c>
      <c r="R8" s="53">
        <f>ROUND(R7*H8,'Đầu vào'!D39)</f>
        <v>0</v>
      </c>
      <c r="S8" s="19"/>
      <c r="T8" s="15">
        <f>ROUND(SUM(H8:R8),'Đầu vào'!D40)</f>
        <v>221303</v>
      </c>
      <c r="U8" s="55">
        <v>1.39</v>
      </c>
    </row>
    <row r="9" spans="1:21" ht="16.5" customHeight="1">
      <c r="A9" s="39">
        <v>2</v>
      </c>
      <c r="B9" s="51" t="str">
        <f>'Giá tháng'!B49</f>
        <v>N2.30</v>
      </c>
      <c r="C9" s="20" t="str">
        <f>'Giá tháng'!C49</f>
        <v>Nhân công 3,0/7 - Nhóm 2</v>
      </c>
      <c r="D9" s="18" t="str">
        <f>'Giá tháng'!D49</f>
        <v>công</v>
      </c>
      <c r="E9" s="52">
        <f>ROUND(U9,'Đầu vào'!D42)</f>
        <v>1.39</v>
      </c>
      <c r="F9" s="53">
        <v>262000</v>
      </c>
      <c r="G9" s="54">
        <v>1.52</v>
      </c>
      <c r="H9" s="53">
        <f>ROUND(E9*F9/G9,'Đầu vào'!D39)</f>
        <v>239592.1</v>
      </c>
      <c r="I9" s="53"/>
      <c r="J9" s="53">
        <f>ROUND(J7*H9,'Đầu vào'!D39)</f>
        <v>0</v>
      </c>
      <c r="K9" s="53">
        <f>ROUND(K7*H9,'Đầu vào'!D39)</f>
        <v>0</v>
      </c>
      <c r="L9" s="53">
        <f>ROUND(L7*H9,'Đầu vào'!D39)</f>
        <v>0</v>
      </c>
      <c r="M9" s="53"/>
      <c r="N9" s="53"/>
      <c r="O9" s="53">
        <f>ROUND(O7*H9,'Đầu vào'!D39)</f>
        <v>0</v>
      </c>
      <c r="P9" s="53"/>
      <c r="Q9" s="53">
        <f>ROUND(Q7*H9,'Đầu vào'!D39)</f>
        <v>0</v>
      </c>
      <c r="R9" s="53">
        <f>ROUND(R7*H9,'Đầu vào'!D39)</f>
        <v>0</v>
      </c>
      <c r="S9" s="19"/>
      <c r="T9" s="15">
        <f>ROUND(SUM(H9:R9),'Đầu vào'!D40)</f>
        <v>239592</v>
      </c>
      <c r="U9" s="55">
        <v>1.39</v>
      </c>
    </row>
    <row r="10" spans="1:21" ht="16.5" customHeight="1">
      <c r="A10" s="39">
        <v>3</v>
      </c>
      <c r="B10" s="51" t="str">
        <f>'Giá tháng'!B50</f>
        <v>N1.35</v>
      </c>
      <c r="C10" s="20" t="str">
        <f>'Giá tháng'!C50</f>
        <v>Nhân công 3,5/7 - Nhóm 1</v>
      </c>
      <c r="D10" s="18" t="str">
        <f>'Giá tháng'!D50</f>
        <v>công</v>
      </c>
      <c r="E10" s="52">
        <f>ROUND(U10,'Đầu vào'!D42)</f>
        <v>1.52</v>
      </c>
      <c r="F10" s="53">
        <v>242000</v>
      </c>
      <c r="G10" s="54">
        <v>1.52</v>
      </c>
      <c r="H10" s="53">
        <f>ROUND(E10*F10/G10,'Đầu vào'!D39)</f>
        <v>242000</v>
      </c>
      <c r="I10" s="53"/>
      <c r="J10" s="53">
        <f>ROUND(J7*H10,'Đầu vào'!D39)</f>
        <v>0</v>
      </c>
      <c r="K10" s="53">
        <f>ROUND(K7*H10,'Đầu vào'!D39)</f>
        <v>0</v>
      </c>
      <c r="L10" s="53">
        <f>ROUND(L7*H10,'Đầu vào'!D39)</f>
        <v>0</v>
      </c>
      <c r="M10" s="53"/>
      <c r="N10" s="53"/>
      <c r="O10" s="53">
        <f>ROUND(O7*H10,'Đầu vào'!D39)</f>
        <v>0</v>
      </c>
      <c r="P10" s="53"/>
      <c r="Q10" s="53">
        <f>ROUND(Q7*H10,'Đầu vào'!D39)</f>
        <v>0</v>
      </c>
      <c r="R10" s="53">
        <f>ROUND(R7*H10,'Đầu vào'!D39)</f>
        <v>0</v>
      </c>
      <c r="S10" s="19"/>
      <c r="T10" s="15">
        <f>ROUND(SUM(H10:R10),'Đầu vào'!D40)</f>
        <v>242000</v>
      </c>
      <c r="U10" s="55">
        <v>1.52</v>
      </c>
    </row>
    <row r="11" spans="1:21" ht="16.5" customHeight="1">
      <c r="A11" s="39">
        <v>4</v>
      </c>
      <c r="B11" s="51" t="str">
        <f>'Giá tháng'!B51</f>
        <v>N2.35</v>
      </c>
      <c r="C11" s="20" t="str">
        <f>'Giá tháng'!C51</f>
        <v>Nhân công 3,5/7 - Nhóm 2</v>
      </c>
      <c r="D11" s="18" t="str">
        <f>'Giá tháng'!D51</f>
        <v>công</v>
      </c>
      <c r="E11" s="52">
        <f>ROUND(U11,'Đầu vào'!D42)</f>
        <v>1.52</v>
      </c>
      <c r="F11" s="53">
        <v>262000</v>
      </c>
      <c r="G11" s="54">
        <v>1.52</v>
      </c>
      <c r="H11" s="53">
        <f>ROUND(E11*F11/G11,'Đầu vào'!D39)</f>
        <v>262000</v>
      </c>
      <c r="I11" s="53"/>
      <c r="J11" s="53">
        <f>ROUND(J7*H11,'Đầu vào'!D39)</f>
        <v>0</v>
      </c>
      <c r="K11" s="53">
        <f>ROUND(K7*H11,'Đầu vào'!D39)</f>
        <v>0</v>
      </c>
      <c r="L11" s="53">
        <f>ROUND(L7*H11,'Đầu vào'!D39)</f>
        <v>0</v>
      </c>
      <c r="M11" s="53"/>
      <c r="N11" s="53"/>
      <c r="O11" s="53">
        <f>ROUND(O7*H11,'Đầu vào'!D39)</f>
        <v>0</v>
      </c>
      <c r="P11" s="53"/>
      <c r="Q11" s="53">
        <f>ROUND(Q7*H11,'Đầu vào'!D39)</f>
        <v>0</v>
      </c>
      <c r="R11" s="53">
        <f>ROUND(R7*H11,'Đầu vào'!D39)</f>
        <v>0</v>
      </c>
      <c r="S11" s="19"/>
      <c r="T11" s="15">
        <f>ROUND(SUM(H11:R11),'Đầu vào'!D40)</f>
        <v>262000</v>
      </c>
      <c r="U11" s="55">
        <v>1.52</v>
      </c>
    </row>
    <row r="12" spans="1:21" ht="16.5" customHeight="1">
      <c r="A12" s="41">
        <v>5</v>
      </c>
      <c r="B12" s="56" t="str">
        <f>'Giá tháng'!B52</f>
        <v>N2.40</v>
      </c>
      <c r="C12" s="31" t="str">
        <f>'Giá tháng'!C52</f>
        <v>Nhân công 4,0/7 - Nhóm 2</v>
      </c>
      <c r="D12" s="29" t="str">
        <f>'Giá tháng'!D52</f>
        <v>công</v>
      </c>
      <c r="E12" s="57">
        <f>ROUND(U12,'Đầu vào'!D42)</f>
        <v>1.65</v>
      </c>
      <c r="F12" s="58">
        <v>262000</v>
      </c>
      <c r="G12" s="59">
        <v>1.52</v>
      </c>
      <c r="H12" s="58">
        <f>ROUND(E12*F12/G12,'Đầu vào'!D39)</f>
        <v>284407.90000000002</v>
      </c>
      <c r="I12" s="58"/>
      <c r="J12" s="58">
        <f>ROUND(J7*H12,'Đầu vào'!D39)</f>
        <v>0</v>
      </c>
      <c r="K12" s="58">
        <f>ROUND(K7*H12,'Đầu vào'!D39)</f>
        <v>0</v>
      </c>
      <c r="L12" s="58">
        <f>ROUND(L7*H12,'Đầu vào'!D39)</f>
        <v>0</v>
      </c>
      <c r="M12" s="58"/>
      <c r="N12" s="58"/>
      <c r="O12" s="58">
        <f>ROUND(O7*H12,'Đầu vào'!D39)</f>
        <v>0</v>
      </c>
      <c r="P12" s="58"/>
      <c r="Q12" s="58">
        <f>ROUND(Q7*H12,'Đầu vào'!D39)</f>
        <v>0</v>
      </c>
      <c r="R12" s="58">
        <f>ROUND(R7*H12,'Đầu vào'!D39)</f>
        <v>0</v>
      </c>
      <c r="S12" s="30"/>
      <c r="T12" s="26">
        <f>ROUND(SUM(H12:R12),'Đầu vào'!D40)</f>
        <v>284408</v>
      </c>
      <c r="U12" s="55">
        <v>1.65</v>
      </c>
    </row>
  </sheetData>
  <mergeCells count="16">
    <mergeCell ref="U5:U7"/>
    <mergeCell ref="A1:T1"/>
    <mergeCell ref="A2:T2"/>
    <mergeCell ref="A3:T3"/>
    <mergeCell ref="A4:T4"/>
    <mergeCell ref="A5:A7"/>
    <mergeCell ref="B5:B7"/>
    <mergeCell ref="C5:C7"/>
    <mergeCell ref="D5:D7"/>
    <mergeCell ref="E5:E7"/>
    <mergeCell ref="F5:F7"/>
    <mergeCell ref="G5:G7"/>
    <mergeCell ref="H5:H7"/>
    <mergeCell ref="I5:R5"/>
    <mergeCell ref="S5:S7"/>
    <mergeCell ref="T5:T7"/>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244"/>
  <sheetViews>
    <sheetView workbookViewId="0">
      <selection activeCell="H4" sqref="H4"/>
    </sheetView>
  </sheetViews>
  <sheetFormatPr defaultColWidth="10" defaultRowHeight="15" customHeight="1"/>
  <cols>
    <col min="1" max="1" width="10" style="34" customWidth="1"/>
    <col min="2" max="2" width="12.5" style="34" customWidth="1"/>
    <col min="3" max="3" width="50" style="34" customWidth="1"/>
    <col min="4" max="4" width="11.6640625" style="34" customWidth="1"/>
    <col min="5" max="5" width="16.6640625" style="34" customWidth="1"/>
    <col min="6" max="7" width="8.33203125" style="34" customWidth="1"/>
    <col min="8" max="8" width="16.6640625" style="34" customWidth="1"/>
    <col min="9" max="9" width="8.33203125" style="34" customWidth="1"/>
    <col min="10" max="10" width="8.33203125" style="34" hidden="1" customWidth="1"/>
    <col min="11" max="11" width="15" style="34" customWidth="1"/>
    <col min="12" max="16384" width="10" style="34"/>
  </cols>
  <sheetData>
    <row r="1" spans="1:11" ht="26.25" customHeight="1">
      <c r="A1" s="981" t="s">
        <v>645</v>
      </c>
      <c r="B1" s="985"/>
      <c r="C1" s="985"/>
      <c r="D1" s="985"/>
      <c r="E1" s="985"/>
      <c r="F1" s="985"/>
      <c r="G1" s="985"/>
      <c r="H1" s="985"/>
      <c r="I1" s="985"/>
      <c r="J1" s="985"/>
      <c r="K1" s="985"/>
    </row>
    <row r="2" spans="1:11" ht="15" customHeight="1">
      <c r="A2" s="997" t="s">
        <v>646</v>
      </c>
      <c r="B2" s="985"/>
      <c r="C2" s="985"/>
      <c r="D2" s="985"/>
      <c r="E2" s="985"/>
      <c r="F2" s="985"/>
      <c r="G2" s="985"/>
      <c r="H2" s="985"/>
      <c r="I2" s="985"/>
      <c r="J2" s="985"/>
      <c r="K2" s="985"/>
    </row>
    <row r="3" spans="1:11" ht="32.25" customHeight="1">
      <c r="A3" s="983" t="str">
        <f>'Công trình'!A2</f>
        <v>CÔNG TRÌNH : SỬA CHỮA TUYẾN ĐƯỜNG TỪ NHÀ BÀ TRƯỜNG, TỔ 5 PHƯỜNG VẠN HƯƠNG ĐẾN NHÀ BÀ KIM, TỔ DÂN PHỐ BẮC HẢI PHƯỜNG BÀNG LA</v>
      </c>
      <c r="B3" s="985"/>
      <c r="C3" s="985"/>
      <c r="D3" s="985"/>
      <c r="E3" s="985"/>
      <c r="F3" s="985"/>
      <c r="G3" s="985"/>
      <c r="H3" s="985"/>
      <c r="I3" s="985"/>
      <c r="J3" s="985"/>
      <c r="K3" s="985"/>
    </row>
    <row r="4" spans="1:11" ht="22.5" customHeight="1">
      <c r="A4" s="998" t="str">
        <f>"Đơn vị tính:  "&amp;'Công trình'!AL1</f>
        <v>Đơn vị tính:  (đ)</v>
      </c>
      <c r="B4" s="985"/>
      <c r="C4" s="985"/>
      <c r="D4" s="985"/>
      <c r="E4" s="985"/>
      <c r="F4" s="985"/>
      <c r="G4" s="985"/>
      <c r="H4" s="985"/>
      <c r="I4" s="985"/>
      <c r="J4" s="985"/>
      <c r="K4" s="985"/>
    </row>
    <row r="5" spans="1:11" ht="48.75" customHeight="1">
      <c r="A5" s="4" t="s">
        <v>4</v>
      </c>
      <c r="B5" s="1" t="s">
        <v>357</v>
      </c>
      <c r="C5" s="1" t="s">
        <v>647</v>
      </c>
      <c r="D5" s="1" t="s">
        <v>359</v>
      </c>
      <c r="E5" s="1" t="str">
        <f>"Nguyên giá_x000D_
"&amp;'Công trình'!AL1</f>
        <v>Nguyên giá_x000D_
(đ)</v>
      </c>
      <c r="F5" s="1" t="s">
        <v>648</v>
      </c>
      <c r="G5" s="1" t="s">
        <v>649</v>
      </c>
      <c r="H5" s="1" t="str">
        <f>"Đơn giá_x000D_
"&amp;'Công trình'!AL1</f>
        <v>Đơn giá_x000D_
(đ)</v>
      </c>
      <c r="I5" s="1" t="s">
        <v>360</v>
      </c>
      <c r="J5" s="1" t="s">
        <v>650</v>
      </c>
      <c r="K5" s="1" t="str">
        <f>"Chi phí_x000D_
"&amp;'Công trình'!AL1</f>
        <v>Chi phí_x000D_
(đ)</v>
      </c>
    </row>
    <row r="6" spans="1:11" ht="16.5" customHeight="1">
      <c r="A6" s="60">
        <v>1</v>
      </c>
      <c r="B6" s="61" t="str">
        <f>'Giá tháng'!B55</f>
        <v>M102.0201</v>
      </c>
      <c r="C6" s="62" t="str">
        <f>'Giá tháng'!C55</f>
        <v>Cần cẩu bánh hơi 6 T</v>
      </c>
      <c r="D6" s="61" t="str">
        <f>'Giá tháng'!D55</f>
        <v>ca</v>
      </c>
      <c r="E6" s="63">
        <v>629428000</v>
      </c>
      <c r="F6" s="64">
        <v>240</v>
      </c>
      <c r="G6" s="65"/>
      <c r="H6" s="66"/>
      <c r="I6" s="67"/>
      <c r="J6" s="68"/>
      <c r="K6" s="69">
        <f>ROUND(K7+K9+K14,'Đầu vào'!D41)</f>
        <v>1764371</v>
      </c>
    </row>
    <row r="7" spans="1:11" ht="16.5" customHeight="1">
      <c r="A7" s="70"/>
      <c r="B7" s="71"/>
      <c r="C7" s="72" t="s">
        <v>651</v>
      </c>
      <c r="D7" s="71"/>
      <c r="E7" s="73"/>
      <c r="F7" s="74"/>
      <c r="G7" s="75"/>
      <c r="H7" s="76"/>
      <c r="I7" s="77"/>
      <c r="J7" s="78"/>
      <c r="K7" s="76">
        <f>ROUND(SUM(K8:K8),'Đầu vào'!D39)</f>
        <v>601145.30000000005</v>
      </c>
    </row>
    <row r="8" spans="1:11" ht="16.5" customHeight="1">
      <c r="A8" s="39"/>
      <c r="B8" s="51"/>
      <c r="C8" s="20" t="str">
        <f>" - "&amp;'Đầu vào'!B23</f>
        <v xml:space="preserve"> - Diezel</v>
      </c>
      <c r="D8" s="51" t="str">
        <f>'Đầu vào'!C23</f>
        <v>Lít</v>
      </c>
      <c r="E8" s="15"/>
      <c r="F8" s="79"/>
      <c r="G8" s="80">
        <v>25</v>
      </c>
      <c r="H8" s="53">
        <f>'Đầu vào'!D23</f>
        <v>23345.45</v>
      </c>
      <c r="I8" s="81">
        <f>'Đầu vào'!D29</f>
        <v>1.03</v>
      </c>
      <c r="J8" s="18"/>
      <c r="K8" s="53">
        <f>ROUND(G8*H8*I8,'Đầu vào'!D39)</f>
        <v>601145.30000000005</v>
      </c>
    </row>
    <row r="9" spans="1:11" ht="16.5" customHeight="1">
      <c r="A9" s="70"/>
      <c r="B9" s="71"/>
      <c r="C9" s="72" t="s">
        <v>652</v>
      </c>
      <c r="D9" s="71"/>
      <c r="E9" s="73"/>
      <c r="F9" s="74"/>
      <c r="G9" s="75"/>
      <c r="H9" s="76"/>
      <c r="I9" s="77"/>
      <c r="J9" s="78"/>
      <c r="K9" s="76">
        <f>ROUND(G10*K10+G12*K12,'Đầu vào'!D39)</f>
        <v>701645</v>
      </c>
    </row>
    <row r="10" spans="1:11" ht="16.5" customHeight="1">
      <c r="A10" s="39"/>
      <c r="B10" s="51"/>
      <c r="C10" s="20" t="s">
        <v>653</v>
      </c>
      <c r="D10" s="51"/>
      <c r="E10" s="15"/>
      <c r="F10" s="79"/>
      <c r="G10" s="80">
        <v>1</v>
      </c>
      <c r="H10" s="53"/>
      <c r="I10" s="81"/>
      <c r="J10" s="18"/>
      <c r="K10" s="53">
        <f>ROUND(SUM(K11:K11),'Đầu vào'!E40)</f>
        <v>293092</v>
      </c>
    </row>
    <row r="11" spans="1:11" ht="16.5" customHeight="1">
      <c r="A11" s="39"/>
      <c r="B11" s="51"/>
      <c r="C11" s="20" t="s">
        <v>654</v>
      </c>
      <c r="D11" s="51"/>
      <c r="E11" s="15"/>
      <c r="F11" s="79"/>
      <c r="G11" s="80">
        <v>1.65</v>
      </c>
      <c r="H11" s="53">
        <v>270000</v>
      </c>
      <c r="I11" s="81">
        <v>1.52</v>
      </c>
      <c r="J11" s="18"/>
      <c r="K11" s="53">
        <f>ROUND(IF(G11&lt;&gt;0,G11*H11/I11,H11),'Đầu vào'!E40)</f>
        <v>293092</v>
      </c>
    </row>
    <row r="12" spans="1:11" ht="16.5" customHeight="1">
      <c r="A12" s="39"/>
      <c r="B12" s="51"/>
      <c r="C12" s="20" t="s">
        <v>655</v>
      </c>
      <c r="D12" s="51"/>
      <c r="E12" s="15"/>
      <c r="F12" s="79"/>
      <c r="G12" s="80">
        <v>1</v>
      </c>
      <c r="H12" s="53"/>
      <c r="I12" s="81"/>
      <c r="J12" s="18"/>
      <c r="K12" s="53">
        <f>ROUND(SUM(K13:K13),'Đầu vào'!E40)</f>
        <v>408553</v>
      </c>
    </row>
    <row r="13" spans="1:11" ht="16.5" customHeight="1">
      <c r="A13" s="39"/>
      <c r="B13" s="51"/>
      <c r="C13" s="20" t="s">
        <v>654</v>
      </c>
      <c r="D13" s="51"/>
      <c r="E13" s="15"/>
      <c r="F13" s="79"/>
      <c r="G13" s="80">
        <v>2.2999999999999998</v>
      </c>
      <c r="H13" s="53">
        <v>270000</v>
      </c>
      <c r="I13" s="81">
        <v>1.52</v>
      </c>
      <c r="J13" s="18"/>
      <c r="K13" s="53">
        <f>ROUND(IF(G13&lt;&gt;0,G13*H13/I13,H13),'Đầu vào'!E40)</f>
        <v>408553</v>
      </c>
    </row>
    <row r="14" spans="1:11" ht="16.5" customHeight="1">
      <c r="A14" s="70"/>
      <c r="B14" s="71"/>
      <c r="C14" s="72" t="s">
        <v>656</v>
      </c>
      <c r="D14" s="71"/>
      <c r="E14" s="73"/>
      <c r="F14" s="74"/>
      <c r="G14" s="75"/>
      <c r="H14" s="76"/>
      <c r="I14" s="77"/>
      <c r="J14" s="78"/>
      <c r="K14" s="76">
        <f>SUM(K15:K17)</f>
        <v>461580.6</v>
      </c>
    </row>
    <row r="15" spans="1:11" ht="16.5" customHeight="1">
      <c r="A15" s="39"/>
      <c r="B15" s="51"/>
      <c r="C15" s="20" t="s">
        <v>657</v>
      </c>
      <c r="D15" s="51"/>
      <c r="E15" s="15"/>
      <c r="F15" s="79"/>
      <c r="G15" s="80">
        <v>0.09</v>
      </c>
      <c r="H15" s="53">
        <f>E6</f>
        <v>629428000</v>
      </c>
      <c r="I15" s="81">
        <f>IF(E6&gt;='Đầu vào'!D35*10^6,1-'Đầu vào'!D36,1)</f>
        <v>0.9</v>
      </c>
      <c r="J15" s="18"/>
      <c r="K15" s="53">
        <f>ROUND(G15*H15*I15/F6,'Đầu vào'!E39)</f>
        <v>212432</v>
      </c>
    </row>
    <row r="16" spans="1:11" ht="16.5" customHeight="1">
      <c r="A16" s="39"/>
      <c r="B16" s="51"/>
      <c r="C16" s="20" t="s">
        <v>658</v>
      </c>
      <c r="D16" s="51"/>
      <c r="E16" s="15"/>
      <c r="F16" s="79"/>
      <c r="G16" s="80">
        <v>4.4999999999999998E-2</v>
      </c>
      <c r="H16" s="53">
        <f>E6</f>
        <v>629428000</v>
      </c>
      <c r="I16" s="81"/>
      <c r="J16" s="18"/>
      <c r="K16" s="53">
        <f>ROUND(G16*H16/F6,'Đầu vào'!E39)</f>
        <v>118017.8</v>
      </c>
    </row>
    <row r="17" spans="1:11" ht="16.5" customHeight="1">
      <c r="A17" s="39"/>
      <c r="B17" s="51"/>
      <c r="C17" s="20" t="s">
        <v>659</v>
      </c>
      <c r="D17" s="51"/>
      <c r="E17" s="15"/>
      <c r="F17" s="79"/>
      <c r="G17" s="80">
        <v>0.05</v>
      </c>
      <c r="H17" s="53">
        <f>E6</f>
        <v>629428000</v>
      </c>
      <c r="I17" s="81"/>
      <c r="J17" s="18"/>
      <c r="K17" s="53">
        <f>ROUND(G17*H17/F6,'Đầu vào'!E39)</f>
        <v>131130.79999999999</v>
      </c>
    </row>
    <row r="18" spans="1:11" ht="16.5" customHeight="1">
      <c r="A18" s="60">
        <v>2</v>
      </c>
      <c r="B18" s="61" t="str">
        <f>'Giá tháng'!B56</f>
        <v>M112.2601</v>
      </c>
      <c r="C18" s="62" t="str">
        <f>'Giá tháng'!C56</f>
        <v>Máy cắt uốn cốt thép - công suất : 5,0 kW</v>
      </c>
      <c r="D18" s="61" t="str">
        <f>'Giá tháng'!D56</f>
        <v>ca</v>
      </c>
      <c r="E18" s="63">
        <v>18200000</v>
      </c>
      <c r="F18" s="64">
        <v>240</v>
      </c>
      <c r="G18" s="65"/>
      <c r="H18" s="66"/>
      <c r="I18" s="67"/>
      <c r="J18" s="68"/>
      <c r="K18" s="69">
        <f>ROUND(K19+K21+K24,'Đầu vào'!D41)</f>
        <v>279591</v>
      </c>
    </row>
    <row r="19" spans="1:11" ht="16.5" customHeight="1">
      <c r="A19" s="70"/>
      <c r="B19" s="71"/>
      <c r="C19" s="72" t="s">
        <v>651</v>
      </c>
      <c r="D19" s="71"/>
      <c r="E19" s="73"/>
      <c r="F19" s="74"/>
      <c r="G19" s="75"/>
      <c r="H19" s="76"/>
      <c r="I19" s="77"/>
      <c r="J19" s="78"/>
      <c r="K19" s="76">
        <f>ROUND(SUM(K20:K20),'Đầu vào'!D39)</f>
        <v>15923.3</v>
      </c>
    </row>
    <row r="20" spans="1:11" ht="16.5" customHeight="1">
      <c r="A20" s="39"/>
      <c r="B20" s="51"/>
      <c r="C20" s="20" t="str">
        <f>" - "&amp;'Đầu vào'!B25</f>
        <v xml:space="preserve"> - Điện</v>
      </c>
      <c r="D20" s="51" t="str">
        <f>'Đầu vào'!C25</f>
        <v>kwh</v>
      </c>
      <c r="E20" s="15"/>
      <c r="F20" s="79"/>
      <c r="G20" s="80">
        <v>9</v>
      </c>
      <c r="H20" s="53">
        <f>'Đầu vào'!D25</f>
        <v>1685</v>
      </c>
      <c r="I20" s="81">
        <f>'Đầu vào'!D31</f>
        <v>1.05</v>
      </c>
      <c r="J20" s="18"/>
      <c r="K20" s="53">
        <f>ROUND(G20*H20*I20,'Đầu vào'!D39)</f>
        <v>15923.3</v>
      </c>
    </row>
    <row r="21" spans="1:11" ht="16.5" customHeight="1">
      <c r="A21" s="70"/>
      <c r="B21" s="71"/>
      <c r="C21" s="72" t="s">
        <v>652</v>
      </c>
      <c r="D21" s="71"/>
      <c r="E21" s="73"/>
      <c r="F21" s="74"/>
      <c r="G21" s="75"/>
      <c r="H21" s="76"/>
      <c r="I21" s="77"/>
      <c r="J21" s="78"/>
      <c r="K21" s="76">
        <f>ROUND(G22*K22,'Đầu vào'!D39)</f>
        <v>246908</v>
      </c>
    </row>
    <row r="22" spans="1:11" ht="16.5" customHeight="1">
      <c r="A22" s="39"/>
      <c r="B22" s="51"/>
      <c r="C22" s="20" t="s">
        <v>660</v>
      </c>
      <c r="D22" s="51"/>
      <c r="E22" s="15"/>
      <c r="F22" s="79"/>
      <c r="G22" s="80">
        <v>1</v>
      </c>
      <c r="H22" s="53"/>
      <c r="I22" s="81"/>
      <c r="J22" s="18"/>
      <c r="K22" s="53">
        <f>ROUND(SUM(K23:K23),'Đầu vào'!E40)</f>
        <v>246908</v>
      </c>
    </row>
    <row r="23" spans="1:11" ht="16.5" customHeight="1">
      <c r="A23" s="39"/>
      <c r="B23" s="51"/>
      <c r="C23" s="20" t="s">
        <v>654</v>
      </c>
      <c r="D23" s="51"/>
      <c r="E23" s="15"/>
      <c r="F23" s="79"/>
      <c r="G23" s="80">
        <v>1.39</v>
      </c>
      <c r="H23" s="53">
        <v>270000</v>
      </c>
      <c r="I23" s="81">
        <v>1.52</v>
      </c>
      <c r="J23" s="18"/>
      <c r="K23" s="53">
        <f>ROUND(IF(G23&lt;&gt;0,G23*H23/I23,H23),'Đầu vào'!E40)</f>
        <v>246908</v>
      </c>
    </row>
    <row r="24" spans="1:11" ht="16.5" customHeight="1">
      <c r="A24" s="70"/>
      <c r="B24" s="71"/>
      <c r="C24" s="72" t="s">
        <v>656</v>
      </c>
      <c r="D24" s="71"/>
      <c r="E24" s="73"/>
      <c r="F24" s="74"/>
      <c r="G24" s="75"/>
      <c r="H24" s="76"/>
      <c r="I24" s="77"/>
      <c r="J24" s="78"/>
      <c r="K24" s="76">
        <f>SUM(K25:K27)</f>
        <v>16759.2</v>
      </c>
    </row>
    <row r="25" spans="1:11" ht="16.5" customHeight="1">
      <c r="A25" s="39"/>
      <c r="B25" s="51"/>
      <c r="C25" s="20" t="s">
        <v>657</v>
      </c>
      <c r="D25" s="51"/>
      <c r="E25" s="15"/>
      <c r="F25" s="79"/>
      <c r="G25" s="80">
        <v>0.14000000000000001</v>
      </c>
      <c r="H25" s="53">
        <f>E18</f>
        <v>18200000</v>
      </c>
      <c r="I25" s="81">
        <f>IF(E18&gt;='Đầu vào'!D35*10^6,1-'Đầu vào'!D36,1)</f>
        <v>1</v>
      </c>
      <c r="J25" s="18"/>
      <c r="K25" s="53">
        <f>ROUND(G25*H25*I25/F18,'Đầu vào'!E39)</f>
        <v>10616.7</v>
      </c>
    </row>
    <row r="26" spans="1:11" ht="16.5" customHeight="1">
      <c r="A26" s="39"/>
      <c r="B26" s="51"/>
      <c r="C26" s="20" t="s">
        <v>658</v>
      </c>
      <c r="D26" s="51"/>
      <c r="E26" s="15"/>
      <c r="F26" s="79"/>
      <c r="G26" s="80">
        <v>4.0999999999999995E-2</v>
      </c>
      <c r="H26" s="53">
        <f>E18</f>
        <v>18200000</v>
      </c>
      <c r="I26" s="81"/>
      <c r="J26" s="18"/>
      <c r="K26" s="53">
        <f>ROUND(G26*H26/F18,'Đầu vào'!E39)</f>
        <v>3109.2</v>
      </c>
    </row>
    <row r="27" spans="1:11" ht="16.5" customHeight="1">
      <c r="A27" s="39"/>
      <c r="B27" s="51"/>
      <c r="C27" s="20" t="s">
        <v>659</v>
      </c>
      <c r="D27" s="51"/>
      <c r="E27" s="15"/>
      <c r="F27" s="79"/>
      <c r="G27" s="80">
        <v>0.04</v>
      </c>
      <c r="H27" s="53">
        <f>E18</f>
        <v>18200000</v>
      </c>
      <c r="I27" s="81"/>
      <c r="J27" s="18"/>
      <c r="K27" s="53">
        <f>ROUND(G27*H27/F18,'Đầu vào'!E39)</f>
        <v>3033.3</v>
      </c>
    </row>
    <row r="28" spans="1:11" ht="28.5" customHeight="1">
      <c r="A28" s="60">
        <v>3</v>
      </c>
      <c r="B28" s="61" t="str">
        <f>'Giá tháng'!B57</f>
        <v>M101.0115</v>
      </c>
      <c r="C28" s="62" t="str">
        <f>'Giá tháng'!C57</f>
        <v>Máy đào 1,25 m3 gắn đầu búa thủy lực / hàm kẹp</v>
      </c>
      <c r="D28" s="61" t="str">
        <f>'Giá tháng'!D57</f>
        <v>ca</v>
      </c>
      <c r="E28" s="63">
        <v>2150000000</v>
      </c>
      <c r="F28" s="64">
        <v>280</v>
      </c>
      <c r="G28" s="65"/>
      <c r="H28" s="66"/>
      <c r="I28" s="67"/>
      <c r="J28" s="68"/>
      <c r="K28" s="69">
        <f>ROUND(K29+K31+K34,'Đầu vào'!D41)</f>
        <v>4293002</v>
      </c>
    </row>
    <row r="29" spans="1:11" ht="16.5" customHeight="1">
      <c r="A29" s="70"/>
      <c r="B29" s="71"/>
      <c r="C29" s="72" t="s">
        <v>651</v>
      </c>
      <c r="D29" s="71"/>
      <c r="E29" s="73"/>
      <c r="F29" s="74"/>
      <c r="G29" s="75"/>
      <c r="H29" s="76"/>
      <c r="I29" s="77"/>
      <c r="J29" s="78"/>
      <c r="K29" s="76">
        <f>ROUND(SUM(K30:K30),'Đầu vào'!D39)</f>
        <v>1995802.5</v>
      </c>
    </row>
    <row r="30" spans="1:11" ht="16.5" customHeight="1">
      <c r="A30" s="39"/>
      <c r="B30" s="51"/>
      <c r="C30" s="20" t="str">
        <f>" - "&amp;'Đầu vào'!B23</f>
        <v xml:space="preserve"> - Diezel</v>
      </c>
      <c r="D30" s="51" t="str">
        <f>'Đầu vào'!C23</f>
        <v>Lít</v>
      </c>
      <c r="E30" s="15"/>
      <c r="F30" s="79"/>
      <c r="G30" s="80">
        <v>83</v>
      </c>
      <c r="H30" s="53">
        <f>'Đầu vào'!D23</f>
        <v>23345.45</v>
      </c>
      <c r="I30" s="81">
        <f>'Đầu vào'!D29</f>
        <v>1.03</v>
      </c>
      <c r="J30" s="18"/>
      <c r="K30" s="53">
        <f>ROUND(G30*H30*I30,'Đầu vào'!D39)</f>
        <v>1995802.5</v>
      </c>
    </row>
    <row r="31" spans="1:11" ht="16.5" customHeight="1">
      <c r="A31" s="70"/>
      <c r="B31" s="71"/>
      <c r="C31" s="72" t="s">
        <v>652</v>
      </c>
      <c r="D31" s="71"/>
      <c r="E31" s="73"/>
      <c r="F31" s="74"/>
      <c r="G31" s="75"/>
      <c r="H31" s="76"/>
      <c r="I31" s="77"/>
      <c r="J31" s="78"/>
      <c r="K31" s="76">
        <f>ROUND(G32*K32,'Đầu vào'!D39)</f>
        <v>293092</v>
      </c>
    </row>
    <row r="32" spans="1:11" ht="16.5" customHeight="1">
      <c r="A32" s="39"/>
      <c r="B32" s="51"/>
      <c r="C32" s="20" t="s">
        <v>653</v>
      </c>
      <c r="D32" s="51"/>
      <c r="E32" s="15"/>
      <c r="F32" s="79"/>
      <c r="G32" s="80">
        <v>1</v>
      </c>
      <c r="H32" s="53"/>
      <c r="I32" s="81"/>
      <c r="J32" s="18"/>
      <c r="K32" s="53">
        <f>ROUND(SUM(K33:K33),'Đầu vào'!E40)</f>
        <v>293092</v>
      </c>
    </row>
    <row r="33" spans="1:11" ht="16.5" customHeight="1">
      <c r="A33" s="39"/>
      <c r="B33" s="51"/>
      <c r="C33" s="20" t="s">
        <v>654</v>
      </c>
      <c r="D33" s="51"/>
      <c r="E33" s="15"/>
      <c r="F33" s="79"/>
      <c r="G33" s="80">
        <v>1.65</v>
      </c>
      <c r="H33" s="53">
        <v>270000</v>
      </c>
      <c r="I33" s="81">
        <v>1.52</v>
      </c>
      <c r="J33" s="18"/>
      <c r="K33" s="53">
        <f>ROUND(IF(G33&lt;&gt;0,G33*H33/I33,H33),'Đầu vào'!E40)</f>
        <v>293092</v>
      </c>
    </row>
    <row r="34" spans="1:11" ht="16.5" customHeight="1">
      <c r="A34" s="70"/>
      <c r="B34" s="71"/>
      <c r="C34" s="72" t="s">
        <v>656</v>
      </c>
      <c r="D34" s="71"/>
      <c r="E34" s="73"/>
      <c r="F34" s="74"/>
      <c r="G34" s="75"/>
      <c r="H34" s="76"/>
      <c r="I34" s="77"/>
      <c r="J34" s="78"/>
      <c r="K34" s="76">
        <f>SUM(K35:K37)</f>
        <v>2004107.1</v>
      </c>
    </row>
    <row r="35" spans="1:11" ht="16.5" customHeight="1">
      <c r="A35" s="39"/>
      <c r="B35" s="51"/>
      <c r="C35" s="20" t="s">
        <v>657</v>
      </c>
      <c r="D35" s="51"/>
      <c r="E35" s="15"/>
      <c r="F35" s="79"/>
      <c r="G35" s="80">
        <v>0.17</v>
      </c>
      <c r="H35" s="53">
        <f>E28</f>
        <v>2150000000</v>
      </c>
      <c r="I35" s="81">
        <f>IF(E28&gt;='Đầu vào'!D35*10^6,1-'Đầu vào'!D36,1)</f>
        <v>0.9</v>
      </c>
      <c r="J35" s="18"/>
      <c r="K35" s="53">
        <f>ROUND(G35*H35*I35/F28,'Đầu vào'!E39)</f>
        <v>1174821.3999999999</v>
      </c>
    </row>
    <row r="36" spans="1:11" ht="16.5" customHeight="1">
      <c r="A36" s="39"/>
      <c r="B36" s="51"/>
      <c r="C36" s="20" t="s">
        <v>658</v>
      </c>
      <c r="D36" s="51"/>
      <c r="E36" s="15"/>
      <c r="F36" s="79"/>
      <c r="G36" s="80">
        <v>5.7999999999999996E-2</v>
      </c>
      <c r="H36" s="53">
        <f>E28</f>
        <v>2150000000</v>
      </c>
      <c r="I36" s="81"/>
      <c r="J36" s="18"/>
      <c r="K36" s="53">
        <f>ROUND(G36*H36/F28,'Đầu vào'!E39)</f>
        <v>445357.1</v>
      </c>
    </row>
    <row r="37" spans="1:11" ht="16.5" customHeight="1">
      <c r="A37" s="39"/>
      <c r="B37" s="51"/>
      <c r="C37" s="20" t="s">
        <v>659</v>
      </c>
      <c r="D37" s="51"/>
      <c r="E37" s="15"/>
      <c r="F37" s="79"/>
      <c r="G37" s="80">
        <v>0.05</v>
      </c>
      <c r="H37" s="53">
        <f>E28</f>
        <v>2150000000</v>
      </c>
      <c r="I37" s="81"/>
      <c r="J37" s="18"/>
      <c r="K37" s="53">
        <f>ROUND(G37*H37/F28,'Đầu vào'!E39)</f>
        <v>383928.6</v>
      </c>
    </row>
    <row r="38" spans="1:11" ht="28.5" customHeight="1">
      <c r="A38" s="60">
        <v>4</v>
      </c>
      <c r="B38" s="61" t="str">
        <f>'Giá tháng'!B58</f>
        <v>M101.0101</v>
      </c>
      <c r="C38" s="62" t="str">
        <f>'Giá tháng'!C58</f>
        <v>Máy đào một gầu, bánh xích - dung tích gầu : 0,40 m3</v>
      </c>
      <c r="D38" s="61" t="str">
        <f>'Giá tháng'!D58</f>
        <v>ca</v>
      </c>
      <c r="E38" s="63">
        <v>809944000</v>
      </c>
      <c r="F38" s="64">
        <v>280</v>
      </c>
      <c r="G38" s="65"/>
      <c r="H38" s="66"/>
      <c r="I38" s="67"/>
      <c r="J38" s="68"/>
      <c r="K38" s="69">
        <f>ROUND(K39+K41+K44,'Đầu vào'!D41)</f>
        <v>2082046</v>
      </c>
    </row>
    <row r="39" spans="1:11" ht="16.5" customHeight="1">
      <c r="A39" s="70"/>
      <c r="B39" s="71"/>
      <c r="C39" s="72" t="s">
        <v>651</v>
      </c>
      <c r="D39" s="71"/>
      <c r="E39" s="73"/>
      <c r="F39" s="74"/>
      <c r="G39" s="75"/>
      <c r="H39" s="76"/>
      <c r="I39" s="77"/>
      <c r="J39" s="78"/>
      <c r="K39" s="76">
        <f>ROUND(SUM(K40:K40),'Đầu vào'!D39)</f>
        <v>1033970</v>
      </c>
    </row>
    <row r="40" spans="1:11" ht="16.5" customHeight="1">
      <c r="A40" s="39"/>
      <c r="B40" s="51"/>
      <c r="C40" s="20" t="str">
        <f>" - "&amp;'Đầu vào'!B23</f>
        <v xml:space="preserve"> - Diezel</v>
      </c>
      <c r="D40" s="51" t="str">
        <f>'Đầu vào'!C23</f>
        <v>Lít</v>
      </c>
      <c r="E40" s="15"/>
      <c r="F40" s="79"/>
      <c r="G40" s="80">
        <v>43</v>
      </c>
      <c r="H40" s="53">
        <f>'Đầu vào'!D23</f>
        <v>23345.45</v>
      </c>
      <c r="I40" s="81">
        <f>'Đầu vào'!D29</f>
        <v>1.03</v>
      </c>
      <c r="J40" s="18"/>
      <c r="K40" s="53">
        <f>ROUND(G40*H40*I40,'Đầu vào'!D39)</f>
        <v>1033970</v>
      </c>
    </row>
    <row r="41" spans="1:11" ht="16.5" customHeight="1">
      <c r="A41" s="70"/>
      <c r="B41" s="71"/>
      <c r="C41" s="72" t="s">
        <v>652</v>
      </c>
      <c r="D41" s="71"/>
      <c r="E41" s="73"/>
      <c r="F41" s="74"/>
      <c r="G41" s="75"/>
      <c r="H41" s="76"/>
      <c r="I41" s="77"/>
      <c r="J41" s="78"/>
      <c r="K41" s="76">
        <f>ROUND(G42*K42,'Đầu vào'!D39)</f>
        <v>293092</v>
      </c>
    </row>
    <row r="42" spans="1:11" ht="16.5" customHeight="1">
      <c r="A42" s="39"/>
      <c r="B42" s="51"/>
      <c r="C42" s="20" t="s">
        <v>653</v>
      </c>
      <c r="D42" s="51"/>
      <c r="E42" s="15"/>
      <c r="F42" s="79"/>
      <c r="G42" s="80">
        <v>1</v>
      </c>
      <c r="H42" s="53"/>
      <c r="I42" s="81"/>
      <c r="J42" s="18"/>
      <c r="K42" s="53">
        <f>ROUND(SUM(K43:K43),'Đầu vào'!E40)</f>
        <v>293092</v>
      </c>
    </row>
    <row r="43" spans="1:11" ht="16.5" customHeight="1">
      <c r="A43" s="39"/>
      <c r="B43" s="51"/>
      <c r="C43" s="20" t="s">
        <v>654</v>
      </c>
      <c r="D43" s="51"/>
      <c r="E43" s="15"/>
      <c r="F43" s="79"/>
      <c r="G43" s="80">
        <v>1.65</v>
      </c>
      <c r="H43" s="53">
        <v>270000</v>
      </c>
      <c r="I43" s="81">
        <v>1.52</v>
      </c>
      <c r="J43" s="18"/>
      <c r="K43" s="53">
        <f>ROUND(IF(G43&lt;&gt;0,G43*H43/I43,H43),'Đầu vào'!E40)</f>
        <v>293092</v>
      </c>
    </row>
    <row r="44" spans="1:11" ht="16.5" customHeight="1">
      <c r="A44" s="70"/>
      <c r="B44" s="71"/>
      <c r="C44" s="72" t="s">
        <v>656</v>
      </c>
      <c r="D44" s="71"/>
      <c r="E44" s="73"/>
      <c r="F44" s="74"/>
      <c r="G44" s="75"/>
      <c r="H44" s="76"/>
      <c r="I44" s="77"/>
      <c r="J44" s="78"/>
      <c r="K44" s="76">
        <f>SUM(K45:K47)</f>
        <v>754983.5</v>
      </c>
    </row>
    <row r="45" spans="1:11" ht="16.5" customHeight="1">
      <c r="A45" s="39"/>
      <c r="B45" s="51"/>
      <c r="C45" s="20" t="s">
        <v>657</v>
      </c>
      <c r="D45" s="51"/>
      <c r="E45" s="15"/>
      <c r="F45" s="79"/>
      <c r="G45" s="80">
        <v>0.17</v>
      </c>
      <c r="H45" s="53">
        <f>E38</f>
        <v>809944000</v>
      </c>
      <c r="I45" s="81">
        <f>IF(E38&gt;='Đầu vào'!D35*10^6,1-'Đầu vào'!D36,1)</f>
        <v>0.9</v>
      </c>
      <c r="J45" s="18"/>
      <c r="K45" s="53">
        <f>ROUND(G45*H45*I45/F38,'Đầu vào'!E39)</f>
        <v>442576.5</v>
      </c>
    </row>
    <row r="46" spans="1:11" ht="16.5" customHeight="1">
      <c r="A46" s="39"/>
      <c r="B46" s="51"/>
      <c r="C46" s="20" t="s">
        <v>658</v>
      </c>
      <c r="D46" s="51"/>
      <c r="E46" s="15"/>
      <c r="F46" s="79"/>
      <c r="G46" s="80">
        <v>5.7999999999999996E-2</v>
      </c>
      <c r="H46" s="53">
        <f>E38</f>
        <v>809944000</v>
      </c>
      <c r="I46" s="81"/>
      <c r="J46" s="18"/>
      <c r="K46" s="53">
        <f>ROUND(G46*H46/F38,'Đầu vào'!E39)</f>
        <v>167774.1</v>
      </c>
    </row>
    <row r="47" spans="1:11" ht="16.5" customHeight="1">
      <c r="A47" s="39"/>
      <c r="B47" s="51"/>
      <c r="C47" s="20" t="s">
        <v>659</v>
      </c>
      <c r="D47" s="51"/>
      <c r="E47" s="15"/>
      <c r="F47" s="79"/>
      <c r="G47" s="80">
        <v>0.05</v>
      </c>
      <c r="H47" s="53">
        <f>E38</f>
        <v>809944000</v>
      </c>
      <c r="I47" s="81"/>
      <c r="J47" s="18"/>
      <c r="K47" s="53">
        <f>ROUND(G47*H47/F38,'Đầu vào'!E39)</f>
        <v>144632.9</v>
      </c>
    </row>
    <row r="48" spans="1:11" ht="28.5" customHeight="1">
      <c r="A48" s="60">
        <v>5</v>
      </c>
      <c r="B48" s="61" t="str">
        <f>'Giá tháng'!B59</f>
        <v>M101.0102</v>
      </c>
      <c r="C48" s="62" t="str">
        <f>'Giá tháng'!C59</f>
        <v>Máy đào một gầu, bánh xích - dung tích gầu : 0,50 m3</v>
      </c>
      <c r="D48" s="61" t="str">
        <f>'Giá tháng'!D59</f>
        <v>ca</v>
      </c>
      <c r="E48" s="63">
        <v>952186000</v>
      </c>
      <c r="F48" s="64">
        <v>280</v>
      </c>
      <c r="G48" s="65"/>
      <c r="H48" s="66"/>
      <c r="I48" s="67"/>
      <c r="J48" s="68"/>
      <c r="K48" s="69">
        <f>ROUND(K49+K51+K54,'Đầu vào'!D41)</f>
        <v>2407002</v>
      </c>
    </row>
    <row r="49" spans="1:11" ht="16.5" customHeight="1">
      <c r="A49" s="70"/>
      <c r="B49" s="71"/>
      <c r="C49" s="72" t="s">
        <v>651</v>
      </c>
      <c r="D49" s="71"/>
      <c r="E49" s="73"/>
      <c r="F49" s="74"/>
      <c r="G49" s="75"/>
      <c r="H49" s="76"/>
      <c r="I49" s="77"/>
      <c r="J49" s="78"/>
      <c r="K49" s="76">
        <f>ROUND(SUM(K50:K50),'Đầu vào'!D39)</f>
        <v>1226336.5</v>
      </c>
    </row>
    <row r="50" spans="1:11" ht="16.5" customHeight="1">
      <c r="A50" s="39"/>
      <c r="B50" s="51"/>
      <c r="C50" s="20" t="str">
        <f>" - "&amp;'Đầu vào'!B23</f>
        <v xml:space="preserve"> - Diezel</v>
      </c>
      <c r="D50" s="51" t="str">
        <f>'Đầu vào'!C23</f>
        <v>Lít</v>
      </c>
      <c r="E50" s="15"/>
      <c r="F50" s="79"/>
      <c r="G50" s="80">
        <v>51</v>
      </c>
      <c r="H50" s="53">
        <f>'Đầu vào'!D23</f>
        <v>23345.45</v>
      </c>
      <c r="I50" s="81">
        <f>'Đầu vào'!D29</f>
        <v>1.03</v>
      </c>
      <c r="J50" s="18"/>
      <c r="K50" s="53">
        <f>ROUND(G50*H50*I50,'Đầu vào'!D39)</f>
        <v>1226336.5</v>
      </c>
    </row>
    <row r="51" spans="1:11" ht="16.5" customHeight="1">
      <c r="A51" s="70"/>
      <c r="B51" s="71"/>
      <c r="C51" s="72" t="s">
        <v>652</v>
      </c>
      <c r="D51" s="71"/>
      <c r="E51" s="73"/>
      <c r="F51" s="74"/>
      <c r="G51" s="75"/>
      <c r="H51" s="76"/>
      <c r="I51" s="77"/>
      <c r="J51" s="78"/>
      <c r="K51" s="76">
        <f>ROUND(G52*K52,'Đầu vào'!D39)</f>
        <v>293092</v>
      </c>
    </row>
    <row r="52" spans="1:11" ht="16.5" customHeight="1">
      <c r="A52" s="39"/>
      <c r="B52" s="51"/>
      <c r="C52" s="20" t="s">
        <v>653</v>
      </c>
      <c r="D52" s="51"/>
      <c r="E52" s="15"/>
      <c r="F52" s="79"/>
      <c r="G52" s="80">
        <v>1</v>
      </c>
      <c r="H52" s="53"/>
      <c r="I52" s="81"/>
      <c r="J52" s="18"/>
      <c r="K52" s="53">
        <f>ROUND(SUM(K53:K53),'Đầu vào'!E40)</f>
        <v>293092</v>
      </c>
    </row>
    <row r="53" spans="1:11" ht="16.5" customHeight="1">
      <c r="A53" s="39"/>
      <c r="B53" s="51"/>
      <c r="C53" s="20" t="s">
        <v>654</v>
      </c>
      <c r="D53" s="51"/>
      <c r="E53" s="15"/>
      <c r="F53" s="79"/>
      <c r="G53" s="80">
        <v>1.65</v>
      </c>
      <c r="H53" s="53">
        <v>270000</v>
      </c>
      <c r="I53" s="81">
        <v>1.52</v>
      </c>
      <c r="J53" s="18"/>
      <c r="K53" s="53">
        <f>ROUND(IF(G53&lt;&gt;0,G53*H53/I53,H53),'Đầu vào'!E40)</f>
        <v>293092</v>
      </c>
    </row>
    <row r="54" spans="1:11" ht="16.5" customHeight="1">
      <c r="A54" s="70"/>
      <c r="B54" s="71"/>
      <c r="C54" s="72" t="s">
        <v>656</v>
      </c>
      <c r="D54" s="71"/>
      <c r="E54" s="73"/>
      <c r="F54" s="74"/>
      <c r="G54" s="75"/>
      <c r="H54" s="76"/>
      <c r="I54" s="77"/>
      <c r="J54" s="78"/>
      <c r="K54" s="76">
        <f>SUM(K55:K57)</f>
        <v>887573.3</v>
      </c>
    </row>
    <row r="55" spans="1:11" ht="16.5" customHeight="1">
      <c r="A55" s="39"/>
      <c r="B55" s="51"/>
      <c r="C55" s="20" t="s">
        <v>657</v>
      </c>
      <c r="D55" s="51"/>
      <c r="E55" s="15"/>
      <c r="F55" s="79"/>
      <c r="G55" s="80">
        <v>0.17</v>
      </c>
      <c r="H55" s="53">
        <f>E48</f>
        <v>952186000</v>
      </c>
      <c r="I55" s="81">
        <f>IF(E48&gt;='Đầu vào'!D35*10^6,1-'Đầu vào'!D36,1)</f>
        <v>0.9</v>
      </c>
      <c r="J55" s="18"/>
      <c r="K55" s="53">
        <f>ROUND(G55*H55*I55/F48,'Đầu vào'!E39)</f>
        <v>520301.6</v>
      </c>
    </row>
    <row r="56" spans="1:11" ht="16.5" customHeight="1">
      <c r="A56" s="39"/>
      <c r="B56" s="51"/>
      <c r="C56" s="20" t="s">
        <v>658</v>
      </c>
      <c r="D56" s="51"/>
      <c r="E56" s="15"/>
      <c r="F56" s="79"/>
      <c r="G56" s="80">
        <v>5.7999999999999996E-2</v>
      </c>
      <c r="H56" s="53">
        <f>E48</f>
        <v>952186000</v>
      </c>
      <c r="I56" s="81"/>
      <c r="J56" s="18"/>
      <c r="K56" s="53">
        <f>ROUND(G56*H56/F48,'Đầu vào'!E39)</f>
        <v>197238.5</v>
      </c>
    </row>
    <row r="57" spans="1:11" ht="16.5" customHeight="1">
      <c r="A57" s="39"/>
      <c r="B57" s="51"/>
      <c r="C57" s="20" t="s">
        <v>659</v>
      </c>
      <c r="D57" s="51"/>
      <c r="E57" s="15"/>
      <c r="F57" s="79"/>
      <c r="G57" s="80">
        <v>0.05</v>
      </c>
      <c r="H57" s="53">
        <f>E48</f>
        <v>952186000</v>
      </c>
      <c r="I57" s="81"/>
      <c r="J57" s="18"/>
      <c r="K57" s="53">
        <f>ROUND(G57*H57/F48,'Đầu vào'!E39)</f>
        <v>170033.2</v>
      </c>
    </row>
    <row r="58" spans="1:11" ht="28.5" customHeight="1">
      <c r="A58" s="60">
        <v>6</v>
      </c>
      <c r="B58" s="61" t="str">
        <f>'Giá tháng'!B60</f>
        <v>M101.0104</v>
      </c>
      <c r="C58" s="62" t="str">
        <f>'Giá tháng'!C60</f>
        <v>Máy đào một gầu, bánh xích - dung tích gầu : 0,80 m3</v>
      </c>
      <c r="D58" s="61" t="str">
        <f>'Giá tháng'!D60</f>
        <v>ca</v>
      </c>
      <c r="E58" s="63">
        <v>1183203000</v>
      </c>
      <c r="F58" s="64">
        <v>280</v>
      </c>
      <c r="G58" s="65"/>
      <c r="H58" s="66"/>
      <c r="I58" s="67"/>
      <c r="J58" s="68"/>
      <c r="K58" s="69">
        <f>ROUND(K59+K61+K64,'Đầu vào'!D41)</f>
        <v>2958984</v>
      </c>
    </row>
    <row r="59" spans="1:11" ht="16.5" customHeight="1">
      <c r="A59" s="70"/>
      <c r="B59" s="71"/>
      <c r="C59" s="72" t="s">
        <v>651</v>
      </c>
      <c r="D59" s="71"/>
      <c r="E59" s="73"/>
      <c r="F59" s="74"/>
      <c r="G59" s="75"/>
      <c r="H59" s="76"/>
      <c r="I59" s="77"/>
      <c r="J59" s="78"/>
      <c r="K59" s="76">
        <f>ROUND(SUM(K60:K60),'Đầu vào'!D39)</f>
        <v>1562977.9</v>
      </c>
    </row>
    <row r="60" spans="1:11" ht="16.5" customHeight="1">
      <c r="A60" s="39"/>
      <c r="B60" s="51"/>
      <c r="C60" s="20" t="str">
        <f>" - "&amp;'Đầu vào'!B23</f>
        <v xml:space="preserve"> - Diezel</v>
      </c>
      <c r="D60" s="51" t="str">
        <f>'Đầu vào'!C23</f>
        <v>Lít</v>
      </c>
      <c r="E60" s="15"/>
      <c r="F60" s="79"/>
      <c r="G60" s="80">
        <v>65</v>
      </c>
      <c r="H60" s="53">
        <f>'Đầu vào'!D23</f>
        <v>23345.45</v>
      </c>
      <c r="I60" s="81">
        <f>'Đầu vào'!D29</f>
        <v>1.03</v>
      </c>
      <c r="J60" s="18"/>
      <c r="K60" s="53">
        <f>ROUND(G60*H60*I60,'Đầu vào'!D39)</f>
        <v>1562977.9</v>
      </c>
    </row>
    <row r="61" spans="1:11" ht="16.5" customHeight="1">
      <c r="A61" s="70"/>
      <c r="B61" s="71"/>
      <c r="C61" s="72" t="s">
        <v>652</v>
      </c>
      <c r="D61" s="71"/>
      <c r="E61" s="73"/>
      <c r="F61" s="74"/>
      <c r="G61" s="75"/>
      <c r="H61" s="76"/>
      <c r="I61" s="77"/>
      <c r="J61" s="78"/>
      <c r="K61" s="76">
        <f>ROUND(G62*K62,'Đầu vào'!D39)</f>
        <v>293092</v>
      </c>
    </row>
    <row r="62" spans="1:11" ht="16.5" customHeight="1">
      <c r="A62" s="39"/>
      <c r="B62" s="51"/>
      <c r="C62" s="20" t="s">
        <v>653</v>
      </c>
      <c r="D62" s="51"/>
      <c r="E62" s="15"/>
      <c r="F62" s="79"/>
      <c r="G62" s="80">
        <v>1</v>
      </c>
      <c r="H62" s="53"/>
      <c r="I62" s="81"/>
      <c r="J62" s="18"/>
      <c r="K62" s="53">
        <f>ROUND(SUM(K63:K63),'Đầu vào'!E40)</f>
        <v>293092</v>
      </c>
    </row>
    <row r="63" spans="1:11" ht="16.5" customHeight="1">
      <c r="A63" s="39"/>
      <c r="B63" s="51"/>
      <c r="C63" s="20" t="s">
        <v>654</v>
      </c>
      <c r="D63" s="51"/>
      <c r="E63" s="15"/>
      <c r="F63" s="79"/>
      <c r="G63" s="80">
        <v>1.65</v>
      </c>
      <c r="H63" s="53">
        <v>270000</v>
      </c>
      <c r="I63" s="81">
        <v>1.52</v>
      </c>
      <c r="J63" s="18"/>
      <c r="K63" s="53">
        <f>ROUND(IF(G63&lt;&gt;0,G63*H63/I63,H63),'Đầu vào'!E40)</f>
        <v>293092</v>
      </c>
    </row>
    <row r="64" spans="1:11" ht="16.5" customHeight="1">
      <c r="A64" s="70"/>
      <c r="B64" s="71"/>
      <c r="C64" s="72" t="s">
        <v>656</v>
      </c>
      <c r="D64" s="71"/>
      <c r="E64" s="73"/>
      <c r="F64" s="74"/>
      <c r="G64" s="75"/>
      <c r="H64" s="76"/>
      <c r="I64" s="77"/>
      <c r="J64" s="78"/>
      <c r="K64" s="76">
        <f>SUM(K65:K67)</f>
        <v>1102914.3</v>
      </c>
    </row>
    <row r="65" spans="1:11" ht="16.5" customHeight="1">
      <c r="A65" s="39"/>
      <c r="B65" s="51"/>
      <c r="C65" s="20" t="s">
        <v>657</v>
      </c>
      <c r="D65" s="51"/>
      <c r="E65" s="15"/>
      <c r="F65" s="79"/>
      <c r="G65" s="80">
        <v>0.17</v>
      </c>
      <c r="H65" s="53">
        <f>E58</f>
        <v>1183203000</v>
      </c>
      <c r="I65" s="81">
        <f>IF(E58&gt;='Đầu vào'!D35*10^6,1-'Đầu vào'!D36,1)</f>
        <v>0.9</v>
      </c>
      <c r="J65" s="18"/>
      <c r="K65" s="53">
        <f>ROUND(G65*H65*I65/F58,'Đầu vào'!E39)</f>
        <v>646535.9</v>
      </c>
    </row>
    <row r="66" spans="1:11" ht="16.5" customHeight="1">
      <c r="A66" s="39"/>
      <c r="B66" s="51"/>
      <c r="C66" s="20" t="s">
        <v>658</v>
      </c>
      <c r="D66" s="51"/>
      <c r="E66" s="15"/>
      <c r="F66" s="79"/>
      <c r="G66" s="80">
        <v>5.7999999999999996E-2</v>
      </c>
      <c r="H66" s="53">
        <f>E58</f>
        <v>1183203000</v>
      </c>
      <c r="I66" s="81"/>
      <c r="J66" s="18"/>
      <c r="K66" s="53">
        <f>ROUND(G66*H66/F58,'Đầu vào'!E39)</f>
        <v>245092.1</v>
      </c>
    </row>
    <row r="67" spans="1:11" ht="16.5" customHeight="1">
      <c r="A67" s="39"/>
      <c r="B67" s="51"/>
      <c r="C67" s="20" t="s">
        <v>659</v>
      </c>
      <c r="D67" s="51"/>
      <c r="E67" s="15"/>
      <c r="F67" s="79"/>
      <c r="G67" s="80">
        <v>0.05</v>
      </c>
      <c r="H67" s="53">
        <f>E58</f>
        <v>1183203000</v>
      </c>
      <c r="I67" s="81"/>
      <c r="J67" s="18"/>
      <c r="K67" s="53">
        <f>ROUND(G67*H67/F58,'Đầu vào'!E39)</f>
        <v>211286.3</v>
      </c>
    </row>
    <row r="68" spans="1:11" ht="28.5" customHeight="1">
      <c r="A68" s="60">
        <v>7</v>
      </c>
      <c r="B68" s="61" t="str">
        <f>'Giá tháng'!B61</f>
        <v>M101.0105</v>
      </c>
      <c r="C68" s="62" t="str">
        <f>'Giá tháng'!C61</f>
        <v>Máy đào một gầu, bánh xích - dung tích gầu : 1,25 m3</v>
      </c>
      <c r="D68" s="61" t="str">
        <f>'Giá tháng'!D61</f>
        <v>ca</v>
      </c>
      <c r="E68" s="63">
        <v>1863636000</v>
      </c>
      <c r="F68" s="64">
        <v>280</v>
      </c>
      <c r="G68" s="65"/>
      <c r="H68" s="66"/>
      <c r="I68" s="67"/>
      <c r="J68" s="68"/>
      <c r="K68" s="69">
        <f>ROUND(K69+K71+K74,'Đầu vào'!D41)</f>
        <v>4026070</v>
      </c>
    </row>
    <row r="69" spans="1:11" ht="16.5" customHeight="1">
      <c r="A69" s="70"/>
      <c r="B69" s="71"/>
      <c r="C69" s="72" t="s">
        <v>651</v>
      </c>
      <c r="D69" s="71"/>
      <c r="E69" s="73"/>
      <c r="F69" s="74"/>
      <c r="G69" s="75"/>
      <c r="H69" s="76"/>
      <c r="I69" s="77"/>
      <c r="J69" s="78"/>
      <c r="K69" s="76">
        <f>ROUND(SUM(K70:K70),'Đầu vào'!D39)</f>
        <v>1995802.5</v>
      </c>
    </row>
    <row r="70" spans="1:11" ht="16.5" customHeight="1">
      <c r="A70" s="39"/>
      <c r="B70" s="51"/>
      <c r="C70" s="20" t="str">
        <f>" - "&amp;'Đầu vào'!B23</f>
        <v xml:space="preserve"> - Diezel</v>
      </c>
      <c r="D70" s="51" t="str">
        <f>'Đầu vào'!C23</f>
        <v>Lít</v>
      </c>
      <c r="E70" s="15"/>
      <c r="F70" s="79"/>
      <c r="G70" s="80">
        <v>83</v>
      </c>
      <c r="H70" s="53">
        <f>'Đầu vào'!D23</f>
        <v>23345.45</v>
      </c>
      <c r="I70" s="81">
        <f>'Đầu vào'!D29</f>
        <v>1.03</v>
      </c>
      <c r="J70" s="18"/>
      <c r="K70" s="53">
        <f>ROUND(G70*H70*I70,'Đầu vào'!D39)</f>
        <v>1995802.5</v>
      </c>
    </row>
    <row r="71" spans="1:11" ht="16.5" customHeight="1">
      <c r="A71" s="70"/>
      <c r="B71" s="71"/>
      <c r="C71" s="72" t="s">
        <v>652</v>
      </c>
      <c r="D71" s="71"/>
      <c r="E71" s="73"/>
      <c r="F71" s="74"/>
      <c r="G71" s="75"/>
      <c r="H71" s="76"/>
      <c r="I71" s="77"/>
      <c r="J71" s="78"/>
      <c r="K71" s="76">
        <f>ROUND(G72*K72,'Đầu vào'!D39)</f>
        <v>293092</v>
      </c>
    </row>
    <row r="72" spans="1:11" ht="16.5" customHeight="1">
      <c r="A72" s="39"/>
      <c r="B72" s="51"/>
      <c r="C72" s="20" t="s">
        <v>653</v>
      </c>
      <c r="D72" s="51"/>
      <c r="E72" s="15"/>
      <c r="F72" s="79"/>
      <c r="G72" s="80">
        <v>1</v>
      </c>
      <c r="H72" s="53"/>
      <c r="I72" s="81"/>
      <c r="J72" s="18"/>
      <c r="K72" s="53">
        <f>ROUND(SUM(K73:K73),'Đầu vào'!E40)</f>
        <v>293092</v>
      </c>
    </row>
    <row r="73" spans="1:11" ht="16.5" customHeight="1">
      <c r="A73" s="39"/>
      <c r="B73" s="51"/>
      <c r="C73" s="20" t="s">
        <v>654</v>
      </c>
      <c r="D73" s="51"/>
      <c r="E73" s="15"/>
      <c r="F73" s="79"/>
      <c r="G73" s="80">
        <v>1.65</v>
      </c>
      <c r="H73" s="53">
        <v>270000</v>
      </c>
      <c r="I73" s="81">
        <v>1.52</v>
      </c>
      <c r="J73" s="18"/>
      <c r="K73" s="53">
        <f>ROUND(IF(G73&lt;&gt;0,G73*H73/I73,H73),'Đầu vào'!E40)</f>
        <v>293092</v>
      </c>
    </row>
    <row r="74" spans="1:11" ht="16.5" customHeight="1">
      <c r="A74" s="70"/>
      <c r="B74" s="71"/>
      <c r="C74" s="72" t="s">
        <v>656</v>
      </c>
      <c r="D74" s="71"/>
      <c r="E74" s="73"/>
      <c r="F74" s="74"/>
      <c r="G74" s="75"/>
      <c r="H74" s="76"/>
      <c r="I74" s="77"/>
      <c r="J74" s="78"/>
      <c r="K74" s="76">
        <f>SUM(K75:K77)</f>
        <v>1737175</v>
      </c>
    </row>
    <row r="75" spans="1:11" ht="16.5" customHeight="1">
      <c r="A75" s="39"/>
      <c r="B75" s="51"/>
      <c r="C75" s="20" t="s">
        <v>657</v>
      </c>
      <c r="D75" s="51"/>
      <c r="E75" s="15"/>
      <c r="F75" s="79"/>
      <c r="G75" s="80">
        <v>0.17</v>
      </c>
      <c r="H75" s="53">
        <f>E68</f>
        <v>1863636000</v>
      </c>
      <c r="I75" s="81">
        <f>IF(E68&gt;='Đầu vào'!D35*10^6,1-'Đầu vào'!D36,1)</f>
        <v>0.9</v>
      </c>
      <c r="J75" s="18"/>
      <c r="K75" s="53">
        <f>ROUND(G75*H75*I75/F68,'Đầu vào'!E39)</f>
        <v>1018344</v>
      </c>
    </row>
    <row r="76" spans="1:11" ht="16.5" customHeight="1">
      <c r="A76" s="39"/>
      <c r="B76" s="51"/>
      <c r="C76" s="20" t="s">
        <v>658</v>
      </c>
      <c r="D76" s="51"/>
      <c r="E76" s="15"/>
      <c r="F76" s="79"/>
      <c r="G76" s="80">
        <v>5.7999999999999996E-2</v>
      </c>
      <c r="H76" s="53">
        <f>E68</f>
        <v>1863636000</v>
      </c>
      <c r="I76" s="81"/>
      <c r="J76" s="18"/>
      <c r="K76" s="53">
        <f>ROUND(G76*H76/F68,'Đầu vào'!E39)</f>
        <v>386038.9</v>
      </c>
    </row>
    <row r="77" spans="1:11" ht="16.5" customHeight="1">
      <c r="A77" s="39"/>
      <c r="B77" s="51"/>
      <c r="C77" s="20" t="s">
        <v>659</v>
      </c>
      <c r="D77" s="51"/>
      <c r="E77" s="15"/>
      <c r="F77" s="79"/>
      <c r="G77" s="80">
        <v>0.05</v>
      </c>
      <c r="H77" s="53">
        <f>E68</f>
        <v>1863636000</v>
      </c>
      <c r="I77" s="81"/>
      <c r="J77" s="18"/>
      <c r="K77" s="53">
        <f>ROUND(G77*H77/F68,'Đầu vào'!E39)</f>
        <v>332792.09999999998</v>
      </c>
    </row>
    <row r="78" spans="1:11" ht="16.5" customHeight="1">
      <c r="A78" s="60">
        <v>8</v>
      </c>
      <c r="B78" s="61" t="str">
        <f>'Giá tháng'!B62</f>
        <v>M112.1301</v>
      </c>
      <c r="C78" s="62" t="str">
        <f>'Giá tháng'!C62</f>
        <v>Máy đầm bê tông, dầm dùi - công suất : 1,5 kW</v>
      </c>
      <c r="D78" s="61" t="str">
        <f>'Giá tháng'!D62</f>
        <v>ca</v>
      </c>
      <c r="E78" s="63">
        <v>7395000</v>
      </c>
      <c r="F78" s="64">
        <v>150</v>
      </c>
      <c r="G78" s="65"/>
      <c r="H78" s="66"/>
      <c r="I78" s="67"/>
      <c r="J78" s="68"/>
      <c r="K78" s="69">
        <f>ROUND(K79+K81+K84,'Đầu vào'!D41)</f>
        <v>275463</v>
      </c>
    </row>
    <row r="79" spans="1:11" ht="16.5" customHeight="1">
      <c r="A79" s="70"/>
      <c r="B79" s="71"/>
      <c r="C79" s="72" t="s">
        <v>651</v>
      </c>
      <c r="D79" s="71"/>
      <c r="E79" s="73"/>
      <c r="F79" s="74"/>
      <c r="G79" s="75"/>
      <c r="H79" s="76"/>
      <c r="I79" s="77"/>
      <c r="J79" s="78"/>
      <c r="K79" s="76">
        <f>ROUND(SUM(K80:K80),'Đầu vào'!D39)</f>
        <v>12384.8</v>
      </c>
    </row>
    <row r="80" spans="1:11" ht="16.5" customHeight="1">
      <c r="A80" s="39"/>
      <c r="B80" s="51"/>
      <c r="C80" s="20" t="str">
        <f>" - "&amp;'Đầu vào'!B25</f>
        <v xml:space="preserve"> - Điện</v>
      </c>
      <c r="D80" s="51" t="str">
        <f>'Đầu vào'!C25</f>
        <v>kwh</v>
      </c>
      <c r="E80" s="15"/>
      <c r="F80" s="79"/>
      <c r="G80" s="80">
        <v>7</v>
      </c>
      <c r="H80" s="53">
        <f>'Đầu vào'!D25</f>
        <v>1685</v>
      </c>
      <c r="I80" s="81">
        <f>'Đầu vào'!D31</f>
        <v>1.05</v>
      </c>
      <c r="J80" s="18"/>
      <c r="K80" s="53">
        <f>ROUND(G80*H80*I80,'Đầu vào'!D39)</f>
        <v>12384.8</v>
      </c>
    </row>
    <row r="81" spans="1:11" ht="16.5" customHeight="1">
      <c r="A81" s="70"/>
      <c r="B81" s="71"/>
      <c r="C81" s="72" t="s">
        <v>652</v>
      </c>
      <c r="D81" s="71"/>
      <c r="E81" s="73"/>
      <c r="F81" s="74"/>
      <c r="G81" s="75"/>
      <c r="H81" s="76"/>
      <c r="I81" s="77"/>
      <c r="J81" s="78"/>
      <c r="K81" s="76">
        <f>ROUND(G82*K82,'Đầu vào'!D39)</f>
        <v>246908</v>
      </c>
    </row>
    <row r="82" spans="1:11" ht="16.5" customHeight="1">
      <c r="A82" s="39"/>
      <c r="B82" s="51"/>
      <c r="C82" s="20" t="s">
        <v>660</v>
      </c>
      <c r="D82" s="51"/>
      <c r="E82" s="15"/>
      <c r="F82" s="79"/>
      <c r="G82" s="80">
        <v>1</v>
      </c>
      <c r="H82" s="53"/>
      <c r="I82" s="81"/>
      <c r="J82" s="18"/>
      <c r="K82" s="53">
        <f>ROUND(SUM(K83:K83),'Đầu vào'!E40)</f>
        <v>246908</v>
      </c>
    </row>
    <row r="83" spans="1:11" ht="16.5" customHeight="1">
      <c r="A83" s="39"/>
      <c r="B83" s="51"/>
      <c r="C83" s="20" t="s">
        <v>654</v>
      </c>
      <c r="D83" s="51"/>
      <c r="E83" s="15"/>
      <c r="F83" s="79"/>
      <c r="G83" s="80">
        <v>1.39</v>
      </c>
      <c r="H83" s="53">
        <v>270000</v>
      </c>
      <c r="I83" s="81">
        <v>1.52</v>
      </c>
      <c r="J83" s="18"/>
      <c r="K83" s="53">
        <f>ROUND(IF(G83&lt;&gt;0,G83*H83/I83,H83),'Đầu vào'!E40)</f>
        <v>246908</v>
      </c>
    </row>
    <row r="84" spans="1:11" ht="16.5" customHeight="1">
      <c r="A84" s="70"/>
      <c r="B84" s="71"/>
      <c r="C84" s="72" t="s">
        <v>656</v>
      </c>
      <c r="D84" s="71"/>
      <c r="E84" s="73"/>
      <c r="F84" s="74"/>
      <c r="G84" s="75"/>
      <c r="H84" s="76"/>
      <c r="I84" s="77"/>
      <c r="J84" s="78"/>
      <c r="K84" s="76">
        <f>SUM(K85:K87)</f>
        <v>16170.4</v>
      </c>
    </row>
    <row r="85" spans="1:11" ht="16.5" customHeight="1">
      <c r="A85" s="39"/>
      <c r="B85" s="51"/>
      <c r="C85" s="20" t="s">
        <v>657</v>
      </c>
      <c r="D85" s="51"/>
      <c r="E85" s="15"/>
      <c r="F85" s="79"/>
      <c r="G85" s="80">
        <v>0.2</v>
      </c>
      <c r="H85" s="53">
        <f>E78</f>
        <v>7395000</v>
      </c>
      <c r="I85" s="81">
        <f>IF(E78&gt;='Đầu vào'!D35*10^6,1-'Đầu vào'!D36,1)</f>
        <v>1</v>
      </c>
      <c r="J85" s="18"/>
      <c r="K85" s="53">
        <f>ROUND(G85*H85*I85/F78,'Đầu vào'!E39)</f>
        <v>9860</v>
      </c>
    </row>
    <row r="86" spans="1:11" ht="16.5" customHeight="1">
      <c r="A86" s="39"/>
      <c r="B86" s="51"/>
      <c r="C86" s="20" t="s">
        <v>658</v>
      </c>
      <c r="D86" s="51"/>
      <c r="E86" s="15"/>
      <c r="F86" s="79"/>
      <c r="G86" s="80">
        <v>8.8000000000000009E-2</v>
      </c>
      <c r="H86" s="53">
        <f>E78</f>
        <v>7395000</v>
      </c>
      <c r="I86" s="81"/>
      <c r="J86" s="18"/>
      <c r="K86" s="53">
        <f>ROUND(G86*H86/F78,'Đầu vào'!E39)</f>
        <v>4338.3999999999996</v>
      </c>
    </row>
    <row r="87" spans="1:11" ht="16.5" customHeight="1">
      <c r="A87" s="39"/>
      <c r="B87" s="51"/>
      <c r="C87" s="20" t="s">
        <v>659</v>
      </c>
      <c r="D87" s="51"/>
      <c r="E87" s="15"/>
      <c r="F87" s="79"/>
      <c r="G87" s="80">
        <v>0.04</v>
      </c>
      <c r="H87" s="53">
        <f>E78</f>
        <v>7395000</v>
      </c>
      <c r="I87" s="81"/>
      <c r="J87" s="18"/>
      <c r="K87" s="53">
        <f>ROUND(G87*H87/F78,'Đầu vào'!E39)</f>
        <v>1972</v>
      </c>
    </row>
    <row r="88" spans="1:11" ht="16.5" customHeight="1">
      <c r="A88" s="60">
        <v>9</v>
      </c>
      <c r="B88" s="61" t="str">
        <f>'Giá tháng'!B63</f>
        <v>M112.1101</v>
      </c>
      <c r="C88" s="62" t="str">
        <f>'Giá tháng'!C63</f>
        <v>Máy đầm bê tông, đầm bàn - công suất : 1,0 kW</v>
      </c>
      <c r="D88" s="61" t="str">
        <f>'Giá tháng'!D63</f>
        <v>ca</v>
      </c>
      <c r="E88" s="63">
        <v>6420000</v>
      </c>
      <c r="F88" s="64">
        <v>150</v>
      </c>
      <c r="G88" s="65"/>
      <c r="H88" s="66"/>
      <c r="I88" s="67"/>
      <c r="J88" s="68"/>
      <c r="K88" s="69">
        <f>ROUND(K89+K91+K94,'Đầu vào'!D41)</f>
        <v>271933</v>
      </c>
    </row>
    <row r="89" spans="1:11" ht="16.5" customHeight="1">
      <c r="A89" s="70"/>
      <c r="B89" s="71"/>
      <c r="C89" s="72" t="s">
        <v>651</v>
      </c>
      <c r="D89" s="71"/>
      <c r="E89" s="73"/>
      <c r="F89" s="74"/>
      <c r="G89" s="75"/>
      <c r="H89" s="76"/>
      <c r="I89" s="77"/>
      <c r="J89" s="78"/>
      <c r="K89" s="76">
        <f>ROUND(SUM(K90:K90),'Đầu vào'!D39)</f>
        <v>8846.2999999999993</v>
      </c>
    </row>
    <row r="90" spans="1:11" ht="16.5" customHeight="1">
      <c r="A90" s="39"/>
      <c r="B90" s="51"/>
      <c r="C90" s="20" t="str">
        <f>" - "&amp;'Đầu vào'!B25</f>
        <v xml:space="preserve"> - Điện</v>
      </c>
      <c r="D90" s="51" t="str">
        <f>'Đầu vào'!C25</f>
        <v>kwh</v>
      </c>
      <c r="E90" s="15"/>
      <c r="F90" s="79"/>
      <c r="G90" s="80">
        <v>5</v>
      </c>
      <c r="H90" s="53">
        <f>'Đầu vào'!D25</f>
        <v>1685</v>
      </c>
      <c r="I90" s="81">
        <f>'Đầu vào'!D31</f>
        <v>1.05</v>
      </c>
      <c r="J90" s="18"/>
      <c r="K90" s="53">
        <f>ROUND(G90*H90*I90,'Đầu vào'!D39)</f>
        <v>8846.2999999999993</v>
      </c>
    </row>
    <row r="91" spans="1:11" ht="16.5" customHeight="1">
      <c r="A91" s="70"/>
      <c r="B91" s="71"/>
      <c r="C91" s="72" t="s">
        <v>652</v>
      </c>
      <c r="D91" s="71"/>
      <c r="E91" s="73"/>
      <c r="F91" s="74"/>
      <c r="G91" s="75"/>
      <c r="H91" s="76"/>
      <c r="I91" s="77"/>
      <c r="J91" s="78"/>
      <c r="K91" s="76">
        <f>ROUND(G92*K92,'Đầu vào'!D39)</f>
        <v>246908</v>
      </c>
    </row>
    <row r="92" spans="1:11" ht="16.5" customHeight="1">
      <c r="A92" s="39"/>
      <c r="B92" s="51"/>
      <c r="C92" s="20" t="s">
        <v>660</v>
      </c>
      <c r="D92" s="51"/>
      <c r="E92" s="15"/>
      <c r="F92" s="79"/>
      <c r="G92" s="80">
        <v>1</v>
      </c>
      <c r="H92" s="53"/>
      <c r="I92" s="81"/>
      <c r="J92" s="18"/>
      <c r="K92" s="53">
        <f>ROUND(SUM(K93:K93),'Đầu vào'!E40)</f>
        <v>246908</v>
      </c>
    </row>
    <row r="93" spans="1:11" ht="16.5" customHeight="1">
      <c r="A93" s="39"/>
      <c r="B93" s="51"/>
      <c r="C93" s="20" t="s">
        <v>654</v>
      </c>
      <c r="D93" s="51"/>
      <c r="E93" s="15"/>
      <c r="F93" s="79"/>
      <c r="G93" s="80">
        <v>1.39</v>
      </c>
      <c r="H93" s="53">
        <v>270000</v>
      </c>
      <c r="I93" s="81">
        <v>1.52</v>
      </c>
      <c r="J93" s="18"/>
      <c r="K93" s="53">
        <f>ROUND(IF(G93&lt;&gt;0,G93*H93/I93,H93),'Đầu vào'!E40)</f>
        <v>246908</v>
      </c>
    </row>
    <row r="94" spans="1:11" ht="16.5" customHeight="1">
      <c r="A94" s="70"/>
      <c r="B94" s="71"/>
      <c r="C94" s="72" t="s">
        <v>656</v>
      </c>
      <c r="D94" s="71"/>
      <c r="E94" s="73"/>
      <c r="F94" s="74"/>
      <c r="G94" s="75"/>
      <c r="H94" s="76"/>
      <c r="I94" s="77"/>
      <c r="J94" s="78"/>
      <c r="K94" s="76">
        <f>SUM(K95:K97)</f>
        <v>16178.4</v>
      </c>
    </row>
    <row r="95" spans="1:11" ht="16.5" customHeight="1">
      <c r="A95" s="39"/>
      <c r="B95" s="51"/>
      <c r="C95" s="20" t="s">
        <v>657</v>
      </c>
      <c r="D95" s="51"/>
      <c r="E95" s="15"/>
      <c r="F95" s="79"/>
      <c r="G95" s="80">
        <v>0.25</v>
      </c>
      <c r="H95" s="53">
        <f>E88</f>
        <v>6420000</v>
      </c>
      <c r="I95" s="81">
        <f>IF(E88&gt;='Đầu vào'!D35*10^6,1-'Đầu vào'!D36,1)</f>
        <v>1</v>
      </c>
      <c r="J95" s="18"/>
      <c r="K95" s="53">
        <f>ROUND(G95*H95*I95/F88,'Đầu vào'!E39)</f>
        <v>10700</v>
      </c>
    </row>
    <row r="96" spans="1:11" ht="16.5" customHeight="1">
      <c r="A96" s="39"/>
      <c r="B96" s="51"/>
      <c r="C96" s="20" t="s">
        <v>658</v>
      </c>
      <c r="D96" s="51"/>
      <c r="E96" s="15"/>
      <c r="F96" s="79"/>
      <c r="G96" s="80">
        <v>8.8000000000000009E-2</v>
      </c>
      <c r="H96" s="53">
        <f>E88</f>
        <v>6420000</v>
      </c>
      <c r="I96" s="81"/>
      <c r="J96" s="18"/>
      <c r="K96" s="53">
        <f>ROUND(G96*H96/F88,'Đầu vào'!E39)</f>
        <v>3766.4</v>
      </c>
    </row>
    <row r="97" spans="1:11" ht="16.5" customHeight="1">
      <c r="A97" s="39"/>
      <c r="B97" s="51"/>
      <c r="C97" s="20" t="s">
        <v>659</v>
      </c>
      <c r="D97" s="51"/>
      <c r="E97" s="15"/>
      <c r="F97" s="79"/>
      <c r="G97" s="80">
        <v>0.04</v>
      </c>
      <c r="H97" s="53">
        <f>E88</f>
        <v>6420000</v>
      </c>
      <c r="I97" s="81"/>
      <c r="J97" s="18"/>
      <c r="K97" s="53">
        <f>ROUND(G97*H97/F88,'Đầu vào'!E39)</f>
        <v>1712</v>
      </c>
    </row>
    <row r="98" spans="1:11" ht="16.5" customHeight="1">
      <c r="A98" s="60">
        <v>10</v>
      </c>
      <c r="B98" s="61" t="str">
        <f>'Giá tháng'!B64</f>
        <v>M112.4003</v>
      </c>
      <c r="C98" s="62" t="str">
        <f>'Giá tháng'!C64</f>
        <v>Máy hàn xoay chiều - công suất : 23,0 kW</v>
      </c>
      <c r="D98" s="61" t="str">
        <f>'Giá tháng'!D64</f>
        <v>ca</v>
      </c>
      <c r="E98" s="63">
        <v>16000000</v>
      </c>
      <c r="F98" s="64">
        <v>200</v>
      </c>
      <c r="G98" s="65"/>
      <c r="H98" s="66"/>
      <c r="I98" s="67"/>
      <c r="J98" s="68"/>
      <c r="K98" s="69">
        <f>ROUND(K99+K101+K104,'Đầu vào'!D41)</f>
        <v>402656</v>
      </c>
    </row>
    <row r="99" spans="1:11" ht="16.5" customHeight="1">
      <c r="A99" s="70"/>
      <c r="B99" s="71"/>
      <c r="C99" s="72" t="s">
        <v>651</v>
      </c>
      <c r="D99" s="71"/>
      <c r="E99" s="73"/>
      <c r="F99" s="74"/>
      <c r="G99" s="75"/>
      <c r="H99" s="76"/>
      <c r="I99" s="77"/>
      <c r="J99" s="78"/>
      <c r="K99" s="76">
        <f>ROUND(SUM(K100:K100),'Đầu vào'!D39)</f>
        <v>84924</v>
      </c>
    </row>
    <row r="100" spans="1:11" ht="16.5" customHeight="1">
      <c r="A100" s="39"/>
      <c r="B100" s="51"/>
      <c r="C100" s="20" t="str">
        <f>" - "&amp;'Đầu vào'!B25</f>
        <v xml:space="preserve"> - Điện</v>
      </c>
      <c r="D100" s="51" t="str">
        <f>'Đầu vào'!C25</f>
        <v>kwh</v>
      </c>
      <c r="E100" s="15"/>
      <c r="F100" s="79"/>
      <c r="G100" s="80">
        <v>48</v>
      </c>
      <c r="H100" s="53">
        <f>'Đầu vào'!D25</f>
        <v>1685</v>
      </c>
      <c r="I100" s="81">
        <f>'Đầu vào'!D31</f>
        <v>1.05</v>
      </c>
      <c r="J100" s="18"/>
      <c r="K100" s="53">
        <f>ROUND(G100*H100*I100,'Đầu vào'!D39)</f>
        <v>84924</v>
      </c>
    </row>
    <row r="101" spans="1:11" ht="16.5" customHeight="1">
      <c r="A101" s="70"/>
      <c r="B101" s="71"/>
      <c r="C101" s="72" t="s">
        <v>652</v>
      </c>
      <c r="D101" s="71"/>
      <c r="E101" s="73"/>
      <c r="F101" s="74"/>
      <c r="G101" s="75"/>
      <c r="H101" s="76"/>
      <c r="I101" s="77"/>
      <c r="J101" s="78"/>
      <c r="K101" s="76">
        <f>ROUND(G102*K102,'Đầu vào'!D39)</f>
        <v>293092</v>
      </c>
    </row>
    <row r="102" spans="1:11" ht="16.5" customHeight="1">
      <c r="A102" s="39"/>
      <c r="B102" s="51"/>
      <c r="C102" s="20" t="s">
        <v>653</v>
      </c>
      <c r="D102" s="51"/>
      <c r="E102" s="15"/>
      <c r="F102" s="79"/>
      <c r="G102" s="80">
        <v>1</v>
      </c>
      <c r="H102" s="53"/>
      <c r="I102" s="81"/>
      <c r="J102" s="18"/>
      <c r="K102" s="53">
        <f>ROUND(SUM(K103:K103),'Đầu vào'!E40)</f>
        <v>293092</v>
      </c>
    </row>
    <row r="103" spans="1:11" ht="16.5" customHeight="1">
      <c r="A103" s="39"/>
      <c r="B103" s="51"/>
      <c r="C103" s="20" t="s">
        <v>654</v>
      </c>
      <c r="D103" s="51"/>
      <c r="E103" s="15"/>
      <c r="F103" s="79"/>
      <c r="G103" s="80">
        <v>1.65</v>
      </c>
      <c r="H103" s="53">
        <v>270000</v>
      </c>
      <c r="I103" s="81">
        <v>1.52</v>
      </c>
      <c r="J103" s="18"/>
      <c r="K103" s="53">
        <f>ROUND(IF(G103&lt;&gt;0,G103*H103/I103,H103),'Đầu vào'!E40)</f>
        <v>293092</v>
      </c>
    </row>
    <row r="104" spans="1:11" ht="16.5" customHeight="1">
      <c r="A104" s="70"/>
      <c r="B104" s="71"/>
      <c r="C104" s="72" t="s">
        <v>656</v>
      </c>
      <c r="D104" s="71"/>
      <c r="E104" s="73"/>
      <c r="F104" s="74"/>
      <c r="G104" s="75"/>
      <c r="H104" s="76"/>
      <c r="I104" s="77"/>
      <c r="J104" s="78"/>
      <c r="K104" s="76">
        <f>SUM(K105:K107)</f>
        <v>24640</v>
      </c>
    </row>
    <row r="105" spans="1:11" ht="16.5" customHeight="1">
      <c r="A105" s="39"/>
      <c r="B105" s="51"/>
      <c r="C105" s="20" t="s">
        <v>657</v>
      </c>
      <c r="D105" s="51"/>
      <c r="E105" s="15"/>
      <c r="F105" s="79"/>
      <c r="G105" s="80">
        <v>0.21</v>
      </c>
      <c r="H105" s="53">
        <f>E98</f>
        <v>16000000</v>
      </c>
      <c r="I105" s="81">
        <f>IF(E98&gt;='Đầu vào'!D35*10^6,1-'Đầu vào'!D36,1)</f>
        <v>1</v>
      </c>
      <c r="J105" s="18"/>
      <c r="K105" s="53">
        <f>ROUND(G105*H105*I105/F98,'Đầu vào'!E39)</f>
        <v>16800</v>
      </c>
    </row>
    <row r="106" spans="1:11" ht="16.5" customHeight="1">
      <c r="A106" s="39"/>
      <c r="B106" s="51"/>
      <c r="C106" s="20" t="s">
        <v>658</v>
      </c>
      <c r="D106" s="51"/>
      <c r="E106" s="15"/>
      <c r="F106" s="79"/>
      <c r="G106" s="80">
        <v>4.8000000000000001E-2</v>
      </c>
      <c r="H106" s="53">
        <f>E98</f>
        <v>16000000</v>
      </c>
      <c r="I106" s="81"/>
      <c r="J106" s="18"/>
      <c r="K106" s="53">
        <f>ROUND(G106*H106/F98,'Đầu vào'!E39)</f>
        <v>3840</v>
      </c>
    </row>
    <row r="107" spans="1:11" ht="16.5" customHeight="1">
      <c r="A107" s="39"/>
      <c r="B107" s="51"/>
      <c r="C107" s="20" t="s">
        <v>659</v>
      </c>
      <c r="D107" s="51"/>
      <c r="E107" s="15"/>
      <c r="F107" s="79"/>
      <c r="G107" s="80">
        <v>0.05</v>
      </c>
      <c r="H107" s="53">
        <f>E98</f>
        <v>16000000</v>
      </c>
      <c r="I107" s="81"/>
      <c r="J107" s="18"/>
      <c r="K107" s="53">
        <f>ROUND(G107*H107/F98,'Đầu vào'!E39)</f>
        <v>4000</v>
      </c>
    </row>
    <row r="108" spans="1:11" ht="16.5" customHeight="1">
      <c r="A108" s="60">
        <v>11</v>
      </c>
      <c r="B108" s="61" t="str">
        <f>'Giá tháng'!B65</f>
        <v>M112.1501</v>
      </c>
      <c r="C108" s="62" t="str">
        <f>'Giá tháng'!C65</f>
        <v>Máy khoan đứng - công suất : 2,5 kW</v>
      </c>
      <c r="D108" s="61" t="str">
        <f>'Giá tháng'!D65</f>
        <v>ca</v>
      </c>
      <c r="E108" s="63">
        <v>42900000</v>
      </c>
      <c r="F108" s="64">
        <v>220</v>
      </c>
      <c r="G108" s="65"/>
      <c r="H108" s="66"/>
      <c r="I108" s="67"/>
      <c r="J108" s="68"/>
      <c r="K108" s="69">
        <f>ROUND(K109+K111,'Đầu vào'!D41)</f>
        <v>46579</v>
      </c>
    </row>
    <row r="109" spans="1:11" ht="16.5" customHeight="1">
      <c r="A109" s="70"/>
      <c r="B109" s="71"/>
      <c r="C109" s="72" t="s">
        <v>651</v>
      </c>
      <c r="D109" s="71"/>
      <c r="E109" s="73"/>
      <c r="F109" s="74"/>
      <c r="G109" s="75"/>
      <c r="H109" s="76"/>
      <c r="I109" s="77"/>
      <c r="J109" s="78"/>
      <c r="K109" s="76">
        <f>ROUND(SUM(K110:K110),'Đầu vào'!D39)</f>
        <v>8846.2999999999993</v>
      </c>
    </row>
    <row r="110" spans="1:11" ht="16.5" customHeight="1">
      <c r="A110" s="39"/>
      <c r="B110" s="51"/>
      <c r="C110" s="20" t="str">
        <f>" - "&amp;'Đầu vào'!B25</f>
        <v xml:space="preserve"> - Điện</v>
      </c>
      <c r="D110" s="51" t="str">
        <f>'Đầu vào'!C25</f>
        <v>kwh</v>
      </c>
      <c r="E110" s="15"/>
      <c r="F110" s="79"/>
      <c r="G110" s="80">
        <v>5</v>
      </c>
      <c r="H110" s="53">
        <f>'Đầu vào'!D25</f>
        <v>1685</v>
      </c>
      <c r="I110" s="81">
        <f>'Đầu vào'!D31</f>
        <v>1.05</v>
      </c>
      <c r="J110" s="18"/>
      <c r="K110" s="53">
        <f>ROUND(G110*H110*I110,'Đầu vào'!D39)</f>
        <v>8846.2999999999993</v>
      </c>
    </row>
    <row r="111" spans="1:11" ht="16.5" customHeight="1">
      <c r="A111" s="70"/>
      <c r="B111" s="71"/>
      <c r="C111" s="72" t="s">
        <v>656</v>
      </c>
      <c r="D111" s="71"/>
      <c r="E111" s="73"/>
      <c r="F111" s="74"/>
      <c r="G111" s="75"/>
      <c r="H111" s="76"/>
      <c r="I111" s="77"/>
      <c r="J111" s="78"/>
      <c r="K111" s="76">
        <f>SUM(K112:K114)</f>
        <v>37732.5</v>
      </c>
    </row>
    <row r="112" spans="1:11" ht="16.5" customHeight="1">
      <c r="A112" s="39"/>
      <c r="B112" s="51"/>
      <c r="C112" s="20" t="s">
        <v>657</v>
      </c>
      <c r="D112" s="51"/>
      <c r="E112" s="15"/>
      <c r="F112" s="79"/>
      <c r="G112" s="80">
        <v>0.125</v>
      </c>
      <c r="H112" s="53">
        <f>E108</f>
        <v>42900000</v>
      </c>
      <c r="I112" s="81">
        <f>IF(E108&gt;='Đầu vào'!D35*10^6,1-'Đầu vào'!D36,1)</f>
        <v>0.9</v>
      </c>
      <c r="J112" s="18"/>
      <c r="K112" s="53">
        <f>ROUND(G112*H112*I112/F108,'Đầu vào'!E39)</f>
        <v>21937.5</v>
      </c>
    </row>
    <row r="113" spans="1:11" ht="16.5" customHeight="1">
      <c r="A113" s="39"/>
      <c r="B113" s="51"/>
      <c r="C113" s="20" t="s">
        <v>658</v>
      </c>
      <c r="D113" s="51"/>
      <c r="E113" s="15"/>
      <c r="F113" s="79"/>
      <c r="G113" s="80">
        <v>4.0999999999999995E-2</v>
      </c>
      <c r="H113" s="53">
        <f>E108</f>
        <v>42900000</v>
      </c>
      <c r="I113" s="81"/>
      <c r="J113" s="18"/>
      <c r="K113" s="53">
        <f>ROUND(G113*H113/F108,'Đầu vào'!E39)</f>
        <v>7995</v>
      </c>
    </row>
    <row r="114" spans="1:11" ht="16.5" customHeight="1">
      <c r="A114" s="39"/>
      <c r="B114" s="51"/>
      <c r="C114" s="20" t="s">
        <v>659</v>
      </c>
      <c r="D114" s="51"/>
      <c r="E114" s="15"/>
      <c r="F114" s="79"/>
      <c r="G114" s="80">
        <v>0.04</v>
      </c>
      <c r="H114" s="53">
        <f>E108</f>
        <v>42900000</v>
      </c>
      <c r="I114" s="81"/>
      <c r="J114" s="18"/>
      <c r="K114" s="53">
        <f>ROUND(G114*H114/F108,'Đầu vào'!E39)</f>
        <v>7800</v>
      </c>
    </row>
    <row r="115" spans="1:11" ht="28.5" customHeight="1">
      <c r="A115" s="60">
        <v>12</v>
      </c>
      <c r="B115" s="61" t="str">
        <f>'Giá tháng'!B66</f>
        <v>M101.0902</v>
      </c>
      <c r="C115" s="62" t="str">
        <f>'Giá tháng'!C66</f>
        <v>Máy lu bánh hơi tự hành - trọng lượng tĩnh : 16,0 T</v>
      </c>
      <c r="D115" s="61" t="str">
        <f>'Giá tháng'!D66</f>
        <v>ca</v>
      </c>
      <c r="E115" s="63">
        <v>695012000</v>
      </c>
      <c r="F115" s="64">
        <v>270</v>
      </c>
      <c r="G115" s="65"/>
      <c r="H115" s="66"/>
      <c r="I115" s="67"/>
      <c r="J115" s="68"/>
      <c r="K115" s="69">
        <f>ROUND(K116+K118+K121,'Đầu vào'!D41)</f>
        <v>1793732</v>
      </c>
    </row>
    <row r="116" spans="1:11" ht="16.5" customHeight="1">
      <c r="A116" s="70"/>
      <c r="B116" s="71"/>
      <c r="C116" s="72" t="s">
        <v>651</v>
      </c>
      <c r="D116" s="71"/>
      <c r="E116" s="73"/>
      <c r="F116" s="74"/>
      <c r="G116" s="75"/>
      <c r="H116" s="76"/>
      <c r="I116" s="77"/>
      <c r="J116" s="78"/>
      <c r="K116" s="76">
        <f>ROUND(SUM(K117:K117),'Đầu vào'!D39)</f>
        <v>913740.9</v>
      </c>
    </row>
    <row r="117" spans="1:11" ht="16.5" customHeight="1">
      <c r="A117" s="39"/>
      <c r="B117" s="51"/>
      <c r="C117" s="20" t="str">
        <f>" - "&amp;'Đầu vào'!B23</f>
        <v xml:space="preserve"> - Diezel</v>
      </c>
      <c r="D117" s="51" t="str">
        <f>'Đầu vào'!C23</f>
        <v>Lít</v>
      </c>
      <c r="E117" s="15"/>
      <c r="F117" s="79"/>
      <c r="G117" s="80">
        <v>38</v>
      </c>
      <c r="H117" s="53">
        <f>'Đầu vào'!D23</f>
        <v>23345.45</v>
      </c>
      <c r="I117" s="81">
        <f>'Đầu vào'!D29</f>
        <v>1.03</v>
      </c>
      <c r="J117" s="18"/>
      <c r="K117" s="53">
        <f>ROUND(G117*H117*I117,'Đầu vào'!D39)</f>
        <v>913740.9</v>
      </c>
    </row>
    <row r="118" spans="1:11" ht="16.5" customHeight="1">
      <c r="A118" s="70"/>
      <c r="B118" s="71"/>
      <c r="C118" s="72" t="s">
        <v>652</v>
      </c>
      <c r="D118" s="71"/>
      <c r="E118" s="73"/>
      <c r="F118" s="74"/>
      <c r="G118" s="75"/>
      <c r="H118" s="76"/>
      <c r="I118" s="77"/>
      <c r="J118" s="78"/>
      <c r="K118" s="76">
        <f>ROUND(G119*K119,'Đầu vào'!D39)</f>
        <v>293092</v>
      </c>
    </row>
    <row r="119" spans="1:11" ht="16.5" customHeight="1">
      <c r="A119" s="39"/>
      <c r="B119" s="51"/>
      <c r="C119" s="20" t="s">
        <v>653</v>
      </c>
      <c r="D119" s="51"/>
      <c r="E119" s="15"/>
      <c r="F119" s="79"/>
      <c r="G119" s="80">
        <v>1</v>
      </c>
      <c r="H119" s="53"/>
      <c r="I119" s="81"/>
      <c r="J119" s="18"/>
      <c r="K119" s="53">
        <f>ROUND(SUM(K120:K120),'Đầu vào'!E40)</f>
        <v>293092</v>
      </c>
    </row>
    <row r="120" spans="1:11" ht="16.5" customHeight="1">
      <c r="A120" s="39"/>
      <c r="B120" s="51"/>
      <c r="C120" s="20" t="s">
        <v>654</v>
      </c>
      <c r="D120" s="51"/>
      <c r="E120" s="15"/>
      <c r="F120" s="79"/>
      <c r="G120" s="80">
        <v>1.65</v>
      </c>
      <c r="H120" s="53">
        <v>270000</v>
      </c>
      <c r="I120" s="81">
        <v>1.52</v>
      </c>
      <c r="J120" s="18"/>
      <c r="K120" s="53">
        <f>ROUND(IF(G120&lt;&gt;0,G120*H120/I120,H120),'Đầu vào'!E40)</f>
        <v>293092</v>
      </c>
    </row>
    <row r="121" spans="1:11" ht="16.5" customHeight="1">
      <c r="A121" s="70"/>
      <c r="B121" s="71"/>
      <c r="C121" s="72" t="s">
        <v>656</v>
      </c>
      <c r="D121" s="71"/>
      <c r="E121" s="73"/>
      <c r="F121" s="74"/>
      <c r="G121" s="75"/>
      <c r="H121" s="76"/>
      <c r="I121" s="77"/>
      <c r="J121" s="78"/>
      <c r="K121" s="76">
        <f>SUM(K122:K124)</f>
        <v>586899</v>
      </c>
    </row>
    <row r="122" spans="1:11" ht="16.5" customHeight="1">
      <c r="A122" s="39"/>
      <c r="B122" s="51"/>
      <c r="C122" s="20" t="s">
        <v>657</v>
      </c>
      <c r="D122" s="51"/>
      <c r="E122" s="15"/>
      <c r="F122" s="79"/>
      <c r="G122" s="80">
        <v>0.15</v>
      </c>
      <c r="H122" s="53">
        <f>E115</f>
        <v>695012000</v>
      </c>
      <c r="I122" s="81">
        <f>IF(E115&gt;='Đầu vào'!D35*10^6,1-'Đầu vào'!D36,1)</f>
        <v>0.9</v>
      </c>
      <c r="J122" s="18"/>
      <c r="K122" s="53">
        <f>ROUND(G122*H122*I122/F115,'Đầu vào'!E39)</f>
        <v>347506</v>
      </c>
    </row>
    <row r="123" spans="1:11" ht="16.5" customHeight="1">
      <c r="A123" s="39"/>
      <c r="B123" s="51"/>
      <c r="C123" s="20" t="s">
        <v>658</v>
      </c>
      <c r="D123" s="51"/>
      <c r="E123" s="15"/>
      <c r="F123" s="79"/>
      <c r="G123" s="80">
        <v>4.2999999999999997E-2</v>
      </c>
      <c r="H123" s="53">
        <f>E115</f>
        <v>695012000</v>
      </c>
      <c r="I123" s="81"/>
      <c r="J123" s="18"/>
      <c r="K123" s="53">
        <f>ROUND(G123*H123/F115,'Đầu vào'!E39)</f>
        <v>110687.1</v>
      </c>
    </row>
    <row r="124" spans="1:11" ht="16.5" customHeight="1">
      <c r="A124" s="39"/>
      <c r="B124" s="51"/>
      <c r="C124" s="20" t="s">
        <v>659</v>
      </c>
      <c r="D124" s="51"/>
      <c r="E124" s="15"/>
      <c r="F124" s="79"/>
      <c r="G124" s="80">
        <v>0.05</v>
      </c>
      <c r="H124" s="53">
        <f>E115</f>
        <v>695012000</v>
      </c>
      <c r="I124" s="81"/>
      <c r="J124" s="18"/>
      <c r="K124" s="53">
        <f>ROUND(G124*H124/F115,'Đầu vào'!E39)</f>
        <v>128705.9</v>
      </c>
    </row>
    <row r="125" spans="1:11" ht="28.5" customHeight="1">
      <c r="A125" s="60">
        <v>13</v>
      </c>
      <c r="B125" s="61" t="str">
        <f>'Giá tháng'!B67</f>
        <v>M101.1103</v>
      </c>
      <c r="C125" s="62" t="str">
        <f>'Giá tháng'!C67</f>
        <v>Máy lu bánh thép tự hành - trọng lượng tĩnh : 10,0 T</v>
      </c>
      <c r="D125" s="61" t="str">
        <f>'Giá tháng'!D67</f>
        <v>ca</v>
      </c>
      <c r="E125" s="63">
        <v>476144000</v>
      </c>
      <c r="F125" s="64">
        <v>270</v>
      </c>
      <c r="G125" s="65"/>
      <c r="H125" s="66"/>
      <c r="I125" s="67"/>
      <c r="J125" s="68"/>
      <c r="K125" s="69">
        <f>ROUND(K126+K128+K131,'Đầu vào'!D41)</f>
        <v>1295671</v>
      </c>
    </row>
    <row r="126" spans="1:11" ht="16.5" customHeight="1">
      <c r="A126" s="70"/>
      <c r="B126" s="71"/>
      <c r="C126" s="72" t="s">
        <v>651</v>
      </c>
      <c r="D126" s="71"/>
      <c r="E126" s="73"/>
      <c r="F126" s="74"/>
      <c r="G126" s="75"/>
      <c r="H126" s="76"/>
      <c r="I126" s="77"/>
      <c r="J126" s="78"/>
      <c r="K126" s="76">
        <f>ROUND(SUM(K127:K127),'Đầu vào'!D39)</f>
        <v>625191.19999999995</v>
      </c>
    </row>
    <row r="127" spans="1:11" ht="16.5" customHeight="1">
      <c r="A127" s="39"/>
      <c r="B127" s="51"/>
      <c r="C127" s="20" t="str">
        <f>" - "&amp;'Đầu vào'!B23</f>
        <v xml:space="preserve"> - Diezel</v>
      </c>
      <c r="D127" s="51" t="str">
        <f>'Đầu vào'!C23</f>
        <v>Lít</v>
      </c>
      <c r="E127" s="15"/>
      <c r="F127" s="79"/>
      <c r="G127" s="80">
        <v>26</v>
      </c>
      <c r="H127" s="53">
        <f>'Đầu vào'!D23</f>
        <v>23345.45</v>
      </c>
      <c r="I127" s="81">
        <f>'Đầu vào'!D29</f>
        <v>1.03</v>
      </c>
      <c r="J127" s="18"/>
      <c r="K127" s="53">
        <f>ROUND(G127*H127*I127,'Đầu vào'!D39)</f>
        <v>625191.19999999995</v>
      </c>
    </row>
    <row r="128" spans="1:11" ht="16.5" customHeight="1">
      <c r="A128" s="70"/>
      <c r="B128" s="71"/>
      <c r="C128" s="72" t="s">
        <v>652</v>
      </c>
      <c r="D128" s="71"/>
      <c r="E128" s="73"/>
      <c r="F128" s="74"/>
      <c r="G128" s="75"/>
      <c r="H128" s="76"/>
      <c r="I128" s="77"/>
      <c r="J128" s="78"/>
      <c r="K128" s="76">
        <f>ROUND(G129*K129,'Đầu vào'!D39)</f>
        <v>293092</v>
      </c>
    </row>
    <row r="129" spans="1:11" ht="16.5" customHeight="1">
      <c r="A129" s="39"/>
      <c r="B129" s="51"/>
      <c r="C129" s="20" t="s">
        <v>653</v>
      </c>
      <c r="D129" s="51"/>
      <c r="E129" s="15"/>
      <c r="F129" s="79"/>
      <c r="G129" s="80">
        <v>1</v>
      </c>
      <c r="H129" s="53"/>
      <c r="I129" s="81"/>
      <c r="J129" s="18"/>
      <c r="K129" s="53">
        <f>ROUND(SUM(K130:K130),'Đầu vào'!E40)</f>
        <v>293092</v>
      </c>
    </row>
    <row r="130" spans="1:11" ht="16.5" customHeight="1">
      <c r="A130" s="39"/>
      <c r="B130" s="51"/>
      <c r="C130" s="20" t="s">
        <v>654</v>
      </c>
      <c r="D130" s="51"/>
      <c r="E130" s="15"/>
      <c r="F130" s="79"/>
      <c r="G130" s="80">
        <v>1.65</v>
      </c>
      <c r="H130" s="53">
        <v>270000</v>
      </c>
      <c r="I130" s="81">
        <v>1.52</v>
      </c>
      <c r="J130" s="18"/>
      <c r="K130" s="53">
        <f>ROUND(IF(G130&lt;&gt;0,G130*H130/I130,H130),'Đầu vào'!E40)</f>
        <v>293092</v>
      </c>
    </row>
    <row r="131" spans="1:11" ht="16.5" customHeight="1">
      <c r="A131" s="70"/>
      <c r="B131" s="71"/>
      <c r="C131" s="72" t="s">
        <v>656</v>
      </c>
      <c r="D131" s="71"/>
      <c r="E131" s="73"/>
      <c r="F131" s="74"/>
      <c r="G131" s="75"/>
      <c r="H131" s="76"/>
      <c r="I131" s="77"/>
      <c r="J131" s="78"/>
      <c r="K131" s="76">
        <f>SUM(K132:K134)</f>
        <v>377388.2</v>
      </c>
    </row>
    <row r="132" spans="1:11" ht="16.5" customHeight="1">
      <c r="A132" s="39"/>
      <c r="B132" s="51"/>
      <c r="C132" s="20" t="s">
        <v>657</v>
      </c>
      <c r="D132" s="51"/>
      <c r="E132" s="15"/>
      <c r="F132" s="79"/>
      <c r="G132" s="80">
        <v>0.15</v>
      </c>
      <c r="H132" s="53">
        <f>E125</f>
        <v>476144000</v>
      </c>
      <c r="I132" s="81">
        <f>IF(E125&gt;='Đầu vào'!D35*10^6,1-'Đầu vào'!D36,1)</f>
        <v>0.9</v>
      </c>
      <c r="J132" s="18"/>
      <c r="K132" s="53">
        <f>ROUND(G132*H132*I132/F125,'Đầu vào'!E39)</f>
        <v>238072</v>
      </c>
    </row>
    <row r="133" spans="1:11" ht="16.5" customHeight="1">
      <c r="A133" s="39"/>
      <c r="B133" s="51"/>
      <c r="C133" s="20" t="s">
        <v>658</v>
      </c>
      <c r="D133" s="51"/>
      <c r="E133" s="15"/>
      <c r="F133" s="79"/>
      <c r="G133" s="80">
        <v>2.8999999999999998E-2</v>
      </c>
      <c r="H133" s="53">
        <f>E125</f>
        <v>476144000</v>
      </c>
      <c r="I133" s="81"/>
      <c r="J133" s="18"/>
      <c r="K133" s="53">
        <f>ROUND(G133*H133/F125,'Đầu vào'!E39)</f>
        <v>51141.4</v>
      </c>
    </row>
    <row r="134" spans="1:11" ht="16.5" customHeight="1">
      <c r="A134" s="39"/>
      <c r="B134" s="51"/>
      <c r="C134" s="20" t="s">
        <v>659</v>
      </c>
      <c r="D134" s="51"/>
      <c r="E134" s="15"/>
      <c r="F134" s="79"/>
      <c r="G134" s="80">
        <v>0.05</v>
      </c>
      <c r="H134" s="53">
        <f>E125</f>
        <v>476144000</v>
      </c>
      <c r="I134" s="81"/>
      <c r="J134" s="18"/>
      <c r="K134" s="53">
        <f>ROUND(G134*H134/F125,'Đầu vào'!E39)</f>
        <v>88174.8</v>
      </c>
    </row>
    <row r="135" spans="1:11" ht="28.5" customHeight="1">
      <c r="A135" s="60">
        <v>14</v>
      </c>
      <c r="B135" s="61" t="str">
        <f>'Giá tháng'!B68</f>
        <v>M101.1105</v>
      </c>
      <c r="C135" s="62" t="str">
        <f>'Giá tháng'!C68</f>
        <v>Máy lu bánh thép tự hành - trọng lượng tĩnh : 16 T</v>
      </c>
      <c r="D135" s="61" t="str">
        <f>'Giá tháng'!D68</f>
        <v>ca</v>
      </c>
      <c r="E135" s="63">
        <v>534828000</v>
      </c>
      <c r="F135" s="64">
        <v>270</v>
      </c>
      <c r="G135" s="65"/>
      <c r="H135" s="66"/>
      <c r="I135" s="67"/>
      <c r="J135" s="68"/>
      <c r="K135" s="69">
        <f>ROUND(K136+K138+K141,'Đầu vào'!D41)</f>
        <v>1606688</v>
      </c>
    </row>
    <row r="136" spans="1:11" ht="16.5" customHeight="1">
      <c r="A136" s="70"/>
      <c r="B136" s="71"/>
      <c r="C136" s="72" t="s">
        <v>651</v>
      </c>
      <c r="D136" s="71"/>
      <c r="E136" s="73"/>
      <c r="F136" s="74"/>
      <c r="G136" s="75"/>
      <c r="H136" s="76"/>
      <c r="I136" s="77"/>
      <c r="J136" s="78"/>
      <c r="K136" s="76">
        <f>ROUND(SUM(K137:K137),'Đầu vào'!D39)</f>
        <v>889695.1</v>
      </c>
    </row>
    <row r="137" spans="1:11" ht="16.5" customHeight="1">
      <c r="A137" s="39"/>
      <c r="B137" s="51"/>
      <c r="C137" s="20" t="str">
        <f>" - "&amp;'Đầu vào'!B23</f>
        <v xml:space="preserve"> - Diezel</v>
      </c>
      <c r="D137" s="51" t="str">
        <f>'Đầu vào'!C23</f>
        <v>Lít</v>
      </c>
      <c r="E137" s="15"/>
      <c r="F137" s="79"/>
      <c r="G137" s="80">
        <v>37</v>
      </c>
      <c r="H137" s="53">
        <f>'Đầu vào'!D23</f>
        <v>23345.45</v>
      </c>
      <c r="I137" s="81">
        <f>'Đầu vào'!D29</f>
        <v>1.03</v>
      </c>
      <c r="J137" s="18"/>
      <c r="K137" s="53">
        <f>ROUND(G137*H137*I137,'Đầu vào'!D39)</f>
        <v>889695.1</v>
      </c>
    </row>
    <row r="138" spans="1:11" ht="16.5" customHeight="1">
      <c r="A138" s="70"/>
      <c r="B138" s="71"/>
      <c r="C138" s="72" t="s">
        <v>652</v>
      </c>
      <c r="D138" s="71"/>
      <c r="E138" s="73"/>
      <c r="F138" s="74"/>
      <c r="G138" s="75"/>
      <c r="H138" s="76"/>
      <c r="I138" s="77"/>
      <c r="J138" s="78"/>
      <c r="K138" s="76">
        <f>ROUND(G139*K139,'Đầu vào'!D39)</f>
        <v>293092</v>
      </c>
    </row>
    <row r="139" spans="1:11" ht="16.5" customHeight="1">
      <c r="A139" s="39"/>
      <c r="B139" s="51"/>
      <c r="C139" s="20" t="s">
        <v>653</v>
      </c>
      <c r="D139" s="51"/>
      <c r="E139" s="15"/>
      <c r="F139" s="79"/>
      <c r="G139" s="80">
        <v>1</v>
      </c>
      <c r="H139" s="53"/>
      <c r="I139" s="81"/>
      <c r="J139" s="18"/>
      <c r="K139" s="53">
        <f>ROUND(SUM(K140:K140),'Đầu vào'!E40)</f>
        <v>293092</v>
      </c>
    </row>
    <row r="140" spans="1:11" ht="16.5" customHeight="1">
      <c r="A140" s="39"/>
      <c r="B140" s="51"/>
      <c r="C140" s="20" t="s">
        <v>654</v>
      </c>
      <c r="D140" s="51"/>
      <c r="E140" s="15"/>
      <c r="F140" s="79"/>
      <c r="G140" s="80">
        <v>1.65</v>
      </c>
      <c r="H140" s="53">
        <v>270000</v>
      </c>
      <c r="I140" s="81">
        <v>1.52</v>
      </c>
      <c r="J140" s="18"/>
      <c r="K140" s="53">
        <f>ROUND(IF(G140&lt;&gt;0,G140*H140/I140,H140),'Đầu vào'!E40)</f>
        <v>293092</v>
      </c>
    </row>
    <row r="141" spans="1:11" ht="16.5" customHeight="1">
      <c r="A141" s="70"/>
      <c r="B141" s="71"/>
      <c r="C141" s="72" t="s">
        <v>656</v>
      </c>
      <c r="D141" s="71"/>
      <c r="E141" s="73"/>
      <c r="F141" s="74"/>
      <c r="G141" s="75"/>
      <c r="H141" s="76"/>
      <c r="I141" s="77"/>
      <c r="J141" s="78"/>
      <c r="K141" s="76">
        <f>SUM(K142:K144)</f>
        <v>423900.7</v>
      </c>
    </row>
    <row r="142" spans="1:11" ht="16.5" customHeight="1">
      <c r="A142" s="39"/>
      <c r="B142" s="51"/>
      <c r="C142" s="20" t="s">
        <v>657</v>
      </c>
      <c r="D142" s="51"/>
      <c r="E142" s="15"/>
      <c r="F142" s="79"/>
      <c r="G142" s="80">
        <v>0.15</v>
      </c>
      <c r="H142" s="53">
        <f>E135</f>
        <v>534828000</v>
      </c>
      <c r="I142" s="81">
        <f>IF(E135&gt;='Đầu vào'!D35*10^6,1-'Đầu vào'!D36,1)</f>
        <v>0.9</v>
      </c>
      <c r="J142" s="18"/>
      <c r="K142" s="53">
        <f>ROUND(G142*H142*I142/F135,'Đầu vào'!E39)</f>
        <v>267414</v>
      </c>
    </row>
    <row r="143" spans="1:11" ht="16.5" customHeight="1">
      <c r="A143" s="39"/>
      <c r="B143" s="51"/>
      <c r="C143" s="20" t="s">
        <v>658</v>
      </c>
      <c r="D143" s="51"/>
      <c r="E143" s="15"/>
      <c r="F143" s="79"/>
      <c r="G143" s="80">
        <v>2.8999999999999998E-2</v>
      </c>
      <c r="H143" s="53">
        <f>E135</f>
        <v>534828000</v>
      </c>
      <c r="I143" s="81"/>
      <c r="J143" s="18"/>
      <c r="K143" s="53">
        <f>ROUND(G143*H143/F135,'Đầu vào'!E39)</f>
        <v>57444.5</v>
      </c>
    </row>
    <row r="144" spans="1:11" ht="16.5" customHeight="1">
      <c r="A144" s="39"/>
      <c r="B144" s="51"/>
      <c r="C144" s="20" t="s">
        <v>659</v>
      </c>
      <c r="D144" s="51"/>
      <c r="E144" s="15"/>
      <c r="F144" s="79"/>
      <c r="G144" s="80">
        <v>0.05</v>
      </c>
      <c r="H144" s="53">
        <f>E135</f>
        <v>534828000</v>
      </c>
      <c r="I144" s="81"/>
      <c r="J144" s="18"/>
      <c r="K144" s="53">
        <f>ROUND(G144*H144/F135,'Đầu vào'!E39)</f>
        <v>99042.2</v>
      </c>
    </row>
    <row r="145" spans="1:11" ht="28.5" customHeight="1">
      <c r="A145" s="60">
        <v>15</v>
      </c>
      <c r="B145" s="61" t="str">
        <f>'Giá tháng'!B69</f>
        <v>M101.1102</v>
      </c>
      <c r="C145" s="62" t="str">
        <f>'Giá tháng'!C69</f>
        <v>Máy lu bánh thép tự hành - trọng lượng tĩnh : 8,5 T - 9 T</v>
      </c>
      <c r="D145" s="61" t="str">
        <f>'Giá tháng'!D69</f>
        <v>ca</v>
      </c>
      <c r="E145" s="63">
        <v>365850000</v>
      </c>
      <c r="F145" s="64">
        <v>270</v>
      </c>
      <c r="G145" s="65"/>
      <c r="H145" s="66"/>
      <c r="I145" s="67"/>
      <c r="J145" s="68"/>
      <c r="K145" s="69">
        <f>ROUND(K146+K148+K151,'Đầu vào'!D41)</f>
        <v>1160162</v>
      </c>
    </row>
    <row r="146" spans="1:11" ht="16.5" customHeight="1">
      <c r="A146" s="70"/>
      <c r="B146" s="71"/>
      <c r="C146" s="72" t="s">
        <v>651</v>
      </c>
      <c r="D146" s="71"/>
      <c r="E146" s="73"/>
      <c r="F146" s="74"/>
      <c r="G146" s="75"/>
      <c r="H146" s="76"/>
      <c r="I146" s="77"/>
      <c r="J146" s="78"/>
      <c r="K146" s="76">
        <f>ROUND(SUM(K147:K147),'Đầu vào'!D39)</f>
        <v>577099.5</v>
      </c>
    </row>
    <row r="147" spans="1:11" ht="16.5" customHeight="1">
      <c r="A147" s="39"/>
      <c r="B147" s="51"/>
      <c r="C147" s="20" t="str">
        <f>" - "&amp;'Đầu vào'!B23</f>
        <v xml:space="preserve"> - Diezel</v>
      </c>
      <c r="D147" s="51" t="str">
        <f>'Đầu vào'!C23</f>
        <v>Lít</v>
      </c>
      <c r="E147" s="15"/>
      <c r="F147" s="79"/>
      <c r="G147" s="80">
        <v>24</v>
      </c>
      <c r="H147" s="53">
        <f>'Đầu vào'!D23</f>
        <v>23345.45</v>
      </c>
      <c r="I147" s="81">
        <f>'Đầu vào'!D29</f>
        <v>1.03</v>
      </c>
      <c r="J147" s="18"/>
      <c r="K147" s="53">
        <f>ROUND(G147*H147*I147,'Đầu vào'!D39)</f>
        <v>577099.5</v>
      </c>
    </row>
    <row r="148" spans="1:11" ht="16.5" customHeight="1">
      <c r="A148" s="70"/>
      <c r="B148" s="71"/>
      <c r="C148" s="72" t="s">
        <v>652</v>
      </c>
      <c r="D148" s="71"/>
      <c r="E148" s="73"/>
      <c r="F148" s="74"/>
      <c r="G148" s="75"/>
      <c r="H148" s="76"/>
      <c r="I148" s="77"/>
      <c r="J148" s="78"/>
      <c r="K148" s="76">
        <f>ROUND(G149*K149,'Đầu vào'!D39)</f>
        <v>293092</v>
      </c>
    </row>
    <row r="149" spans="1:11" ht="16.5" customHeight="1">
      <c r="A149" s="39"/>
      <c r="B149" s="51"/>
      <c r="C149" s="20" t="s">
        <v>653</v>
      </c>
      <c r="D149" s="51"/>
      <c r="E149" s="15"/>
      <c r="F149" s="79"/>
      <c r="G149" s="80">
        <v>1</v>
      </c>
      <c r="H149" s="53"/>
      <c r="I149" s="81"/>
      <c r="J149" s="18"/>
      <c r="K149" s="53">
        <f>ROUND(SUM(K150:K150),'Đầu vào'!E40)</f>
        <v>293092</v>
      </c>
    </row>
    <row r="150" spans="1:11" ht="16.5" customHeight="1">
      <c r="A150" s="39"/>
      <c r="B150" s="51"/>
      <c r="C150" s="20" t="s">
        <v>654</v>
      </c>
      <c r="D150" s="51"/>
      <c r="E150" s="15"/>
      <c r="F150" s="79"/>
      <c r="G150" s="80">
        <v>1.65</v>
      </c>
      <c r="H150" s="53">
        <v>270000</v>
      </c>
      <c r="I150" s="81">
        <v>1.52</v>
      </c>
      <c r="J150" s="18"/>
      <c r="K150" s="53">
        <f>ROUND(IF(G150&lt;&gt;0,G150*H150/I150,H150),'Đầu vào'!E40)</f>
        <v>293092</v>
      </c>
    </row>
    <row r="151" spans="1:11" ht="16.5" customHeight="1">
      <c r="A151" s="70"/>
      <c r="B151" s="71"/>
      <c r="C151" s="72" t="s">
        <v>656</v>
      </c>
      <c r="D151" s="71"/>
      <c r="E151" s="73"/>
      <c r="F151" s="74"/>
      <c r="G151" s="75"/>
      <c r="H151" s="76"/>
      <c r="I151" s="77"/>
      <c r="J151" s="78"/>
      <c r="K151" s="76">
        <f>SUM(K152:K154)</f>
        <v>289970</v>
      </c>
    </row>
    <row r="152" spans="1:11" ht="16.5" customHeight="1">
      <c r="A152" s="39"/>
      <c r="B152" s="51"/>
      <c r="C152" s="20" t="s">
        <v>657</v>
      </c>
      <c r="D152" s="51"/>
      <c r="E152" s="15"/>
      <c r="F152" s="79"/>
      <c r="G152" s="80">
        <v>0.15</v>
      </c>
      <c r="H152" s="53">
        <f>E145</f>
        <v>365850000</v>
      </c>
      <c r="I152" s="81">
        <f>IF(E145&gt;='Đầu vào'!D35*10^6,1-'Đầu vào'!D36,1)</f>
        <v>0.9</v>
      </c>
      <c r="J152" s="18"/>
      <c r="K152" s="53">
        <f>ROUND(G152*H152*I152/F145,'Đầu vào'!E39)</f>
        <v>182925</v>
      </c>
    </row>
    <row r="153" spans="1:11" ht="16.5" customHeight="1">
      <c r="A153" s="39"/>
      <c r="B153" s="51"/>
      <c r="C153" s="20" t="s">
        <v>658</v>
      </c>
      <c r="D153" s="51"/>
      <c r="E153" s="15"/>
      <c r="F153" s="79"/>
      <c r="G153" s="80">
        <v>2.8999999999999998E-2</v>
      </c>
      <c r="H153" s="53">
        <f>E145</f>
        <v>365850000</v>
      </c>
      <c r="I153" s="81"/>
      <c r="J153" s="18"/>
      <c r="K153" s="53">
        <f>ROUND(G153*H153/F145,'Đầu vào'!E39)</f>
        <v>39295</v>
      </c>
    </row>
    <row r="154" spans="1:11" ht="16.5" customHeight="1">
      <c r="A154" s="39"/>
      <c r="B154" s="51"/>
      <c r="C154" s="20" t="s">
        <v>659</v>
      </c>
      <c r="D154" s="51"/>
      <c r="E154" s="15"/>
      <c r="F154" s="79"/>
      <c r="G154" s="80">
        <v>0.05</v>
      </c>
      <c r="H154" s="53">
        <f>E145</f>
        <v>365850000</v>
      </c>
      <c r="I154" s="81"/>
      <c r="J154" s="18"/>
      <c r="K154" s="53">
        <f>ROUND(G154*H154/F145,'Đầu vào'!E39)</f>
        <v>67750</v>
      </c>
    </row>
    <row r="155" spans="1:11" ht="16.5" customHeight="1">
      <c r="A155" s="60">
        <v>16</v>
      </c>
      <c r="B155" s="61" t="str">
        <f>'Giá tháng'!B70</f>
        <v>M101.1006</v>
      </c>
      <c r="C155" s="62" t="str">
        <f>'Giá tháng'!C70</f>
        <v>Máy lu rung tự hành - trọng lượng tĩnh : 25T</v>
      </c>
      <c r="D155" s="61" t="str">
        <f>'Giá tháng'!D70</f>
        <v>ca</v>
      </c>
      <c r="E155" s="63">
        <v>1668970000</v>
      </c>
      <c r="F155" s="64">
        <v>270</v>
      </c>
      <c r="G155" s="65"/>
      <c r="H155" s="66"/>
      <c r="I155" s="67"/>
      <c r="J155" s="68"/>
      <c r="K155" s="69">
        <f>ROUND(K156+K158+K161,'Đầu vào'!D41)</f>
        <v>3220793</v>
      </c>
    </row>
    <row r="156" spans="1:11" ht="16.5" customHeight="1">
      <c r="A156" s="70"/>
      <c r="B156" s="71"/>
      <c r="C156" s="72" t="s">
        <v>651</v>
      </c>
      <c r="D156" s="71"/>
      <c r="E156" s="73"/>
      <c r="F156" s="74"/>
      <c r="G156" s="75"/>
      <c r="H156" s="76"/>
      <c r="I156" s="77"/>
      <c r="J156" s="78"/>
      <c r="K156" s="76">
        <f>ROUND(SUM(K157:K157),'Đầu vào'!D39)</f>
        <v>1611069.5</v>
      </c>
    </row>
    <row r="157" spans="1:11" ht="16.5" customHeight="1">
      <c r="A157" s="39"/>
      <c r="B157" s="51"/>
      <c r="C157" s="20" t="str">
        <f>" - "&amp;'Đầu vào'!B23</f>
        <v xml:space="preserve"> - Diezel</v>
      </c>
      <c r="D157" s="51" t="str">
        <f>'Đầu vào'!C23</f>
        <v>Lít</v>
      </c>
      <c r="E157" s="15"/>
      <c r="F157" s="79"/>
      <c r="G157" s="80">
        <v>67</v>
      </c>
      <c r="H157" s="53">
        <f>'Đầu vào'!D23</f>
        <v>23345.45</v>
      </c>
      <c r="I157" s="81">
        <f>'Đầu vào'!D29</f>
        <v>1.03</v>
      </c>
      <c r="J157" s="18"/>
      <c r="K157" s="53">
        <f>ROUND(G157*H157*I157,'Đầu vào'!D39)</f>
        <v>1611069.5</v>
      </c>
    </row>
    <row r="158" spans="1:11" ht="16.5" customHeight="1">
      <c r="A158" s="70"/>
      <c r="B158" s="71"/>
      <c r="C158" s="72" t="s">
        <v>652</v>
      </c>
      <c r="D158" s="71"/>
      <c r="E158" s="73"/>
      <c r="F158" s="74"/>
      <c r="G158" s="75"/>
      <c r="H158" s="76"/>
      <c r="I158" s="77"/>
      <c r="J158" s="78"/>
      <c r="K158" s="76">
        <f>ROUND(G159*K159,'Đầu vào'!D39)</f>
        <v>293092</v>
      </c>
    </row>
    <row r="159" spans="1:11" ht="16.5" customHeight="1">
      <c r="A159" s="39"/>
      <c r="B159" s="51"/>
      <c r="C159" s="20" t="s">
        <v>653</v>
      </c>
      <c r="D159" s="51"/>
      <c r="E159" s="15"/>
      <c r="F159" s="79"/>
      <c r="G159" s="80">
        <v>1</v>
      </c>
      <c r="H159" s="53"/>
      <c r="I159" s="81"/>
      <c r="J159" s="18"/>
      <c r="K159" s="53">
        <f>ROUND(SUM(K160:K160),'Đầu vào'!E40)</f>
        <v>293092</v>
      </c>
    </row>
    <row r="160" spans="1:11" ht="16.5" customHeight="1">
      <c r="A160" s="39"/>
      <c r="B160" s="51"/>
      <c r="C160" s="20" t="s">
        <v>654</v>
      </c>
      <c r="D160" s="51"/>
      <c r="E160" s="15"/>
      <c r="F160" s="79"/>
      <c r="G160" s="80">
        <v>1.65</v>
      </c>
      <c r="H160" s="53">
        <v>270000</v>
      </c>
      <c r="I160" s="81">
        <v>1.52</v>
      </c>
      <c r="J160" s="18"/>
      <c r="K160" s="53">
        <f>ROUND(IF(G160&lt;&gt;0,G160*H160/I160,H160),'Đầu vào'!E40)</f>
        <v>293092</v>
      </c>
    </row>
    <row r="161" spans="1:11" ht="16.5" customHeight="1">
      <c r="A161" s="70"/>
      <c r="B161" s="71"/>
      <c r="C161" s="72" t="s">
        <v>656</v>
      </c>
      <c r="D161" s="71"/>
      <c r="E161" s="73"/>
      <c r="F161" s="74"/>
      <c r="G161" s="75"/>
      <c r="H161" s="76"/>
      <c r="I161" s="77"/>
      <c r="J161" s="78"/>
      <c r="K161" s="76">
        <f>SUM(K162:K164)</f>
        <v>1316631.8999999999</v>
      </c>
    </row>
    <row r="162" spans="1:11" ht="16.5" customHeight="1">
      <c r="A162" s="39"/>
      <c r="B162" s="51"/>
      <c r="C162" s="20" t="s">
        <v>657</v>
      </c>
      <c r="D162" s="51"/>
      <c r="E162" s="15"/>
      <c r="F162" s="79"/>
      <c r="G162" s="80">
        <v>0.14000000000000001</v>
      </c>
      <c r="H162" s="53">
        <f>E155</f>
        <v>1668970000</v>
      </c>
      <c r="I162" s="81">
        <f>IF(E155&gt;='Đầu vào'!D35*10^6,1-'Đầu vào'!D36,1)</f>
        <v>0.9</v>
      </c>
      <c r="J162" s="18"/>
      <c r="K162" s="53">
        <f>ROUND(G162*H162*I162/F155,'Đầu vào'!E39)</f>
        <v>778852.7</v>
      </c>
    </row>
    <row r="163" spans="1:11" ht="16.5" customHeight="1">
      <c r="A163" s="39"/>
      <c r="B163" s="51"/>
      <c r="C163" s="20" t="s">
        <v>658</v>
      </c>
      <c r="D163" s="51"/>
      <c r="E163" s="15"/>
      <c r="F163" s="79"/>
      <c r="G163" s="80">
        <v>3.7000000000000005E-2</v>
      </c>
      <c r="H163" s="53">
        <f>E155</f>
        <v>1668970000</v>
      </c>
      <c r="I163" s="81"/>
      <c r="J163" s="18"/>
      <c r="K163" s="53">
        <f>ROUND(G163*H163/F155,'Đầu vào'!E39)</f>
        <v>228710.7</v>
      </c>
    </row>
    <row r="164" spans="1:11" ht="16.5" customHeight="1">
      <c r="A164" s="39"/>
      <c r="B164" s="51"/>
      <c r="C164" s="20" t="s">
        <v>659</v>
      </c>
      <c r="D164" s="51"/>
      <c r="E164" s="15"/>
      <c r="F164" s="79"/>
      <c r="G164" s="80">
        <v>0.05</v>
      </c>
      <c r="H164" s="53">
        <f>E155</f>
        <v>1668970000</v>
      </c>
      <c r="I164" s="81"/>
      <c r="J164" s="18"/>
      <c r="K164" s="53">
        <f>ROUND(G164*H164/F155,'Đầu vào'!E39)</f>
        <v>309068.5</v>
      </c>
    </row>
    <row r="165" spans="1:11" ht="16.5" customHeight="1">
      <c r="A165" s="60">
        <v>17</v>
      </c>
      <c r="B165" s="61" t="str">
        <f>'Giá tháng'!B71</f>
        <v>M112.3703</v>
      </c>
      <c r="C165" s="62" t="str">
        <f>'Giá tháng'!C71</f>
        <v>Máy mài - công suất : 2,7 kW</v>
      </c>
      <c r="D165" s="61" t="str">
        <f>'Giá tháng'!D71</f>
        <v>ca</v>
      </c>
      <c r="E165" s="63">
        <v>11200000</v>
      </c>
      <c r="F165" s="64">
        <v>230</v>
      </c>
      <c r="G165" s="65"/>
      <c r="H165" s="66"/>
      <c r="I165" s="67"/>
      <c r="J165" s="68"/>
      <c r="K165" s="69">
        <f>ROUND(K166+K168,'Đầu vào'!D41)</f>
        <v>18228</v>
      </c>
    </row>
    <row r="166" spans="1:11" ht="16.5" customHeight="1">
      <c r="A166" s="70"/>
      <c r="B166" s="71"/>
      <c r="C166" s="72" t="s">
        <v>651</v>
      </c>
      <c r="D166" s="71"/>
      <c r="E166" s="73"/>
      <c r="F166" s="74"/>
      <c r="G166" s="75"/>
      <c r="H166" s="76"/>
      <c r="I166" s="77"/>
      <c r="J166" s="78"/>
      <c r="K166" s="76">
        <f>ROUND(SUM(K167:K167),'Đầu vào'!D39)</f>
        <v>7077</v>
      </c>
    </row>
    <row r="167" spans="1:11" ht="16.5" customHeight="1">
      <c r="A167" s="39"/>
      <c r="B167" s="51"/>
      <c r="C167" s="20" t="str">
        <f>" - "&amp;'Đầu vào'!B25</f>
        <v xml:space="preserve"> - Điện</v>
      </c>
      <c r="D167" s="51" t="str">
        <f>'Đầu vào'!C25</f>
        <v>kwh</v>
      </c>
      <c r="E167" s="15"/>
      <c r="F167" s="79"/>
      <c r="G167" s="80">
        <v>4</v>
      </c>
      <c r="H167" s="53">
        <f>'Đầu vào'!D25</f>
        <v>1685</v>
      </c>
      <c r="I167" s="81">
        <f>'Đầu vào'!D31</f>
        <v>1.05</v>
      </c>
      <c r="J167" s="18"/>
      <c r="K167" s="53">
        <f>ROUND(G167*H167*I167,'Đầu vào'!D39)</f>
        <v>7077</v>
      </c>
    </row>
    <row r="168" spans="1:11" ht="16.5" customHeight="1">
      <c r="A168" s="70"/>
      <c r="B168" s="71"/>
      <c r="C168" s="72" t="s">
        <v>656</v>
      </c>
      <c r="D168" s="71"/>
      <c r="E168" s="73"/>
      <c r="F168" s="74"/>
      <c r="G168" s="75"/>
      <c r="H168" s="76"/>
      <c r="I168" s="77"/>
      <c r="J168" s="78"/>
      <c r="K168" s="76">
        <f>SUM(K169:K171)</f>
        <v>11151.3</v>
      </c>
    </row>
    <row r="169" spans="1:11" ht="16.5" customHeight="1">
      <c r="A169" s="39"/>
      <c r="B169" s="51"/>
      <c r="C169" s="20" t="s">
        <v>657</v>
      </c>
      <c r="D169" s="51"/>
      <c r="E169" s="15"/>
      <c r="F169" s="79"/>
      <c r="G169" s="80">
        <v>0.14000000000000001</v>
      </c>
      <c r="H169" s="53">
        <f>E165</f>
        <v>11200000</v>
      </c>
      <c r="I169" s="81">
        <f>IF(E165&gt;='Đầu vào'!D35*10^6,1-'Đầu vào'!D36,1)</f>
        <v>1</v>
      </c>
      <c r="J169" s="18"/>
      <c r="K169" s="53">
        <f>ROUND(G169*H169*I169/F165,'Đầu vào'!E39)</f>
        <v>6817.4</v>
      </c>
    </row>
    <row r="170" spans="1:11" ht="16.5" customHeight="1">
      <c r="A170" s="39"/>
      <c r="B170" s="51"/>
      <c r="C170" s="20" t="s">
        <v>658</v>
      </c>
      <c r="D170" s="51"/>
      <c r="E170" s="15"/>
      <c r="F170" s="79"/>
      <c r="G170" s="80">
        <v>4.9000000000000002E-2</v>
      </c>
      <c r="H170" s="53">
        <f>E165</f>
        <v>11200000</v>
      </c>
      <c r="I170" s="81"/>
      <c r="J170" s="18"/>
      <c r="K170" s="53">
        <f>ROUND(G170*H170/F165,'Đầu vào'!E39)</f>
        <v>2386.1</v>
      </c>
    </row>
    <row r="171" spans="1:11" ht="16.5" customHeight="1">
      <c r="A171" s="39"/>
      <c r="B171" s="51"/>
      <c r="C171" s="20" t="s">
        <v>659</v>
      </c>
      <c r="D171" s="51"/>
      <c r="E171" s="15"/>
      <c r="F171" s="79"/>
      <c r="G171" s="80">
        <v>0.04</v>
      </c>
      <c r="H171" s="53">
        <f>E165</f>
        <v>11200000</v>
      </c>
      <c r="I171" s="81"/>
      <c r="J171" s="18"/>
      <c r="K171" s="53">
        <f>ROUND(G171*H171/F165,'Đầu vào'!E39)</f>
        <v>1947.8</v>
      </c>
    </row>
    <row r="172" spans="1:11" ht="28.5" customHeight="1">
      <c r="A172" s="60">
        <v>18</v>
      </c>
      <c r="B172" s="61" t="str">
        <f>'Giá tháng'!B72</f>
        <v>M108.0306</v>
      </c>
      <c r="C172" s="62" t="str">
        <f>'Giá tháng'!C72</f>
        <v>Máy nén khí, động cơ diezel - năng suất : 600,00 m3/h</v>
      </c>
      <c r="D172" s="61" t="str">
        <f>'Giá tháng'!D72</f>
        <v>ca</v>
      </c>
      <c r="E172" s="63">
        <v>410793000</v>
      </c>
      <c r="F172" s="64">
        <v>180</v>
      </c>
      <c r="G172" s="65"/>
      <c r="H172" s="66"/>
      <c r="I172" s="67"/>
      <c r="J172" s="68"/>
      <c r="K172" s="69">
        <f>ROUND(K173+K175+K178,'Đầu vào'!D41)</f>
        <v>1856860</v>
      </c>
    </row>
    <row r="173" spans="1:11" ht="16.5" customHeight="1">
      <c r="A173" s="70"/>
      <c r="B173" s="71"/>
      <c r="C173" s="72" t="s">
        <v>651</v>
      </c>
      <c r="D173" s="71"/>
      <c r="E173" s="73"/>
      <c r="F173" s="74"/>
      <c r="G173" s="75"/>
      <c r="H173" s="76"/>
      <c r="I173" s="77"/>
      <c r="J173" s="78"/>
      <c r="K173" s="76">
        <f>ROUND(SUM(K174:K174),'Đầu vào'!D39)</f>
        <v>1130153.2</v>
      </c>
    </row>
    <row r="174" spans="1:11" ht="16.5" customHeight="1">
      <c r="A174" s="39"/>
      <c r="B174" s="51"/>
      <c r="C174" s="20" t="str">
        <f>" - "&amp;'Đầu vào'!B23</f>
        <v xml:space="preserve"> - Diezel</v>
      </c>
      <c r="D174" s="51" t="str">
        <f>'Đầu vào'!C23</f>
        <v>Lít</v>
      </c>
      <c r="E174" s="15"/>
      <c r="F174" s="79"/>
      <c r="G174" s="80">
        <v>47</v>
      </c>
      <c r="H174" s="53">
        <f>'Đầu vào'!D23</f>
        <v>23345.45</v>
      </c>
      <c r="I174" s="81">
        <f>'Đầu vào'!D29</f>
        <v>1.03</v>
      </c>
      <c r="J174" s="18"/>
      <c r="K174" s="53">
        <f>ROUND(G174*H174*I174,'Đầu vào'!D39)</f>
        <v>1130153.2</v>
      </c>
    </row>
    <row r="175" spans="1:11" ht="16.5" customHeight="1">
      <c r="A175" s="70"/>
      <c r="B175" s="71"/>
      <c r="C175" s="72" t="s">
        <v>652</v>
      </c>
      <c r="D175" s="71"/>
      <c r="E175" s="73"/>
      <c r="F175" s="74"/>
      <c r="G175" s="75"/>
      <c r="H175" s="76"/>
      <c r="I175" s="77"/>
      <c r="J175" s="78"/>
      <c r="K175" s="76">
        <f>ROUND(G176*K176,'Đầu vào'!D39)</f>
        <v>293092</v>
      </c>
    </row>
    <row r="176" spans="1:11" ht="16.5" customHeight="1">
      <c r="A176" s="39"/>
      <c r="B176" s="51"/>
      <c r="C176" s="20" t="s">
        <v>653</v>
      </c>
      <c r="D176" s="51"/>
      <c r="E176" s="15"/>
      <c r="F176" s="79"/>
      <c r="G176" s="80">
        <v>1</v>
      </c>
      <c r="H176" s="53"/>
      <c r="I176" s="81"/>
      <c r="J176" s="18"/>
      <c r="K176" s="53">
        <f>ROUND(SUM(K177:K177),'Đầu vào'!E40)</f>
        <v>293092</v>
      </c>
    </row>
    <row r="177" spans="1:11" ht="16.5" customHeight="1">
      <c r="A177" s="39"/>
      <c r="B177" s="51"/>
      <c r="C177" s="20" t="s">
        <v>654</v>
      </c>
      <c r="D177" s="51"/>
      <c r="E177" s="15"/>
      <c r="F177" s="79"/>
      <c r="G177" s="80">
        <v>1.65</v>
      </c>
      <c r="H177" s="53">
        <v>270000</v>
      </c>
      <c r="I177" s="81">
        <v>1.52</v>
      </c>
      <c r="J177" s="18"/>
      <c r="K177" s="53">
        <f>ROUND(IF(G177&lt;&gt;0,G177*H177/I177,H177),'Đầu vào'!E40)</f>
        <v>293092</v>
      </c>
    </row>
    <row r="178" spans="1:11" ht="16.5" customHeight="1">
      <c r="A178" s="70"/>
      <c r="B178" s="71"/>
      <c r="C178" s="72" t="s">
        <v>656</v>
      </c>
      <c r="D178" s="71"/>
      <c r="E178" s="73"/>
      <c r="F178" s="74"/>
      <c r="G178" s="75"/>
      <c r="H178" s="76"/>
      <c r="I178" s="77"/>
      <c r="J178" s="78"/>
      <c r="K178" s="76">
        <f>SUM(K179:K181)</f>
        <v>433614.9</v>
      </c>
    </row>
    <row r="179" spans="1:11" ht="16.5" customHeight="1">
      <c r="A179" s="39"/>
      <c r="B179" s="51"/>
      <c r="C179" s="20" t="s">
        <v>657</v>
      </c>
      <c r="D179" s="51"/>
      <c r="E179" s="15"/>
      <c r="F179" s="79"/>
      <c r="G179" s="80">
        <v>0.1</v>
      </c>
      <c r="H179" s="53">
        <f>E172</f>
        <v>410793000</v>
      </c>
      <c r="I179" s="81">
        <f>IF(E172&gt;='Đầu vào'!D35*10^6,1-'Đầu vào'!D36,1)</f>
        <v>0.9</v>
      </c>
      <c r="J179" s="18"/>
      <c r="K179" s="53">
        <f>ROUND(G179*H179*I179/F172,'Đầu vào'!E39)</f>
        <v>205396.5</v>
      </c>
    </row>
    <row r="180" spans="1:11" ht="16.5" customHeight="1">
      <c r="A180" s="39"/>
      <c r="B180" s="51"/>
      <c r="C180" s="20" t="s">
        <v>658</v>
      </c>
      <c r="D180" s="51"/>
      <c r="E180" s="15"/>
      <c r="F180" s="79"/>
      <c r="G180" s="80">
        <v>0.05</v>
      </c>
      <c r="H180" s="53">
        <f>E172</f>
        <v>410793000</v>
      </c>
      <c r="I180" s="81"/>
      <c r="J180" s="18"/>
      <c r="K180" s="53">
        <f>ROUND(G180*H180/F172,'Đầu vào'!E39)</f>
        <v>114109.2</v>
      </c>
    </row>
    <row r="181" spans="1:11" ht="16.5" customHeight="1">
      <c r="A181" s="39"/>
      <c r="B181" s="51"/>
      <c r="C181" s="20" t="s">
        <v>659</v>
      </c>
      <c r="D181" s="51"/>
      <c r="E181" s="15"/>
      <c r="F181" s="79"/>
      <c r="G181" s="80">
        <v>0.05</v>
      </c>
      <c r="H181" s="53">
        <f>E172</f>
        <v>410793000</v>
      </c>
      <c r="I181" s="81"/>
      <c r="J181" s="18"/>
      <c r="K181" s="53">
        <f>ROUND(G181*H181/F172,'Đầu vào'!E39)</f>
        <v>114109.2</v>
      </c>
    </row>
    <row r="182" spans="1:11" ht="28.5" customHeight="1">
      <c r="A182" s="60">
        <v>19</v>
      </c>
      <c r="B182" s="61" t="str">
        <f>'Giá tháng'!B73</f>
        <v>M105.0401</v>
      </c>
      <c r="C182" s="62" t="str">
        <f>'Giá tháng'!C73</f>
        <v>Máy rải cấp phối đá dăm - năng suất : 50 m3/h - 60 m3/h</v>
      </c>
      <c r="D182" s="61" t="str">
        <f>'Giá tháng'!D73</f>
        <v>ca</v>
      </c>
      <c r="E182" s="63">
        <v>2043419000</v>
      </c>
      <c r="F182" s="64">
        <v>180</v>
      </c>
      <c r="G182" s="65"/>
      <c r="H182" s="66"/>
      <c r="I182" s="67"/>
      <c r="J182" s="68"/>
      <c r="K182" s="69">
        <f>ROUND(K183+K185+K190,'Đầu vào'!D41)</f>
        <v>3787695</v>
      </c>
    </row>
    <row r="183" spans="1:11" ht="16.5" customHeight="1">
      <c r="A183" s="70"/>
      <c r="B183" s="71"/>
      <c r="C183" s="72" t="s">
        <v>651</v>
      </c>
      <c r="D183" s="71"/>
      <c r="E183" s="73"/>
      <c r="F183" s="74"/>
      <c r="G183" s="75"/>
      <c r="H183" s="76"/>
      <c r="I183" s="77"/>
      <c r="J183" s="78"/>
      <c r="K183" s="76">
        <f>ROUND(SUM(K184:K184),'Đầu vào'!D39)</f>
        <v>721374.4</v>
      </c>
    </row>
    <row r="184" spans="1:11" ht="16.5" customHeight="1">
      <c r="A184" s="39"/>
      <c r="B184" s="51"/>
      <c r="C184" s="20" t="str">
        <f>" - "&amp;'Đầu vào'!B23</f>
        <v xml:space="preserve"> - Diezel</v>
      </c>
      <c r="D184" s="51" t="str">
        <f>'Đầu vào'!C23</f>
        <v>Lít</v>
      </c>
      <c r="E184" s="15"/>
      <c r="F184" s="79"/>
      <c r="G184" s="80">
        <v>30</v>
      </c>
      <c r="H184" s="53">
        <f>'Đầu vào'!D23</f>
        <v>23345.45</v>
      </c>
      <c r="I184" s="81">
        <f>'Đầu vào'!D29</f>
        <v>1.03</v>
      </c>
      <c r="J184" s="18"/>
      <c r="K184" s="53">
        <f>ROUND(G184*H184*I184,'Đầu vào'!D39)</f>
        <v>721374.4</v>
      </c>
    </row>
    <row r="185" spans="1:11" ht="16.5" customHeight="1">
      <c r="A185" s="70"/>
      <c r="B185" s="71"/>
      <c r="C185" s="72" t="s">
        <v>652</v>
      </c>
      <c r="D185" s="71"/>
      <c r="E185" s="73"/>
      <c r="F185" s="74"/>
      <c r="G185" s="75"/>
      <c r="H185" s="76"/>
      <c r="I185" s="77"/>
      <c r="J185" s="78"/>
      <c r="K185" s="76">
        <f>ROUND(G186*K186+G188*K188,'Đầu vào'!D39)</f>
        <v>591513</v>
      </c>
    </row>
    <row r="186" spans="1:11" ht="16.5" customHeight="1">
      <c r="A186" s="39"/>
      <c r="B186" s="51"/>
      <c r="C186" s="20" t="s">
        <v>660</v>
      </c>
      <c r="D186" s="51"/>
      <c r="E186" s="15"/>
      <c r="F186" s="79"/>
      <c r="G186" s="80">
        <v>1</v>
      </c>
      <c r="H186" s="53"/>
      <c r="I186" s="81"/>
      <c r="J186" s="18"/>
      <c r="K186" s="53">
        <f>ROUND(SUM(K187:K187),'Đầu vào'!E40)</f>
        <v>246908</v>
      </c>
    </row>
    <row r="187" spans="1:11" ht="16.5" customHeight="1">
      <c r="A187" s="39"/>
      <c r="B187" s="51"/>
      <c r="C187" s="20" t="s">
        <v>654</v>
      </c>
      <c r="D187" s="51"/>
      <c r="E187" s="15"/>
      <c r="F187" s="79"/>
      <c r="G187" s="80">
        <v>1.39</v>
      </c>
      <c r="H187" s="53">
        <v>270000</v>
      </c>
      <c r="I187" s="81">
        <v>1.52</v>
      </c>
      <c r="J187" s="18"/>
      <c r="K187" s="53">
        <f>ROUND(IF(G187&lt;&gt;0,G187*H187/I187,H187),'Đầu vào'!E40)</f>
        <v>246908</v>
      </c>
    </row>
    <row r="188" spans="1:11" ht="16.5" customHeight="1">
      <c r="A188" s="39"/>
      <c r="B188" s="51"/>
      <c r="C188" s="20" t="s">
        <v>661</v>
      </c>
      <c r="D188" s="51"/>
      <c r="E188" s="15"/>
      <c r="F188" s="79"/>
      <c r="G188" s="80">
        <v>1</v>
      </c>
      <c r="H188" s="53"/>
      <c r="I188" s="81"/>
      <c r="J188" s="18"/>
      <c r="K188" s="53">
        <f>ROUND(SUM(K189:K189),'Đầu vào'!E40)</f>
        <v>344605</v>
      </c>
    </row>
    <row r="189" spans="1:11" ht="16.5" customHeight="1">
      <c r="A189" s="39"/>
      <c r="B189" s="51"/>
      <c r="C189" s="20" t="s">
        <v>654</v>
      </c>
      <c r="D189" s="51"/>
      <c r="E189" s="15"/>
      <c r="F189" s="79"/>
      <c r="G189" s="80">
        <v>1.94</v>
      </c>
      <c r="H189" s="53">
        <v>270000</v>
      </c>
      <c r="I189" s="81">
        <v>1.52</v>
      </c>
      <c r="J189" s="18"/>
      <c r="K189" s="53">
        <f>ROUND(IF(G189&lt;&gt;0,G189*H189/I189,H189),'Đầu vào'!E40)</f>
        <v>344605</v>
      </c>
    </row>
    <row r="190" spans="1:11" ht="16.5" customHeight="1">
      <c r="A190" s="70"/>
      <c r="B190" s="71"/>
      <c r="C190" s="72" t="s">
        <v>656</v>
      </c>
      <c r="D190" s="71"/>
      <c r="E190" s="73"/>
      <c r="F190" s="74"/>
      <c r="G190" s="75"/>
      <c r="H190" s="76"/>
      <c r="I190" s="77"/>
      <c r="J190" s="78"/>
      <c r="K190" s="76">
        <f>SUM(K191:K193)</f>
        <v>2474807.5</v>
      </c>
    </row>
    <row r="191" spans="1:11" ht="16.5" customHeight="1">
      <c r="A191" s="39"/>
      <c r="B191" s="51"/>
      <c r="C191" s="20" t="s">
        <v>657</v>
      </c>
      <c r="D191" s="51"/>
      <c r="E191" s="15"/>
      <c r="F191" s="79"/>
      <c r="G191" s="80">
        <v>0.14000000000000001</v>
      </c>
      <c r="H191" s="53">
        <f>E182</f>
        <v>2043419000</v>
      </c>
      <c r="I191" s="81">
        <f>IF(E182&gt;='Đầu vào'!D35*10^6,1-'Đầu vào'!D36,1)</f>
        <v>0.9</v>
      </c>
      <c r="J191" s="18"/>
      <c r="K191" s="53">
        <f>ROUND(G191*H191*I191/F182,'Đầu vào'!E39)</f>
        <v>1430393.3</v>
      </c>
    </row>
    <row r="192" spans="1:11" ht="16.5" customHeight="1">
      <c r="A192" s="39"/>
      <c r="B192" s="51"/>
      <c r="C192" s="20" t="s">
        <v>658</v>
      </c>
      <c r="D192" s="51"/>
      <c r="E192" s="15"/>
      <c r="F192" s="79"/>
      <c r="G192" s="80">
        <v>4.2000000000000003E-2</v>
      </c>
      <c r="H192" s="53">
        <f>E182</f>
        <v>2043419000</v>
      </c>
      <c r="I192" s="81"/>
      <c r="J192" s="18"/>
      <c r="K192" s="53">
        <f>ROUND(G192*H192/F182,'Đầu vào'!E39)</f>
        <v>476797.8</v>
      </c>
    </row>
    <row r="193" spans="1:11" ht="16.5" customHeight="1">
      <c r="A193" s="39"/>
      <c r="B193" s="51"/>
      <c r="C193" s="20" t="s">
        <v>659</v>
      </c>
      <c r="D193" s="51"/>
      <c r="E193" s="15"/>
      <c r="F193" s="79"/>
      <c r="G193" s="80">
        <v>0.05</v>
      </c>
      <c r="H193" s="53">
        <f>E182</f>
        <v>2043419000</v>
      </c>
      <c r="I193" s="81"/>
      <c r="J193" s="18"/>
      <c r="K193" s="53">
        <f>ROUND(G193*H193/F182,'Đầu vào'!E39)</f>
        <v>567616.4</v>
      </c>
    </row>
    <row r="194" spans="1:11" ht="16.5" customHeight="1">
      <c r="A194" s="60">
        <v>20</v>
      </c>
      <c r="B194" s="61" t="str">
        <f>'Giá tháng'!B74</f>
        <v>M104.0102</v>
      </c>
      <c r="C194" s="62" t="str">
        <f>'Giá tháng'!C74</f>
        <v>Máy trộn bê tông - dung tích : 250,0 lít</v>
      </c>
      <c r="D194" s="61" t="str">
        <f>'Giá tháng'!D74</f>
        <v>ca</v>
      </c>
      <c r="E194" s="63">
        <v>30210000</v>
      </c>
      <c r="F194" s="64">
        <v>165</v>
      </c>
      <c r="G194" s="65"/>
      <c r="H194" s="66"/>
      <c r="I194" s="67"/>
      <c r="J194" s="68"/>
      <c r="K194" s="69">
        <f>ROUND(K195+K197+K200,'Đầu vào'!D41)</f>
        <v>318734</v>
      </c>
    </row>
    <row r="195" spans="1:11" ht="16.5" customHeight="1">
      <c r="A195" s="70"/>
      <c r="B195" s="71"/>
      <c r="C195" s="72" t="s">
        <v>651</v>
      </c>
      <c r="D195" s="71"/>
      <c r="E195" s="73"/>
      <c r="F195" s="74"/>
      <c r="G195" s="75"/>
      <c r="H195" s="76"/>
      <c r="I195" s="77"/>
      <c r="J195" s="78"/>
      <c r="K195" s="76">
        <f>ROUND(SUM(K196:K196),'Đầu vào'!D39)</f>
        <v>19461.8</v>
      </c>
    </row>
    <row r="196" spans="1:11" ht="16.5" customHeight="1">
      <c r="A196" s="39"/>
      <c r="B196" s="51"/>
      <c r="C196" s="20" t="str">
        <f>" - "&amp;'Đầu vào'!B25</f>
        <v xml:space="preserve"> - Điện</v>
      </c>
      <c r="D196" s="51" t="str">
        <f>'Đầu vào'!C25</f>
        <v>kwh</v>
      </c>
      <c r="E196" s="15"/>
      <c r="F196" s="79"/>
      <c r="G196" s="80">
        <v>11</v>
      </c>
      <c r="H196" s="53">
        <f>'Đầu vào'!D25</f>
        <v>1685</v>
      </c>
      <c r="I196" s="81">
        <f>'Đầu vào'!D31</f>
        <v>1.05</v>
      </c>
      <c r="J196" s="18"/>
      <c r="K196" s="53">
        <f>ROUND(G196*H196*I196,'Đầu vào'!D39)</f>
        <v>19461.8</v>
      </c>
    </row>
    <row r="197" spans="1:11" ht="16.5" customHeight="1">
      <c r="A197" s="70"/>
      <c r="B197" s="71"/>
      <c r="C197" s="72" t="s">
        <v>652</v>
      </c>
      <c r="D197" s="71"/>
      <c r="E197" s="73"/>
      <c r="F197" s="74"/>
      <c r="G197" s="75"/>
      <c r="H197" s="76"/>
      <c r="I197" s="77"/>
      <c r="J197" s="78"/>
      <c r="K197" s="76">
        <f>ROUND(G198*K198,'Đầu vào'!D39)</f>
        <v>246908</v>
      </c>
    </row>
    <row r="198" spans="1:11" ht="16.5" customHeight="1">
      <c r="A198" s="39"/>
      <c r="B198" s="51"/>
      <c r="C198" s="20" t="s">
        <v>660</v>
      </c>
      <c r="D198" s="51"/>
      <c r="E198" s="15"/>
      <c r="F198" s="79"/>
      <c r="G198" s="80">
        <v>1</v>
      </c>
      <c r="H198" s="53"/>
      <c r="I198" s="81"/>
      <c r="J198" s="18"/>
      <c r="K198" s="53">
        <f>ROUND(SUM(K199:K199),'Đầu vào'!E40)</f>
        <v>246908</v>
      </c>
    </row>
    <row r="199" spans="1:11" ht="16.5" customHeight="1">
      <c r="A199" s="39"/>
      <c r="B199" s="51"/>
      <c r="C199" s="20" t="s">
        <v>654</v>
      </c>
      <c r="D199" s="51"/>
      <c r="E199" s="15"/>
      <c r="F199" s="79"/>
      <c r="G199" s="80">
        <v>1.39</v>
      </c>
      <c r="H199" s="53">
        <v>270000</v>
      </c>
      <c r="I199" s="81">
        <v>1.52</v>
      </c>
      <c r="J199" s="18"/>
      <c r="K199" s="53">
        <f>ROUND(IF(G199&lt;&gt;0,G199*H199/I199,H199),'Đầu vào'!E40)</f>
        <v>246908</v>
      </c>
    </row>
    <row r="200" spans="1:11" ht="16.5" customHeight="1">
      <c r="A200" s="70"/>
      <c r="B200" s="71"/>
      <c r="C200" s="72" t="s">
        <v>656</v>
      </c>
      <c r="D200" s="71"/>
      <c r="E200" s="73"/>
      <c r="F200" s="74"/>
      <c r="G200" s="75"/>
      <c r="H200" s="76"/>
      <c r="I200" s="77"/>
      <c r="J200" s="78"/>
      <c r="K200" s="76">
        <f>SUM(K201:K203)</f>
        <v>52363.9</v>
      </c>
    </row>
    <row r="201" spans="1:11" ht="16.5" customHeight="1">
      <c r="A201" s="39"/>
      <c r="B201" s="51"/>
      <c r="C201" s="20" t="s">
        <v>657</v>
      </c>
      <c r="D201" s="51"/>
      <c r="E201" s="15"/>
      <c r="F201" s="79"/>
      <c r="G201" s="80">
        <v>0.19</v>
      </c>
      <c r="H201" s="53">
        <f>E194</f>
        <v>30210000</v>
      </c>
      <c r="I201" s="81">
        <f>IF(E194&gt;='Đầu vào'!D35*10^6,1-'Đầu vào'!D36,1)</f>
        <v>0.9</v>
      </c>
      <c r="J201" s="18"/>
      <c r="K201" s="53">
        <f>ROUND(G201*H201*I201/F194,'Đầu vào'!E39)</f>
        <v>31308.5</v>
      </c>
    </row>
    <row r="202" spans="1:11" ht="16.5" customHeight="1">
      <c r="A202" s="39"/>
      <c r="B202" s="51"/>
      <c r="C202" s="20" t="s">
        <v>658</v>
      </c>
      <c r="D202" s="51"/>
      <c r="E202" s="15"/>
      <c r="F202" s="79"/>
      <c r="G202" s="80">
        <v>6.5000000000000002E-2</v>
      </c>
      <c r="H202" s="53">
        <f>E194</f>
        <v>30210000</v>
      </c>
      <c r="I202" s="81"/>
      <c r="J202" s="18"/>
      <c r="K202" s="53">
        <f>ROUND(G202*H202/F194,'Đầu vào'!E39)</f>
        <v>11900.9</v>
      </c>
    </row>
    <row r="203" spans="1:11" ht="16.5" customHeight="1">
      <c r="A203" s="39"/>
      <c r="B203" s="51"/>
      <c r="C203" s="20" t="s">
        <v>659</v>
      </c>
      <c r="D203" s="51"/>
      <c r="E203" s="15"/>
      <c r="F203" s="79"/>
      <c r="G203" s="80">
        <v>0.05</v>
      </c>
      <c r="H203" s="53">
        <f>E194</f>
        <v>30210000</v>
      </c>
      <c r="I203" s="81"/>
      <c r="J203" s="18"/>
      <c r="K203" s="53">
        <f>ROUND(G203*H203/F194,'Đầu vào'!E39)</f>
        <v>9154.5</v>
      </c>
    </row>
    <row r="204" spans="1:11" ht="16.5" customHeight="1">
      <c r="A204" s="60">
        <v>21</v>
      </c>
      <c r="B204" s="61" t="str">
        <f>'Giá tháng'!B75</f>
        <v>M104.0202</v>
      </c>
      <c r="C204" s="62" t="str">
        <f>'Giá tháng'!C75</f>
        <v>Máy trộn vữa 150 lít</v>
      </c>
      <c r="D204" s="61" t="str">
        <f>'Giá tháng'!D75</f>
        <v>ca</v>
      </c>
      <c r="E204" s="63">
        <v>17828000</v>
      </c>
      <c r="F204" s="64">
        <v>170</v>
      </c>
      <c r="G204" s="65"/>
      <c r="H204" s="66"/>
      <c r="I204" s="67"/>
      <c r="J204" s="68"/>
      <c r="K204" s="69">
        <f>ROUND(K205+K207+K210,'Đầu vào'!D41)</f>
        <v>293362</v>
      </c>
    </row>
    <row r="205" spans="1:11" ht="16.5" customHeight="1">
      <c r="A205" s="70"/>
      <c r="B205" s="71"/>
      <c r="C205" s="72" t="s">
        <v>651</v>
      </c>
      <c r="D205" s="71"/>
      <c r="E205" s="73"/>
      <c r="F205" s="74"/>
      <c r="G205" s="75"/>
      <c r="H205" s="76"/>
      <c r="I205" s="77"/>
      <c r="J205" s="78"/>
      <c r="K205" s="76">
        <f>ROUND(SUM(K206:K206),'Đầu vào'!D39)</f>
        <v>14154</v>
      </c>
    </row>
    <row r="206" spans="1:11" ht="16.5" customHeight="1">
      <c r="A206" s="39"/>
      <c r="B206" s="51"/>
      <c r="C206" s="20" t="str">
        <f>" - "&amp;'Đầu vào'!B25</f>
        <v xml:space="preserve"> - Điện</v>
      </c>
      <c r="D206" s="51" t="str">
        <f>'Đầu vào'!C25</f>
        <v>kwh</v>
      </c>
      <c r="E206" s="15"/>
      <c r="F206" s="79"/>
      <c r="G206" s="80">
        <v>8</v>
      </c>
      <c r="H206" s="53">
        <f>'Đầu vào'!D25</f>
        <v>1685</v>
      </c>
      <c r="I206" s="81">
        <f>'Đầu vào'!D31</f>
        <v>1.05</v>
      </c>
      <c r="J206" s="18"/>
      <c r="K206" s="53">
        <f>ROUND(G206*H206*I206,'Đầu vào'!D39)</f>
        <v>14154</v>
      </c>
    </row>
    <row r="207" spans="1:11" ht="16.5" customHeight="1">
      <c r="A207" s="70"/>
      <c r="B207" s="71"/>
      <c r="C207" s="72" t="s">
        <v>652</v>
      </c>
      <c r="D207" s="71"/>
      <c r="E207" s="73"/>
      <c r="F207" s="74"/>
      <c r="G207" s="75"/>
      <c r="H207" s="76"/>
      <c r="I207" s="77"/>
      <c r="J207" s="78"/>
      <c r="K207" s="76">
        <f>ROUND(G208*K208,'Đầu vào'!D39)</f>
        <v>246908</v>
      </c>
    </row>
    <row r="208" spans="1:11" ht="16.5" customHeight="1">
      <c r="A208" s="39"/>
      <c r="B208" s="51"/>
      <c r="C208" s="20" t="s">
        <v>660</v>
      </c>
      <c r="D208" s="51"/>
      <c r="E208" s="15"/>
      <c r="F208" s="79"/>
      <c r="G208" s="80">
        <v>1</v>
      </c>
      <c r="H208" s="53"/>
      <c r="I208" s="81"/>
      <c r="J208" s="18"/>
      <c r="K208" s="53">
        <f>ROUND(SUM(K209:K209),'Đầu vào'!E40)</f>
        <v>246908</v>
      </c>
    </row>
    <row r="209" spans="1:11" ht="16.5" customHeight="1">
      <c r="A209" s="39"/>
      <c r="B209" s="51"/>
      <c r="C209" s="20" t="s">
        <v>654</v>
      </c>
      <c r="D209" s="51"/>
      <c r="E209" s="15"/>
      <c r="F209" s="79"/>
      <c r="G209" s="80">
        <v>1.39</v>
      </c>
      <c r="H209" s="53">
        <v>270000</v>
      </c>
      <c r="I209" s="81">
        <v>1.52</v>
      </c>
      <c r="J209" s="18"/>
      <c r="K209" s="53">
        <f>ROUND(IF(G209&lt;&gt;0,G209*H209/I209,H209),'Đầu vào'!E40)</f>
        <v>246908</v>
      </c>
    </row>
    <row r="210" spans="1:11" ht="16.5" customHeight="1">
      <c r="A210" s="70"/>
      <c r="B210" s="71"/>
      <c r="C210" s="72" t="s">
        <v>656</v>
      </c>
      <c r="D210" s="71"/>
      <c r="E210" s="73"/>
      <c r="F210" s="74"/>
      <c r="G210" s="75"/>
      <c r="H210" s="76"/>
      <c r="I210" s="77"/>
      <c r="J210" s="78"/>
      <c r="K210" s="76">
        <f>SUM(K211:K213)</f>
        <v>32300.100000000002</v>
      </c>
    </row>
    <row r="211" spans="1:11" ht="16.5" customHeight="1">
      <c r="A211" s="39"/>
      <c r="B211" s="51"/>
      <c r="C211" s="20" t="s">
        <v>657</v>
      </c>
      <c r="D211" s="51"/>
      <c r="E211" s="15"/>
      <c r="F211" s="79"/>
      <c r="G211" s="80">
        <v>0.19</v>
      </c>
      <c r="H211" s="53">
        <f>E204</f>
        <v>17828000</v>
      </c>
      <c r="I211" s="81">
        <f>IF(E204&gt;='Đầu vào'!D35*10^6,1-'Đầu vào'!D36,1)</f>
        <v>1</v>
      </c>
      <c r="J211" s="18"/>
      <c r="K211" s="53">
        <f>ROUND(G211*H211*I211/F204,'Đầu vào'!E39)</f>
        <v>19925.400000000001</v>
      </c>
    </row>
    <row r="212" spans="1:11" ht="16.5" customHeight="1">
      <c r="A212" s="39"/>
      <c r="B212" s="51"/>
      <c r="C212" s="20" t="s">
        <v>658</v>
      </c>
      <c r="D212" s="51"/>
      <c r="E212" s="15"/>
      <c r="F212" s="79"/>
      <c r="G212" s="80">
        <v>6.8000000000000005E-2</v>
      </c>
      <c r="H212" s="53">
        <f>E204</f>
        <v>17828000</v>
      </c>
      <c r="I212" s="81"/>
      <c r="J212" s="18"/>
      <c r="K212" s="53">
        <f>ROUND(G212*H212/F204,'Đầu vào'!E39)</f>
        <v>7131.2</v>
      </c>
    </row>
    <row r="213" spans="1:11" ht="16.5" customHeight="1">
      <c r="A213" s="39"/>
      <c r="B213" s="51"/>
      <c r="C213" s="20" t="s">
        <v>659</v>
      </c>
      <c r="D213" s="51"/>
      <c r="E213" s="15"/>
      <c r="F213" s="79"/>
      <c r="G213" s="80">
        <v>0.05</v>
      </c>
      <c r="H213" s="53">
        <f>E204</f>
        <v>17828000</v>
      </c>
      <c r="I213" s="81"/>
      <c r="J213" s="18"/>
      <c r="K213" s="53">
        <f>ROUND(G213*H213/F204,'Đầu vào'!E39)</f>
        <v>5243.5</v>
      </c>
    </row>
    <row r="214" spans="1:11" ht="16.5" customHeight="1">
      <c r="A214" s="60">
        <v>22</v>
      </c>
      <c r="B214" s="61" t="str">
        <f>'Giá tháng'!B76</f>
        <v>M101.0503</v>
      </c>
      <c r="C214" s="62" t="str">
        <f>'Giá tháng'!C76</f>
        <v>Máy ủi - công suất : 110,0 CV</v>
      </c>
      <c r="D214" s="61" t="str">
        <f>'Giá tháng'!D76</f>
        <v>ca</v>
      </c>
      <c r="E214" s="63">
        <v>851855000</v>
      </c>
      <c r="F214" s="64">
        <v>280</v>
      </c>
      <c r="G214" s="65"/>
      <c r="H214" s="66"/>
      <c r="I214" s="67"/>
      <c r="J214" s="68"/>
      <c r="K214" s="69">
        <f>ROUND(K215+K217+K220,'Đầu vào'!D41)</f>
        <v>2111107</v>
      </c>
    </row>
    <row r="215" spans="1:11" ht="16.5" customHeight="1">
      <c r="A215" s="70"/>
      <c r="B215" s="71"/>
      <c r="C215" s="72" t="s">
        <v>651</v>
      </c>
      <c r="D215" s="71"/>
      <c r="E215" s="73"/>
      <c r="F215" s="74"/>
      <c r="G215" s="75"/>
      <c r="H215" s="76"/>
      <c r="I215" s="77"/>
      <c r="J215" s="78"/>
      <c r="K215" s="76">
        <f>ROUND(SUM(K216:K216),'Đầu vào'!D39)</f>
        <v>1106107.3999999999</v>
      </c>
    </row>
    <row r="216" spans="1:11" ht="16.5" customHeight="1">
      <c r="A216" s="39"/>
      <c r="B216" s="51"/>
      <c r="C216" s="20" t="str">
        <f>" - "&amp;'Đầu vào'!B23</f>
        <v xml:space="preserve"> - Diezel</v>
      </c>
      <c r="D216" s="51" t="str">
        <f>'Đầu vào'!C23</f>
        <v>Lít</v>
      </c>
      <c r="E216" s="15"/>
      <c r="F216" s="79"/>
      <c r="G216" s="80">
        <v>46</v>
      </c>
      <c r="H216" s="53">
        <f>'Đầu vào'!D23</f>
        <v>23345.45</v>
      </c>
      <c r="I216" s="81">
        <f>'Đầu vào'!D29</f>
        <v>1.03</v>
      </c>
      <c r="J216" s="18"/>
      <c r="K216" s="53">
        <f>ROUND(G216*H216*I216,'Đầu vào'!D39)</f>
        <v>1106107.3999999999</v>
      </c>
    </row>
    <row r="217" spans="1:11" ht="16.5" customHeight="1">
      <c r="A217" s="70"/>
      <c r="B217" s="71"/>
      <c r="C217" s="72" t="s">
        <v>652</v>
      </c>
      <c r="D217" s="71"/>
      <c r="E217" s="73"/>
      <c r="F217" s="74"/>
      <c r="G217" s="75"/>
      <c r="H217" s="76"/>
      <c r="I217" s="77"/>
      <c r="J217" s="78"/>
      <c r="K217" s="76">
        <f>ROUND(G218*K218,'Đầu vào'!D39)</f>
        <v>293092</v>
      </c>
    </row>
    <row r="218" spans="1:11" ht="16.5" customHeight="1">
      <c r="A218" s="39"/>
      <c r="B218" s="51"/>
      <c r="C218" s="20" t="s">
        <v>653</v>
      </c>
      <c r="D218" s="51"/>
      <c r="E218" s="15"/>
      <c r="F218" s="79"/>
      <c r="G218" s="80">
        <v>1</v>
      </c>
      <c r="H218" s="53"/>
      <c r="I218" s="81"/>
      <c r="J218" s="18"/>
      <c r="K218" s="53">
        <f>ROUND(SUM(K219:K219),'Đầu vào'!E40)</f>
        <v>293092</v>
      </c>
    </row>
    <row r="219" spans="1:11" ht="16.5" customHeight="1">
      <c r="A219" s="39"/>
      <c r="B219" s="51"/>
      <c r="C219" s="20" t="s">
        <v>654</v>
      </c>
      <c r="D219" s="51"/>
      <c r="E219" s="15"/>
      <c r="F219" s="79"/>
      <c r="G219" s="80">
        <v>1.65</v>
      </c>
      <c r="H219" s="53">
        <v>270000</v>
      </c>
      <c r="I219" s="81">
        <v>1.52</v>
      </c>
      <c r="J219" s="18"/>
      <c r="K219" s="53">
        <f>ROUND(IF(G219&lt;&gt;0,G219*H219/I219,H219),'Đầu vào'!E40)</f>
        <v>293092</v>
      </c>
    </row>
    <row r="220" spans="1:11" ht="16.5" customHeight="1">
      <c r="A220" s="70"/>
      <c r="B220" s="71"/>
      <c r="C220" s="72" t="s">
        <v>656</v>
      </c>
      <c r="D220" s="71"/>
      <c r="E220" s="73"/>
      <c r="F220" s="74"/>
      <c r="G220" s="75"/>
      <c r="H220" s="76"/>
      <c r="I220" s="77"/>
      <c r="J220" s="78"/>
      <c r="K220" s="76">
        <f>SUM(K221:K223)</f>
        <v>711907.5</v>
      </c>
    </row>
    <row r="221" spans="1:11" ht="16.5" customHeight="1">
      <c r="A221" s="39"/>
      <c r="B221" s="51"/>
      <c r="C221" s="20" t="s">
        <v>657</v>
      </c>
      <c r="D221" s="51"/>
      <c r="E221" s="15"/>
      <c r="F221" s="79"/>
      <c r="G221" s="80">
        <v>0.14000000000000001</v>
      </c>
      <c r="H221" s="53">
        <f>E214</f>
        <v>851855000</v>
      </c>
      <c r="I221" s="81">
        <f>IF(E214&gt;='Đầu vào'!D35*10^6,1-'Đầu vào'!D36,1)</f>
        <v>0.9</v>
      </c>
      <c r="J221" s="18"/>
      <c r="K221" s="53">
        <f>ROUND(G221*H221*I221/F214,'Đầu vào'!E39)</f>
        <v>383334.8</v>
      </c>
    </row>
    <row r="222" spans="1:11" ht="16.5" customHeight="1">
      <c r="A222" s="39"/>
      <c r="B222" s="51"/>
      <c r="C222" s="20" t="s">
        <v>658</v>
      </c>
      <c r="D222" s="51"/>
      <c r="E222" s="15"/>
      <c r="F222" s="79"/>
      <c r="G222" s="80">
        <v>5.7999999999999996E-2</v>
      </c>
      <c r="H222" s="53">
        <f>E214</f>
        <v>851855000</v>
      </c>
      <c r="I222" s="81"/>
      <c r="J222" s="18"/>
      <c r="K222" s="53">
        <f>ROUND(G222*H222/F214,'Đầu vào'!E39)</f>
        <v>176455.7</v>
      </c>
    </row>
    <row r="223" spans="1:11" ht="16.5" customHeight="1">
      <c r="A223" s="39"/>
      <c r="B223" s="51"/>
      <c r="C223" s="20" t="s">
        <v>659</v>
      </c>
      <c r="D223" s="51"/>
      <c r="E223" s="15"/>
      <c r="F223" s="79"/>
      <c r="G223" s="80">
        <v>0.05</v>
      </c>
      <c r="H223" s="53">
        <f>E214</f>
        <v>851855000</v>
      </c>
      <c r="I223" s="81"/>
      <c r="J223" s="18"/>
      <c r="K223" s="53">
        <f>ROUND(G223*H223/F214,'Đầu vào'!E39)</f>
        <v>152117</v>
      </c>
    </row>
    <row r="224" spans="1:11" ht="16.5" customHeight="1">
      <c r="A224" s="60">
        <v>23</v>
      </c>
      <c r="B224" s="61" t="str">
        <f>'Giá tháng'!B77</f>
        <v>TT*</v>
      </c>
      <c r="C224" s="82" t="str">
        <f>'Giá tháng'!C77</f>
        <v>Máy xoa</v>
      </c>
      <c r="D224" s="61" t="str">
        <f>'Giá tháng'!D77</f>
        <v>Ca</v>
      </c>
      <c r="E224" s="63"/>
      <c r="F224" s="64"/>
      <c r="G224" s="65"/>
      <c r="H224" s="66"/>
      <c r="I224" s="67"/>
      <c r="J224" s="68"/>
      <c r="K224" s="69"/>
    </row>
    <row r="225" spans="1:11" ht="16.5" customHeight="1">
      <c r="A225" s="60">
        <v>24</v>
      </c>
      <c r="B225" s="61" t="str">
        <f>'Giá tháng'!B78</f>
        <v>M106.0202</v>
      </c>
      <c r="C225" s="62" t="str">
        <f>'Giá tháng'!C78</f>
        <v>Ô tô tự đổ - trọng tải : 5,0 T</v>
      </c>
      <c r="D225" s="61" t="str">
        <f>'Giá tháng'!D78</f>
        <v>ca</v>
      </c>
      <c r="E225" s="63">
        <v>437559000</v>
      </c>
      <c r="F225" s="64">
        <v>260</v>
      </c>
      <c r="G225" s="65"/>
      <c r="H225" s="66"/>
      <c r="I225" s="67"/>
      <c r="J225" s="68"/>
      <c r="K225" s="69">
        <f>ROUND(K226+K228+K231,'Đầu vào'!D41)</f>
        <v>1740559</v>
      </c>
    </row>
    <row r="226" spans="1:11" ht="16.5" customHeight="1">
      <c r="A226" s="70"/>
      <c r="B226" s="71"/>
      <c r="C226" s="72" t="s">
        <v>651</v>
      </c>
      <c r="D226" s="71"/>
      <c r="E226" s="73"/>
      <c r="F226" s="74"/>
      <c r="G226" s="75"/>
      <c r="H226" s="76"/>
      <c r="I226" s="77"/>
      <c r="J226" s="78"/>
      <c r="K226" s="76">
        <f>ROUND(SUM(K227:K227),'Đầu vào'!D39)</f>
        <v>985878.4</v>
      </c>
    </row>
    <row r="227" spans="1:11" ht="16.5" customHeight="1">
      <c r="A227" s="39"/>
      <c r="B227" s="51"/>
      <c r="C227" s="20" t="str">
        <f>" - "&amp;'Đầu vào'!B23</f>
        <v xml:space="preserve"> - Diezel</v>
      </c>
      <c r="D227" s="51" t="str">
        <f>'Đầu vào'!C23</f>
        <v>Lít</v>
      </c>
      <c r="E227" s="15"/>
      <c r="F227" s="79"/>
      <c r="G227" s="80">
        <v>41</v>
      </c>
      <c r="H227" s="53">
        <f>'Đầu vào'!D23</f>
        <v>23345.45</v>
      </c>
      <c r="I227" s="81">
        <f>'Đầu vào'!D29</f>
        <v>1.03</v>
      </c>
      <c r="J227" s="18"/>
      <c r="K227" s="53">
        <f>ROUND(G227*H227*I227,'Đầu vào'!D39)</f>
        <v>985878.4</v>
      </c>
    </row>
    <row r="228" spans="1:11" ht="16.5" customHeight="1">
      <c r="A228" s="70"/>
      <c r="B228" s="71"/>
      <c r="C228" s="72" t="s">
        <v>652</v>
      </c>
      <c r="D228" s="71"/>
      <c r="E228" s="73"/>
      <c r="F228" s="74"/>
      <c r="G228" s="75"/>
      <c r="H228" s="76"/>
      <c r="I228" s="77"/>
      <c r="J228" s="78"/>
      <c r="K228" s="76">
        <f>ROUND(G229*K229,'Đầu vào'!D39)</f>
        <v>270000</v>
      </c>
    </row>
    <row r="229" spans="1:11" ht="16.5" customHeight="1">
      <c r="A229" s="39"/>
      <c r="B229" s="51"/>
      <c r="C229" s="20" t="s">
        <v>662</v>
      </c>
      <c r="D229" s="51"/>
      <c r="E229" s="15"/>
      <c r="F229" s="79"/>
      <c r="G229" s="80">
        <v>1</v>
      </c>
      <c r="H229" s="53"/>
      <c r="I229" s="81"/>
      <c r="J229" s="18"/>
      <c r="K229" s="53">
        <f>ROUND(SUM(K230:K230),'Đầu vào'!E40)</f>
        <v>270000</v>
      </c>
    </row>
    <row r="230" spans="1:11" ht="16.5" customHeight="1">
      <c r="A230" s="39"/>
      <c r="B230" s="51"/>
      <c r="C230" s="20" t="s">
        <v>654</v>
      </c>
      <c r="D230" s="51"/>
      <c r="E230" s="15"/>
      <c r="F230" s="79"/>
      <c r="G230" s="80">
        <v>1.18</v>
      </c>
      <c r="H230" s="53">
        <v>270000</v>
      </c>
      <c r="I230" s="81">
        <v>1.18</v>
      </c>
      <c r="J230" s="18"/>
      <c r="K230" s="53">
        <f>ROUND(IF(G230&lt;&gt;0,G230*H230/I230,H230),'Đầu vào'!E40)</f>
        <v>270000</v>
      </c>
    </row>
    <row r="231" spans="1:11" ht="16.5" customHeight="1">
      <c r="A231" s="70"/>
      <c r="B231" s="71"/>
      <c r="C231" s="72" t="s">
        <v>656</v>
      </c>
      <c r="D231" s="71"/>
      <c r="E231" s="73"/>
      <c r="F231" s="74"/>
      <c r="G231" s="75"/>
      <c r="H231" s="76"/>
      <c r="I231" s="77"/>
      <c r="J231" s="78"/>
      <c r="K231" s="76">
        <f>SUM(K232:K234)</f>
        <v>484680.7</v>
      </c>
    </row>
    <row r="232" spans="1:11" ht="16.5" customHeight="1">
      <c r="A232" s="39"/>
      <c r="B232" s="51"/>
      <c r="C232" s="20" t="s">
        <v>657</v>
      </c>
      <c r="D232" s="51"/>
      <c r="E232" s="15"/>
      <c r="F232" s="79"/>
      <c r="G232" s="80">
        <v>0.17</v>
      </c>
      <c r="H232" s="53">
        <f>E225</f>
        <v>437559000</v>
      </c>
      <c r="I232" s="81">
        <f>IF(E225&gt;='Đầu vào'!D35*10^6,1-'Đầu vào'!D36,1)</f>
        <v>0.9</v>
      </c>
      <c r="J232" s="18"/>
      <c r="K232" s="53">
        <f>ROUND(G232*H232*I232/F225,'Đầu vào'!E39)</f>
        <v>257486.6</v>
      </c>
    </row>
    <row r="233" spans="1:11" ht="16.5" customHeight="1">
      <c r="A233" s="39"/>
      <c r="B233" s="51"/>
      <c r="C233" s="20" t="s">
        <v>658</v>
      </c>
      <c r="D233" s="51"/>
      <c r="E233" s="15"/>
      <c r="F233" s="79"/>
      <c r="G233" s="80">
        <v>7.4999999999999997E-2</v>
      </c>
      <c r="H233" s="53">
        <f>E225</f>
        <v>437559000</v>
      </c>
      <c r="I233" s="81"/>
      <c r="J233" s="18"/>
      <c r="K233" s="53">
        <f>ROUND(G233*H233/F225,'Đầu vào'!E39)</f>
        <v>126218.9</v>
      </c>
    </row>
    <row r="234" spans="1:11" ht="16.5" customHeight="1">
      <c r="A234" s="39"/>
      <c r="B234" s="51"/>
      <c r="C234" s="20" t="s">
        <v>659</v>
      </c>
      <c r="D234" s="51"/>
      <c r="E234" s="15"/>
      <c r="F234" s="79"/>
      <c r="G234" s="80">
        <v>0.06</v>
      </c>
      <c r="H234" s="53">
        <f>E225</f>
        <v>437559000</v>
      </c>
      <c r="I234" s="81"/>
      <c r="J234" s="18"/>
      <c r="K234" s="53">
        <f>ROUND(G234*H234/F225,'Đầu vào'!E39)</f>
        <v>100975.2</v>
      </c>
    </row>
    <row r="235" spans="1:11" ht="16.5" customHeight="1">
      <c r="A235" s="60">
        <v>25</v>
      </c>
      <c r="B235" s="61" t="str">
        <f>'Giá tháng'!B80</f>
        <v>M106.0502</v>
      </c>
      <c r="C235" s="62" t="str">
        <f>'Giá tháng'!C80</f>
        <v>Ô tô tưới nước - dung tích : 5,0 m3</v>
      </c>
      <c r="D235" s="61" t="str">
        <f>'Giá tháng'!D80</f>
        <v>ca</v>
      </c>
      <c r="E235" s="63">
        <v>497469000</v>
      </c>
      <c r="F235" s="64">
        <v>260</v>
      </c>
      <c r="G235" s="65"/>
      <c r="H235" s="66"/>
      <c r="I235" s="67"/>
      <c r="J235" s="68"/>
      <c r="K235" s="69">
        <f>ROUND(K236+K238+K241,'Đầu vào'!D41)</f>
        <v>1279021</v>
      </c>
    </row>
    <row r="236" spans="1:11" ht="16.5" customHeight="1">
      <c r="A236" s="70"/>
      <c r="B236" s="71"/>
      <c r="C236" s="72" t="s">
        <v>651</v>
      </c>
      <c r="D236" s="71"/>
      <c r="E236" s="73"/>
      <c r="F236" s="74"/>
      <c r="G236" s="75"/>
      <c r="H236" s="76"/>
      <c r="I236" s="77"/>
      <c r="J236" s="78"/>
      <c r="K236" s="76">
        <f>ROUND(SUM(K237:K237),'Đầu vào'!D39)</f>
        <v>553053.69999999995</v>
      </c>
    </row>
    <row r="237" spans="1:11" ht="16.5" customHeight="1">
      <c r="A237" s="39"/>
      <c r="B237" s="51"/>
      <c r="C237" s="20" t="str">
        <f>" - "&amp;'Đầu vào'!B23</f>
        <v xml:space="preserve"> - Diezel</v>
      </c>
      <c r="D237" s="51" t="str">
        <f>'Đầu vào'!C23</f>
        <v>Lít</v>
      </c>
      <c r="E237" s="15"/>
      <c r="F237" s="79"/>
      <c r="G237" s="80">
        <v>23</v>
      </c>
      <c r="H237" s="53">
        <f>'Đầu vào'!D23</f>
        <v>23345.45</v>
      </c>
      <c r="I237" s="81">
        <f>'Đầu vào'!D29</f>
        <v>1.03</v>
      </c>
      <c r="J237" s="18"/>
      <c r="K237" s="53">
        <f>ROUND(G237*H237*I237,'Đầu vào'!D39)</f>
        <v>553053.69999999995</v>
      </c>
    </row>
    <row r="238" spans="1:11" ht="16.5" customHeight="1">
      <c r="A238" s="70"/>
      <c r="B238" s="71"/>
      <c r="C238" s="72" t="s">
        <v>652</v>
      </c>
      <c r="D238" s="71"/>
      <c r="E238" s="73"/>
      <c r="F238" s="74"/>
      <c r="G238" s="75"/>
      <c r="H238" s="76"/>
      <c r="I238" s="77"/>
      <c r="J238" s="78"/>
      <c r="K238" s="76">
        <f>ROUND(G239*K239,'Đầu vào'!D39)</f>
        <v>320339</v>
      </c>
    </row>
    <row r="239" spans="1:11" ht="16.5" customHeight="1">
      <c r="A239" s="39"/>
      <c r="B239" s="51"/>
      <c r="C239" s="20" t="s">
        <v>663</v>
      </c>
      <c r="D239" s="51"/>
      <c r="E239" s="15"/>
      <c r="F239" s="79"/>
      <c r="G239" s="80">
        <v>1</v>
      </c>
      <c r="H239" s="53"/>
      <c r="I239" s="81"/>
      <c r="J239" s="18"/>
      <c r="K239" s="53">
        <f>ROUND(SUM(K240:K240),'Đầu vào'!E40)</f>
        <v>320339</v>
      </c>
    </row>
    <row r="240" spans="1:11" ht="16.5" customHeight="1">
      <c r="A240" s="39"/>
      <c r="B240" s="51"/>
      <c r="C240" s="20" t="s">
        <v>654</v>
      </c>
      <c r="D240" s="51"/>
      <c r="E240" s="15"/>
      <c r="F240" s="79"/>
      <c r="G240" s="80">
        <v>1.4</v>
      </c>
      <c r="H240" s="53">
        <v>270000</v>
      </c>
      <c r="I240" s="81">
        <v>1.18</v>
      </c>
      <c r="J240" s="18"/>
      <c r="K240" s="53">
        <f>ROUND(IF(G240&lt;&gt;0,G240*H240/I240,H240),'Đầu vào'!E40)</f>
        <v>320339</v>
      </c>
    </row>
    <row r="241" spans="1:11" ht="16.5" customHeight="1">
      <c r="A241" s="70"/>
      <c r="B241" s="71"/>
      <c r="C241" s="72" t="s">
        <v>656</v>
      </c>
      <c r="D241" s="71"/>
      <c r="E241" s="73"/>
      <c r="F241" s="74"/>
      <c r="G241" s="75"/>
      <c r="H241" s="76"/>
      <c r="I241" s="77"/>
      <c r="J241" s="78"/>
      <c r="K241" s="76">
        <f>SUM(K242:K244)</f>
        <v>405628.6</v>
      </c>
    </row>
    <row r="242" spans="1:11" ht="16.5" customHeight="1">
      <c r="A242" s="39"/>
      <c r="B242" s="51"/>
      <c r="C242" s="20" t="s">
        <v>657</v>
      </c>
      <c r="D242" s="51"/>
      <c r="E242" s="15"/>
      <c r="F242" s="79"/>
      <c r="G242" s="80">
        <v>0.12</v>
      </c>
      <c r="H242" s="53">
        <f>E235</f>
        <v>497469000</v>
      </c>
      <c r="I242" s="81">
        <f>IF(E235&gt;='Đầu vào'!D35*10^6,1-'Đầu vào'!D36,1)</f>
        <v>0.9</v>
      </c>
      <c r="J242" s="18"/>
      <c r="K242" s="53">
        <f>ROUND(G242*H242*I242/F235,'Đầu vào'!E39)</f>
        <v>206641</v>
      </c>
    </row>
    <row r="243" spans="1:11" ht="16.5" customHeight="1">
      <c r="A243" s="39"/>
      <c r="B243" s="51"/>
      <c r="C243" s="20" t="s">
        <v>658</v>
      </c>
      <c r="D243" s="51"/>
      <c r="E243" s="15"/>
      <c r="F243" s="79"/>
      <c r="G243" s="80">
        <v>4.4000000000000004E-2</v>
      </c>
      <c r="H243" s="53">
        <f>E235</f>
        <v>497469000</v>
      </c>
      <c r="I243" s="81"/>
      <c r="J243" s="18"/>
      <c r="K243" s="53">
        <f>ROUND(G243*H243/F235,'Đầu vào'!E39)</f>
        <v>84187.1</v>
      </c>
    </row>
    <row r="244" spans="1:11" ht="16.5" customHeight="1">
      <c r="A244" s="41"/>
      <c r="B244" s="56"/>
      <c r="C244" s="31" t="s">
        <v>659</v>
      </c>
      <c r="D244" s="56"/>
      <c r="E244" s="26"/>
      <c r="F244" s="83"/>
      <c r="G244" s="84">
        <v>0.06</v>
      </c>
      <c r="H244" s="58">
        <f>E235</f>
        <v>497469000</v>
      </c>
      <c r="I244" s="85"/>
      <c r="J244" s="29"/>
      <c r="K244" s="58">
        <f>ROUND(G244*H244/F235,'Đầu vào'!E39)</f>
        <v>114800.5</v>
      </c>
    </row>
  </sheetData>
  <mergeCells count="4">
    <mergeCell ref="A1:K1"/>
    <mergeCell ref="A2:K2"/>
    <mergeCell ref="A3:K3"/>
    <mergeCell ref="A4:K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S521"/>
  <sheetViews>
    <sheetView workbookViewId="0">
      <selection activeCell="I4" sqref="I1:L65536"/>
    </sheetView>
  </sheetViews>
  <sheetFormatPr defaultColWidth="10" defaultRowHeight="15" customHeight="1"/>
  <cols>
    <col min="1" max="1" width="6.5" style="34" customWidth="1"/>
    <col min="2" max="2" width="12.5" style="34" customWidth="1"/>
    <col min="3" max="3" width="37.6640625" style="34" customWidth="1"/>
    <col min="4" max="4" width="11.6640625" style="34" customWidth="1"/>
    <col min="5" max="5" width="15" style="34" customWidth="1"/>
    <col min="6" max="8" width="10.83203125" style="34" customWidth="1"/>
    <col min="9" max="9" width="10" style="34" hidden="1" customWidth="1"/>
    <col min="10" max="12" width="15" style="34" hidden="1" customWidth="1"/>
    <col min="13" max="19" width="10" style="34" hidden="1" customWidth="1"/>
    <col min="20" max="16384" width="10" style="34"/>
  </cols>
  <sheetData>
    <row r="1" spans="1:19" ht="26.25" customHeight="1">
      <c r="A1" s="981" t="s">
        <v>664</v>
      </c>
      <c r="B1" s="985"/>
      <c r="C1" s="985"/>
      <c r="D1" s="985"/>
      <c r="E1" s="985"/>
      <c r="F1" s="985"/>
      <c r="G1" s="985"/>
      <c r="H1" s="985"/>
      <c r="I1" s="985"/>
      <c r="J1" s="985"/>
      <c r="K1" s="985"/>
      <c r="L1" s="985"/>
    </row>
    <row r="2" spans="1:19" ht="32.25" customHeight="1">
      <c r="A2" s="983" t="str">
        <f>'Công trình'!A2</f>
        <v>CÔNG TRÌNH : SỬA CHỮA TUYẾN ĐƯỜNG TỪ NHÀ BÀ TRƯỜNG, TỔ 5 PHƯỜNG VẠN HƯƠNG ĐẾN NHÀ BÀ KIM, TỔ DÂN PHỐ BẮC HẢI PHƯỜNG BÀNG LA</v>
      </c>
      <c r="B2" s="985"/>
      <c r="C2" s="985"/>
      <c r="D2" s="985"/>
      <c r="E2" s="985"/>
      <c r="F2" s="985"/>
      <c r="G2" s="985"/>
      <c r="H2" s="985"/>
      <c r="I2" s="985"/>
      <c r="J2" s="985"/>
      <c r="K2" s="985"/>
      <c r="L2" s="985"/>
      <c r="M2" s="996" t="s">
        <v>665</v>
      </c>
      <c r="N2" s="985"/>
      <c r="O2" s="985"/>
      <c r="P2" s="985"/>
    </row>
    <row r="3" spans="1:19" ht="37.5" customHeight="1">
      <c r="A3" s="1007" t="str">
        <f>'Công trình'!F6</f>
        <v>SỬA CHỮA NỀN MẶT ĐƯỜNG, HỆ THỐNG THOÁT NƯỚC</v>
      </c>
      <c r="B3" s="985"/>
      <c r="C3" s="985"/>
      <c r="D3" s="985"/>
      <c r="E3" s="985"/>
      <c r="F3" s="985"/>
      <c r="G3" s="985"/>
      <c r="H3" s="985"/>
      <c r="I3" s="985"/>
      <c r="J3" s="985"/>
      <c r="K3" s="985"/>
      <c r="L3" s="985"/>
      <c r="M3" s="34" t="s">
        <v>666</v>
      </c>
      <c r="N3" s="34" t="s">
        <v>667</v>
      </c>
      <c r="O3" s="34" t="s">
        <v>668</v>
      </c>
      <c r="P3" s="34" t="s">
        <v>669</v>
      </c>
      <c r="Q3" s="34" t="s">
        <v>670</v>
      </c>
      <c r="R3" s="34" t="s">
        <v>671</v>
      </c>
      <c r="S3" s="34" t="s">
        <v>672</v>
      </c>
    </row>
    <row r="4" spans="1:19" ht="18.75" customHeight="1">
      <c r="A4" s="1008" t="s">
        <v>4</v>
      </c>
      <c r="B4" s="1009" t="s">
        <v>673</v>
      </c>
      <c r="C4" s="1009" t="s">
        <v>674</v>
      </c>
      <c r="D4" s="1009" t="s">
        <v>359</v>
      </c>
      <c r="E4" s="1009" t="s">
        <v>17</v>
      </c>
      <c r="F4" s="987" t="s">
        <v>675</v>
      </c>
      <c r="G4" s="987"/>
      <c r="H4" s="988"/>
      <c r="I4" s="1009" t="s">
        <v>360</v>
      </c>
      <c r="J4" s="987" t="s">
        <v>676</v>
      </c>
      <c r="K4" s="987"/>
      <c r="L4" s="988"/>
      <c r="M4" s="34">
        <f>SUM(M6:M521)</f>
        <v>8603009.4000000004</v>
      </c>
      <c r="N4" s="34">
        <f>SUM(N6:N521)</f>
        <v>1878722.9999999998</v>
      </c>
      <c r="O4" s="34">
        <f>SUM(O6:O521)</f>
        <v>9383024.9999999963</v>
      </c>
      <c r="P4" s="34">
        <f>SUM(P6:P521)</f>
        <v>1881547.0999999999</v>
      </c>
    </row>
    <row r="5" spans="1:19" ht="18.75" customHeight="1">
      <c r="A5" s="1001"/>
      <c r="B5" s="1004"/>
      <c r="C5" s="1004"/>
      <c r="D5" s="1004"/>
      <c r="E5" s="1004"/>
      <c r="F5" s="49" t="s">
        <v>27</v>
      </c>
      <c r="G5" s="49" t="s">
        <v>677</v>
      </c>
      <c r="H5" s="49" t="s">
        <v>34</v>
      </c>
      <c r="I5" s="1004"/>
      <c r="J5" s="49" t="s">
        <v>27</v>
      </c>
      <c r="K5" s="49" t="s">
        <v>29</v>
      </c>
      <c r="L5" s="49" t="s">
        <v>34</v>
      </c>
    </row>
    <row r="6" spans="1:19" ht="28.5" customHeight="1">
      <c r="A6" s="86"/>
      <c r="B6" s="87" t="str">
        <f>'Công trình'!E7</f>
        <v>*</v>
      </c>
      <c r="C6" s="87" t="str">
        <f>'Công trình'!F7</f>
        <v>SỬA CHỮA NỀN MẶT ĐƯỜNG:</v>
      </c>
      <c r="D6" s="87">
        <f>'Công trình'!G7</f>
        <v>0</v>
      </c>
      <c r="E6" s="88">
        <f>'Công trình'!P7</f>
        <v>0</v>
      </c>
      <c r="F6" s="80"/>
      <c r="G6" s="80"/>
      <c r="H6" s="80"/>
      <c r="I6" s="81"/>
      <c r="J6" s="89"/>
      <c r="K6" s="89"/>
      <c r="L6" s="89"/>
    </row>
    <row r="7" spans="1:19" ht="28.5" customHeight="1">
      <c r="A7" s="12">
        <f>'Công trình'!A9</f>
        <v>1</v>
      </c>
      <c r="B7" s="13" t="str">
        <f>'Công trình'!E9</f>
        <v>AA.22310</v>
      </c>
      <c r="C7" s="14" t="str">
        <f>'Công trình'!F9</f>
        <v>Phá dỡ kết cấu bê tông bằng máy đào 1,25m3 gắn đầu búa thủy lực</v>
      </c>
      <c r="D7" s="13" t="str">
        <f>'Công trình'!G9</f>
        <v>m3</v>
      </c>
      <c r="E7" s="89">
        <f>ROUND('Công trình'!P9,4)</f>
        <v>90.89</v>
      </c>
      <c r="F7" s="80"/>
      <c r="G7" s="80"/>
      <c r="H7" s="80"/>
      <c r="I7" s="81"/>
      <c r="J7" s="89"/>
      <c r="K7" s="89"/>
      <c r="L7" s="89"/>
    </row>
    <row r="8" spans="1:19" ht="16.5" customHeight="1">
      <c r="A8" s="12"/>
      <c r="B8" s="13"/>
      <c r="C8" s="90" t="s">
        <v>678</v>
      </c>
      <c r="D8" s="91"/>
      <c r="E8" s="92"/>
      <c r="F8" s="93"/>
      <c r="G8" s="93"/>
      <c r="H8" s="93"/>
      <c r="I8" s="94"/>
      <c r="J8" s="92"/>
      <c r="K8" s="92"/>
      <c r="L8" s="92"/>
    </row>
    <row r="9" spans="1:19" ht="16.5" customHeight="1">
      <c r="A9" s="12"/>
      <c r="B9" s="13" t="str">
        <f>'Giá tháng'!B48</f>
        <v>N1.30</v>
      </c>
      <c r="C9" s="14" t="str">
        <f>'Giá tháng'!C48</f>
        <v>Nhân công 3,0/7 - Nhóm 1</v>
      </c>
      <c r="D9" s="13" t="str">
        <f>'Giá tháng'!D48</f>
        <v>công</v>
      </c>
      <c r="E9" s="89"/>
      <c r="F9" s="80"/>
      <c r="G9" s="80">
        <v>1.2999999999999999E-2</v>
      </c>
      <c r="H9" s="80"/>
      <c r="I9" s="81">
        <f>'Giá tháng'!G48</f>
        <v>1</v>
      </c>
      <c r="J9" s="89"/>
      <c r="K9" s="89">
        <f>ROUND(IF(E$6=0,E7*G9*I9,E$6*E7*G9*I9),4)</f>
        <v>1.1816</v>
      </c>
      <c r="L9" s="89"/>
      <c r="S9" s="34">
        <v>202</v>
      </c>
    </row>
    <row r="10" spans="1:19" ht="16.5" customHeight="1">
      <c r="A10" s="12"/>
      <c r="B10" s="13"/>
      <c r="C10" s="90" t="s">
        <v>679</v>
      </c>
      <c r="D10" s="91"/>
      <c r="E10" s="92"/>
      <c r="F10" s="93"/>
      <c r="G10" s="93"/>
      <c r="H10" s="93"/>
      <c r="I10" s="94"/>
      <c r="J10" s="92"/>
      <c r="K10" s="92"/>
      <c r="L10" s="92"/>
    </row>
    <row r="11" spans="1:19" ht="28.5" customHeight="1">
      <c r="A11" s="12"/>
      <c r="B11" s="13" t="str">
        <f>'Giá tháng'!B57</f>
        <v>M101.0115</v>
      </c>
      <c r="C11" s="14" t="str">
        <f>'Giá tháng'!C57</f>
        <v>Máy đào 1,25 m3 gắn đầu búa thủy lực / hàm kẹp</v>
      </c>
      <c r="D11" s="13" t="str">
        <f>'Giá tháng'!D57</f>
        <v>ca</v>
      </c>
      <c r="E11" s="89"/>
      <c r="F11" s="80"/>
      <c r="G11" s="80"/>
      <c r="H11" s="80">
        <v>2.1999999999999999E-2</v>
      </c>
      <c r="I11" s="81">
        <f>'Giá tháng'!G57</f>
        <v>1</v>
      </c>
      <c r="J11" s="89"/>
      <c r="K11" s="89"/>
      <c r="L11" s="89">
        <f>ROUND(IF(E$6=0,E7*H11*I11,E$6*E7*H11*I11),4)</f>
        <v>1.9996</v>
      </c>
      <c r="S11" s="34">
        <v>303</v>
      </c>
    </row>
    <row r="12" spans="1:19" ht="16.5" customHeight="1">
      <c r="A12" s="12">
        <f>'Công trình'!A11</f>
        <v>2</v>
      </c>
      <c r="B12" s="13" t="str">
        <f>'Công trình'!E11</f>
        <v>AB.31122</v>
      </c>
      <c r="C12" s="14" t="str">
        <f>'Công trình'!F11</f>
        <v>Đào nền đường, đất cấp II</v>
      </c>
      <c r="D12" s="13" t="str">
        <f>'Công trình'!G11</f>
        <v>100m3</v>
      </c>
      <c r="E12" s="89">
        <f>ROUND('Công trình'!P11,4)</f>
        <v>7.7824999999999998</v>
      </c>
      <c r="F12" s="80"/>
      <c r="G12" s="80"/>
      <c r="H12" s="80"/>
      <c r="I12" s="81"/>
      <c r="J12" s="89"/>
      <c r="K12" s="89"/>
      <c r="L12" s="89"/>
    </row>
    <row r="13" spans="1:19" ht="16.5" customHeight="1">
      <c r="A13" s="12"/>
      <c r="B13" s="13"/>
      <c r="C13" s="90" t="s">
        <v>678</v>
      </c>
      <c r="D13" s="91"/>
      <c r="E13" s="92"/>
      <c r="F13" s="93"/>
      <c r="G13" s="93"/>
      <c r="H13" s="93"/>
      <c r="I13" s="94"/>
      <c r="J13" s="92"/>
      <c r="K13" s="92"/>
      <c r="L13" s="92"/>
    </row>
    <row r="14" spans="1:19" ht="16.5" customHeight="1">
      <c r="A14" s="12"/>
      <c r="B14" s="13" t="str">
        <f>'Giá tháng'!B48</f>
        <v>N1.30</v>
      </c>
      <c r="C14" s="14" t="str">
        <f>'Giá tháng'!C48</f>
        <v>Nhân công 3,0/7 - Nhóm 1</v>
      </c>
      <c r="D14" s="13" t="str">
        <f>'Giá tháng'!D48</f>
        <v>công</v>
      </c>
      <c r="E14" s="89"/>
      <c r="F14" s="80"/>
      <c r="G14" s="80">
        <v>3.43</v>
      </c>
      <c r="H14" s="80"/>
      <c r="I14" s="81">
        <f>'Giá tháng'!G48</f>
        <v>1</v>
      </c>
      <c r="J14" s="89"/>
      <c r="K14" s="89">
        <f>ROUND(IF(E$6=0,E12*G14*I14,E$6*E12*G14*I14),4)</f>
        <v>26.693999999999999</v>
      </c>
      <c r="L14" s="89"/>
      <c r="S14" s="34">
        <v>202</v>
      </c>
    </row>
    <row r="15" spans="1:19" ht="16.5" customHeight="1">
      <c r="A15" s="12"/>
      <c r="B15" s="13"/>
      <c r="C15" s="90" t="s">
        <v>679</v>
      </c>
      <c r="D15" s="91"/>
      <c r="E15" s="92"/>
      <c r="F15" s="93"/>
      <c r="G15" s="93"/>
      <c r="H15" s="93"/>
      <c r="I15" s="94"/>
      <c r="J15" s="92"/>
      <c r="K15" s="92"/>
      <c r="L15" s="92"/>
    </row>
    <row r="16" spans="1:19" ht="28.5" customHeight="1">
      <c r="A16" s="12"/>
      <c r="B16" s="13" t="str">
        <f>'Giá tháng'!B60</f>
        <v>M101.0104</v>
      </c>
      <c r="C16" s="14" t="str">
        <f>'Giá tháng'!C60</f>
        <v>Máy đào một gầu, bánh xích - dung tích gầu : 0,80 m3</v>
      </c>
      <c r="D16" s="13" t="str">
        <f>'Giá tháng'!D60</f>
        <v>ca</v>
      </c>
      <c r="E16" s="89"/>
      <c r="F16" s="80"/>
      <c r="G16" s="80"/>
      <c r="H16" s="80">
        <v>0.35499999999999998</v>
      </c>
      <c r="I16" s="81">
        <f>'Giá tháng'!G60</f>
        <v>1</v>
      </c>
      <c r="J16" s="89"/>
      <c r="K16" s="89"/>
      <c r="L16" s="89">
        <f>ROUND(IF(E$6=0,E12*H16*I16,E$6*E12*H16*I16),4)</f>
        <v>2.7627999999999999</v>
      </c>
      <c r="S16" s="34">
        <v>306</v>
      </c>
    </row>
    <row r="17" spans="1:19" ht="16.5" customHeight="1">
      <c r="A17" s="12"/>
      <c r="B17" s="13" t="str">
        <f>'Giá tháng'!B76</f>
        <v>M101.0503</v>
      </c>
      <c r="C17" s="14" t="str">
        <f>'Giá tháng'!C76</f>
        <v>Máy ủi - công suất : 110,0 CV</v>
      </c>
      <c r="D17" s="13" t="str">
        <f>'Giá tháng'!D76</f>
        <v>ca</v>
      </c>
      <c r="E17" s="89"/>
      <c r="F17" s="80"/>
      <c r="G17" s="80"/>
      <c r="H17" s="80">
        <v>4.7E-2</v>
      </c>
      <c r="I17" s="81">
        <f>'Giá tháng'!G76</f>
        <v>1</v>
      </c>
      <c r="J17" s="89"/>
      <c r="K17" s="89"/>
      <c r="L17" s="89">
        <f>ROUND(IF(E$6=0,E12*H17*I17,E$6*E12*H17*I17),4)</f>
        <v>0.36580000000000001</v>
      </c>
      <c r="S17" s="34">
        <v>3022</v>
      </c>
    </row>
    <row r="18" spans="1:19" ht="28.5" customHeight="1">
      <c r="A18" s="12">
        <f>'Công trình'!A13</f>
        <v>3</v>
      </c>
      <c r="B18" s="13" t="str">
        <f>'Công trình'!E13</f>
        <v>AB.64113</v>
      </c>
      <c r="C18" s="14" t="str">
        <f>'Công trình'!F13</f>
        <v>Lớp đất núi đầm chặt K95, dày 30cm</v>
      </c>
      <c r="D18" s="13" t="str">
        <f>'Công trình'!G13</f>
        <v>100m3</v>
      </c>
      <c r="E18" s="89">
        <f>ROUND('Công trình'!P13,4)</f>
        <v>5.2055999999999996</v>
      </c>
      <c r="F18" s="80"/>
      <c r="G18" s="80"/>
      <c r="H18" s="80"/>
      <c r="I18" s="81"/>
      <c r="J18" s="89"/>
      <c r="K18" s="89"/>
      <c r="L18" s="89"/>
    </row>
    <row r="19" spans="1:19" ht="16.5" customHeight="1">
      <c r="A19" s="12"/>
      <c r="B19" s="13"/>
      <c r="C19" s="90" t="s">
        <v>678</v>
      </c>
      <c r="D19" s="91"/>
      <c r="E19" s="92"/>
      <c r="F19" s="93"/>
      <c r="G19" s="93"/>
      <c r="H19" s="93"/>
      <c r="I19" s="94"/>
      <c r="J19" s="92"/>
      <c r="K19" s="92"/>
      <c r="L19" s="92"/>
    </row>
    <row r="20" spans="1:19" ht="16.5" customHeight="1">
      <c r="A20" s="12"/>
      <c r="B20" s="13" t="str">
        <f>'Giá tháng'!B48</f>
        <v>N1.30</v>
      </c>
      <c r="C20" s="14" t="str">
        <f>'Giá tháng'!C48</f>
        <v>Nhân công 3,0/7 - Nhóm 1</v>
      </c>
      <c r="D20" s="13" t="str">
        <f>'Giá tháng'!D48</f>
        <v>công</v>
      </c>
      <c r="E20" s="89"/>
      <c r="F20" s="80"/>
      <c r="G20" s="80">
        <v>1.65</v>
      </c>
      <c r="H20" s="80"/>
      <c r="I20" s="81">
        <f>'Giá tháng'!G48</f>
        <v>1</v>
      </c>
      <c r="J20" s="89"/>
      <c r="K20" s="89">
        <f>ROUND(IF(E$6=0,E18*G20*I20,E$6*E18*G20*I20),4)</f>
        <v>8.5891999999999999</v>
      </c>
      <c r="L20" s="89"/>
      <c r="S20" s="34">
        <v>202</v>
      </c>
    </row>
    <row r="21" spans="1:19" ht="16.5" customHeight="1">
      <c r="A21" s="12"/>
      <c r="B21" s="13"/>
      <c r="C21" s="90" t="s">
        <v>679</v>
      </c>
      <c r="D21" s="91"/>
      <c r="E21" s="92"/>
      <c r="F21" s="93"/>
      <c r="G21" s="93"/>
      <c r="H21" s="93"/>
      <c r="I21" s="94"/>
      <c r="J21" s="92"/>
      <c r="K21" s="92"/>
      <c r="L21" s="92"/>
    </row>
    <row r="22" spans="1:19" ht="28.5" customHeight="1">
      <c r="A22" s="12"/>
      <c r="B22" s="13" t="str">
        <f>'Giá tháng'!B69</f>
        <v>M101.1102</v>
      </c>
      <c r="C22" s="14" t="str">
        <f>'Giá tháng'!C69</f>
        <v>Máy lu bánh thép tự hành - trọng lượng tĩnh : 8,5 T - 9 T</v>
      </c>
      <c r="D22" s="13" t="str">
        <f>'Giá tháng'!D69</f>
        <v>ca</v>
      </c>
      <c r="E22" s="89"/>
      <c r="F22" s="80"/>
      <c r="G22" s="80"/>
      <c r="H22" s="80">
        <v>0.42</v>
      </c>
      <c r="I22" s="81">
        <f>'Giá tháng'!G69</f>
        <v>1</v>
      </c>
      <c r="J22" s="89"/>
      <c r="K22" s="89"/>
      <c r="L22" s="89">
        <f>ROUND(IF(E$6=0,E18*H22*I22,E$6*E18*H22*I22),4)</f>
        <v>2.1863999999999999</v>
      </c>
      <c r="S22" s="34">
        <v>3015</v>
      </c>
    </row>
    <row r="23" spans="1:19" ht="16.5" customHeight="1">
      <c r="A23" s="12"/>
      <c r="B23" s="13" t="str">
        <f>'Giá tháng'!B76</f>
        <v>M101.0503</v>
      </c>
      <c r="C23" s="14" t="str">
        <f>'Giá tháng'!C76</f>
        <v>Máy ủi - công suất : 110,0 CV</v>
      </c>
      <c r="D23" s="13" t="str">
        <f>'Giá tháng'!D76</f>
        <v>ca</v>
      </c>
      <c r="E23" s="89"/>
      <c r="F23" s="80"/>
      <c r="G23" s="80"/>
      <c r="H23" s="80">
        <v>0.21</v>
      </c>
      <c r="I23" s="81">
        <f>'Giá tháng'!G76</f>
        <v>1</v>
      </c>
      <c r="J23" s="89"/>
      <c r="K23" s="89"/>
      <c r="L23" s="89">
        <f>ROUND(IF(E$6=0,E18*H23*I23,E$6*E18*H23*I23),4)</f>
        <v>1.0931999999999999</v>
      </c>
      <c r="S23" s="34">
        <v>3022</v>
      </c>
    </row>
    <row r="24" spans="1:19" ht="16.5" customHeight="1">
      <c r="A24" s="12"/>
      <c r="B24" s="13" t="s">
        <v>680</v>
      </c>
      <c r="C24" s="14" t="s">
        <v>681</v>
      </c>
      <c r="D24" s="13" t="s">
        <v>682</v>
      </c>
      <c r="E24" s="89"/>
      <c r="F24" s="80"/>
      <c r="G24" s="80"/>
      <c r="H24" s="80">
        <v>1.5</v>
      </c>
      <c r="I24" s="81"/>
      <c r="J24" s="89"/>
      <c r="K24" s="89"/>
      <c r="L24" s="89"/>
      <c r="N24" s="34">
        <f>ROUND(IF(E$6=0,E18*H24*(H22*'Giá tháng'!E69*'Giá tháng'!G69+H23*'Giá tháng'!E76*'Giá tháng'!G76)/100,E$6*E18*H24*(H22*'Giá tháng'!E69*'Giá tháng'!G69+H23*'Giá tháng'!E76*'Giá tháng'!G76)/100),1)</f>
        <v>72188.7</v>
      </c>
      <c r="P24" s="34">
        <f>ROUND(IF(E$6=0,E18*H24*(H22*'Giá tháng'!F69*'Giá tháng'!G69+H23*'Giá tháng'!F76*'Giá tháng'!G76)/100,E$6*E18*H24*(H22*'Giá tháng'!F69*'Giá tháng'!G69+H23*'Giá tháng'!F76*'Giá tháng'!G76)/100),1)</f>
        <v>72665</v>
      </c>
    </row>
    <row r="25" spans="1:19" ht="28.5" customHeight="1">
      <c r="A25" s="12">
        <f>'Công trình'!A17</f>
        <v>5</v>
      </c>
      <c r="B25" s="13" t="str">
        <f>'Công trình'!E17</f>
        <v>AD.11222</v>
      </c>
      <c r="C25" s="14" t="str">
        <f>'Công trình'!F17</f>
        <v>Cấp phối đá dăm loại I, lớp trên dày 18 cm</v>
      </c>
      <c r="D25" s="13" t="str">
        <f>'Công trình'!G17</f>
        <v>100m3</v>
      </c>
      <c r="E25" s="89">
        <f>ROUND('Công trình'!P17,4)</f>
        <v>3.1234000000000002</v>
      </c>
      <c r="F25" s="80"/>
      <c r="G25" s="80"/>
      <c r="H25" s="80"/>
      <c r="I25" s="81"/>
      <c r="J25" s="89"/>
      <c r="K25" s="89"/>
      <c r="L25" s="89"/>
    </row>
    <row r="26" spans="1:19" ht="16.5" customHeight="1">
      <c r="A26" s="12"/>
      <c r="B26" s="13"/>
      <c r="C26" s="90" t="s">
        <v>683</v>
      </c>
      <c r="D26" s="91"/>
      <c r="E26" s="92"/>
      <c r="F26" s="93"/>
      <c r="G26" s="93"/>
      <c r="H26" s="93"/>
      <c r="I26" s="94"/>
      <c r="J26" s="92"/>
      <c r="K26" s="92"/>
      <c r="L26" s="92"/>
    </row>
    <row r="27" spans="1:19" ht="16.5" customHeight="1">
      <c r="A27" s="12"/>
      <c r="B27" s="13" t="str">
        <f>'Giá tháng'!B11</f>
        <v>A24.0251</v>
      </c>
      <c r="C27" s="14" t="str">
        <f>'Giá tháng'!C11</f>
        <v>Cấp phối đá dăm loại I</v>
      </c>
      <c r="D27" s="13" t="str">
        <f>'Giá tháng'!D11</f>
        <v>m3</v>
      </c>
      <c r="E27" s="89"/>
      <c r="F27" s="80">
        <v>134</v>
      </c>
      <c r="G27" s="80"/>
      <c r="H27" s="80"/>
      <c r="I27" s="81">
        <f>'Giá tháng'!G11</f>
        <v>1</v>
      </c>
      <c r="J27" s="89">
        <f>ROUND(IF(E$6=0,E25*F27*I27,E$6*E25*F27*I27),4)</f>
        <v>418.53559999999999</v>
      </c>
      <c r="K27" s="89"/>
      <c r="L27" s="89"/>
      <c r="S27" s="34">
        <v>1010</v>
      </c>
    </row>
    <row r="28" spans="1:19" ht="16.5" customHeight="1">
      <c r="A28" s="12"/>
      <c r="B28" s="13"/>
      <c r="C28" s="90" t="s">
        <v>678</v>
      </c>
      <c r="D28" s="91"/>
      <c r="E28" s="92"/>
      <c r="F28" s="93"/>
      <c r="G28" s="93"/>
      <c r="H28" s="93"/>
      <c r="I28" s="94"/>
      <c r="J28" s="92"/>
      <c r="K28" s="92"/>
      <c r="L28" s="92"/>
    </row>
    <row r="29" spans="1:19" ht="16.5" customHeight="1">
      <c r="A29" s="12"/>
      <c r="B29" s="13" t="str">
        <f>'Giá tháng'!B49</f>
        <v>N2.30</v>
      </c>
      <c r="C29" s="14" t="str">
        <f>'Giá tháng'!C49</f>
        <v>Nhân công 3,0/7 - Nhóm 2</v>
      </c>
      <c r="D29" s="13" t="str">
        <f>'Giá tháng'!D49</f>
        <v>công</v>
      </c>
      <c r="E29" s="89"/>
      <c r="F29" s="80"/>
      <c r="G29" s="80">
        <v>3.52</v>
      </c>
      <c r="H29" s="80"/>
      <c r="I29" s="81">
        <f>'Giá tháng'!G49</f>
        <v>1</v>
      </c>
      <c r="J29" s="89"/>
      <c r="K29" s="89">
        <f>ROUND(IF(E$6=0,E25*G29*I29,E$6*E25*G29*I29),4)</f>
        <v>10.994400000000001</v>
      </c>
      <c r="L29" s="89"/>
      <c r="S29" s="34">
        <v>203</v>
      </c>
    </row>
    <row r="30" spans="1:19" ht="16.5" customHeight="1">
      <c r="A30" s="12"/>
      <c r="B30" s="13"/>
      <c r="C30" s="90" t="s">
        <v>679</v>
      </c>
      <c r="D30" s="91"/>
      <c r="E30" s="92"/>
      <c r="F30" s="93"/>
      <c r="G30" s="93"/>
      <c r="H30" s="93"/>
      <c r="I30" s="94"/>
      <c r="J30" s="92"/>
      <c r="K30" s="92"/>
      <c r="L30" s="92"/>
    </row>
    <row r="31" spans="1:19" ht="28.5" customHeight="1">
      <c r="A31" s="12"/>
      <c r="B31" s="13" t="str">
        <f>'Giá tháng'!B73</f>
        <v>M105.0401</v>
      </c>
      <c r="C31" s="14" t="str">
        <f>'Giá tháng'!C73</f>
        <v>Máy rải cấp phối đá dăm - năng suất : 50 m3/h - 60 m3/h</v>
      </c>
      <c r="D31" s="13" t="str">
        <f>'Giá tháng'!D73</f>
        <v>ca</v>
      </c>
      <c r="E31" s="89"/>
      <c r="F31" s="80"/>
      <c r="G31" s="80"/>
      <c r="H31" s="80">
        <v>0.21</v>
      </c>
      <c r="I31" s="81">
        <f>'Giá tháng'!G73</f>
        <v>1</v>
      </c>
      <c r="J31" s="89"/>
      <c r="K31" s="89"/>
      <c r="L31" s="89">
        <f>ROUND(IF(E$6=0,E25*H31*I31,E$6*E25*H31*I31),4)</f>
        <v>0.65590000000000004</v>
      </c>
      <c r="S31" s="34">
        <v>3019</v>
      </c>
    </row>
    <row r="32" spans="1:19" ht="28.5" customHeight="1">
      <c r="A32" s="12"/>
      <c r="B32" s="13" t="str">
        <f>'Giá tháng'!B70</f>
        <v>M101.1006</v>
      </c>
      <c r="C32" s="14" t="str">
        <f>'Giá tháng'!C70</f>
        <v>Máy lu rung tự hành - trọng lượng tĩnh : 25T</v>
      </c>
      <c r="D32" s="13" t="str">
        <f>'Giá tháng'!D70</f>
        <v>ca</v>
      </c>
      <c r="E32" s="89"/>
      <c r="F32" s="80"/>
      <c r="G32" s="80"/>
      <c r="H32" s="80">
        <v>0.32</v>
      </c>
      <c r="I32" s="81">
        <f>'Giá tháng'!G70</f>
        <v>1</v>
      </c>
      <c r="J32" s="89"/>
      <c r="K32" s="89"/>
      <c r="L32" s="89">
        <f>ROUND(IF(E$6=0,E25*H32*I32,E$6*E25*H32*I32),4)</f>
        <v>0.99950000000000006</v>
      </c>
      <c r="S32" s="34">
        <v>3016</v>
      </c>
    </row>
    <row r="33" spans="1:19" ht="28.5" customHeight="1">
      <c r="A33" s="12"/>
      <c r="B33" s="13" t="str">
        <f>'Giá tháng'!B66</f>
        <v>M101.0902</v>
      </c>
      <c r="C33" s="14" t="str">
        <f>'Giá tháng'!C66</f>
        <v>Máy lu bánh hơi tự hành - trọng lượng tĩnh : 16,0 T</v>
      </c>
      <c r="D33" s="13" t="str">
        <f>'Giá tháng'!D66</f>
        <v>ca</v>
      </c>
      <c r="E33" s="89"/>
      <c r="F33" s="80"/>
      <c r="G33" s="80"/>
      <c r="H33" s="80">
        <v>0.15</v>
      </c>
      <c r="I33" s="81">
        <f>'Giá tháng'!G66</f>
        <v>1</v>
      </c>
      <c r="J33" s="89"/>
      <c r="K33" s="89"/>
      <c r="L33" s="89">
        <f>ROUND(IF(E$6=0,E25*H33*I33,E$6*E25*H33*I33),4)</f>
        <v>0.46850000000000003</v>
      </c>
      <c r="S33" s="34">
        <v>3012</v>
      </c>
    </row>
    <row r="34" spans="1:19" ht="28.5" customHeight="1">
      <c r="A34" s="12"/>
      <c r="B34" s="13" t="str">
        <f>'Giá tháng'!B67</f>
        <v>M101.1103</v>
      </c>
      <c r="C34" s="14" t="str">
        <f>'Giá tháng'!C67</f>
        <v>Máy lu bánh thép tự hành - trọng lượng tĩnh : 10,0 T</v>
      </c>
      <c r="D34" s="13" t="str">
        <f>'Giá tháng'!D67</f>
        <v>ca</v>
      </c>
      <c r="E34" s="89"/>
      <c r="F34" s="80"/>
      <c r="G34" s="80"/>
      <c r="H34" s="80">
        <v>0.26</v>
      </c>
      <c r="I34" s="81">
        <f>'Giá tháng'!G67</f>
        <v>1</v>
      </c>
      <c r="J34" s="89"/>
      <c r="K34" s="89"/>
      <c r="L34" s="89">
        <f>ROUND(IF(E$6=0,E25*H34*I34,E$6*E25*H34*I34),4)</f>
        <v>0.81210000000000004</v>
      </c>
      <c r="S34" s="34">
        <v>3013</v>
      </c>
    </row>
    <row r="35" spans="1:19" ht="16.5" customHeight="1">
      <c r="A35" s="12"/>
      <c r="B35" s="13" t="str">
        <f>'Giá tháng'!B80</f>
        <v>M106.0502</v>
      </c>
      <c r="C35" s="14" t="str">
        <f>'Giá tháng'!C80</f>
        <v>Ô tô tưới nước - dung tích : 5,0 m3</v>
      </c>
      <c r="D35" s="13" t="str">
        <f>'Giá tháng'!D80</f>
        <v>ca</v>
      </c>
      <c r="E35" s="89"/>
      <c r="F35" s="80"/>
      <c r="G35" s="80"/>
      <c r="H35" s="80">
        <v>0.21</v>
      </c>
      <c r="I35" s="81">
        <f>'Giá tháng'!G80</f>
        <v>1</v>
      </c>
      <c r="J35" s="89"/>
      <c r="K35" s="89"/>
      <c r="L35" s="89">
        <f>ROUND(IF(E$6=0,E25*H35*I35,E$6*E25*H35*I35),4)</f>
        <v>0.65590000000000004</v>
      </c>
      <c r="S35" s="34">
        <v>3025</v>
      </c>
    </row>
    <row r="36" spans="1:19" ht="16.5" customHeight="1">
      <c r="A36" s="12"/>
      <c r="B36" s="13" t="s">
        <v>680</v>
      </c>
      <c r="C36" s="14" t="s">
        <v>681</v>
      </c>
      <c r="D36" s="13" t="s">
        <v>682</v>
      </c>
      <c r="E36" s="89"/>
      <c r="F36" s="80"/>
      <c r="G36" s="80"/>
      <c r="H36" s="80">
        <v>0.5</v>
      </c>
      <c r="I36" s="81"/>
      <c r="J36" s="89"/>
      <c r="K36" s="89"/>
      <c r="L36" s="89"/>
      <c r="N36" s="34">
        <f>ROUND(IF(E$6=0,E25*H36*(H31*'Giá tháng'!E73*'Giá tháng'!G73+H32*'Giá tháng'!E70*'Giá tháng'!G70+H33*'Giá tháng'!E66*'Giá tháng'!G66+H34*'Giá tháng'!E67*'Giá tháng'!G67+H35*'Giá tháng'!E80*'Giá tháng'!G80)/100,E$6*E25*H36*(H31*'Giá tháng'!E73*'Giá tháng'!G73+H32*'Giá tháng'!E70*'Giá tháng'!G70+H33*'Giá tháng'!E66*'Giá tháng'!G66+H34*'Giá tháng'!E67*'Giá tháng'!G67+H35*'Giá tháng'!E80*'Giá tháng'!G80)/100),1)</f>
        <v>41958</v>
      </c>
      <c r="P36" s="34">
        <f>ROUND(IF(E$6=0,E25*H36*(H31*'Giá tháng'!F73*'Giá tháng'!G73+H32*'Giá tháng'!F70*'Giá tháng'!G70+H33*'Giá tháng'!F66*'Giá tháng'!G66+H34*'Giá tháng'!F67*'Giá tháng'!G67+H35*'Giá tháng'!F80*'Giá tháng'!G80)/100,E$6*E25*H36*(H31*'Giá tháng'!F73*'Giá tháng'!G73+H32*'Giá tháng'!F70*'Giá tháng'!G70+H33*'Giá tháng'!F66*'Giá tháng'!G66+H34*'Giá tháng'!F67*'Giá tháng'!G67+H35*'Giá tháng'!F80*'Giá tháng'!G80)/100),1)</f>
        <v>42175.199999999997</v>
      </c>
    </row>
    <row r="37" spans="1:19" ht="41.25" customHeight="1">
      <c r="A37" s="12">
        <f>'Công trình'!A19</f>
        <v>6</v>
      </c>
      <c r="B37" s="13" t="str">
        <f>'Công trình'!E19</f>
        <v>AB.41413</v>
      </c>
      <c r="C37" s="14" t="str">
        <f>'Công trình'!F19</f>
        <v xml:space="preserve">Vận chuyển đất bằng ôtô tự đổ 5 tấn </v>
      </c>
      <c r="D37" s="13" t="str">
        <f>'Công trình'!G19</f>
        <v>100m3</v>
      </c>
      <c r="E37" s="89">
        <f>ROUND('Công trình'!P19,4)</f>
        <v>0.90890000000000004</v>
      </c>
      <c r="F37" s="80"/>
      <c r="G37" s="80"/>
      <c r="H37" s="80"/>
      <c r="I37" s="81"/>
      <c r="J37" s="89"/>
      <c r="K37" s="89"/>
      <c r="L37" s="89"/>
    </row>
    <row r="38" spans="1:19" ht="16.5" customHeight="1">
      <c r="A38" s="12"/>
      <c r="B38" s="13"/>
      <c r="C38" s="90" t="s">
        <v>679</v>
      </c>
      <c r="D38" s="91"/>
      <c r="E38" s="92"/>
      <c r="F38" s="93"/>
      <c r="G38" s="93"/>
      <c r="H38" s="93"/>
      <c r="I38" s="94"/>
      <c r="J38" s="92"/>
      <c r="K38" s="92"/>
      <c r="L38" s="92"/>
    </row>
    <row r="39" spans="1:19" ht="16.5" customHeight="1">
      <c r="A39" s="12"/>
      <c r="B39" s="13" t="str">
        <f>'Giá tháng'!B78</f>
        <v>M106.0202</v>
      </c>
      <c r="C39" s="14" t="str">
        <f>'Giá tháng'!C78</f>
        <v>Ô tô tự đổ - trọng tải : 5,0 T</v>
      </c>
      <c r="D39" s="13" t="str">
        <f>'Giá tháng'!D78</f>
        <v>ca</v>
      </c>
      <c r="E39" s="89"/>
      <c r="F39" s="80"/>
      <c r="G39" s="80"/>
      <c r="H39" s="80">
        <v>1.7110000000000001</v>
      </c>
      <c r="I39" s="81">
        <f>'Giá tháng'!G78</f>
        <v>1</v>
      </c>
      <c r="J39" s="89"/>
      <c r="K39" s="89"/>
      <c r="L39" s="89">
        <f>ROUND(IF(E$6=0,E37*H39*I39,E$6*E37*H39*I39),4)</f>
        <v>1.5550999999999999</v>
      </c>
      <c r="S39" s="34">
        <v>3024</v>
      </c>
    </row>
    <row r="40" spans="1:19" ht="41.25" customHeight="1">
      <c r="A40" s="12">
        <f>'Công trình'!A22</f>
        <v>7</v>
      </c>
      <c r="B40" s="13" t="str">
        <f>'Công trình'!E22</f>
        <v>AB.42213</v>
      </c>
      <c r="C40" s="14" t="str">
        <f>'Công trình'!F22</f>
        <v>Vận chuyển đất bằng ô tô tự đổ 5T 1km tiếp theo ngoài phạm vi 5km, đất cấp III</v>
      </c>
      <c r="D40" s="13" t="str">
        <f>'Công trình'!G22</f>
        <v>100m3</v>
      </c>
      <c r="E40" s="89">
        <f>ROUND('Công trình'!P22,4)</f>
        <v>0.90890000000000004</v>
      </c>
      <c r="F40" s="80"/>
      <c r="G40" s="80"/>
      <c r="H40" s="80"/>
      <c r="I40" s="81"/>
      <c r="J40" s="89"/>
      <c r="K40" s="89"/>
      <c r="L40" s="89"/>
    </row>
    <row r="41" spans="1:19" ht="16.5" customHeight="1">
      <c r="A41" s="12"/>
      <c r="B41" s="13"/>
      <c r="C41" s="90" t="s">
        <v>679</v>
      </c>
      <c r="D41" s="91"/>
      <c r="E41" s="92"/>
      <c r="F41" s="93"/>
      <c r="G41" s="93"/>
      <c r="H41" s="93"/>
      <c r="I41" s="94"/>
      <c r="J41" s="92"/>
      <c r="K41" s="92"/>
      <c r="L41" s="92"/>
    </row>
    <row r="42" spans="1:19" ht="16.5" customHeight="1">
      <c r="A42" s="12"/>
      <c r="B42" s="13" t="str">
        <f>'Giá tháng'!B79</f>
        <v>M106.0202</v>
      </c>
      <c r="C42" s="14" t="str">
        <f>'Giá tháng'!C79</f>
        <v>Ô tô tự đổ - trọng tải : 5,0 T</v>
      </c>
      <c r="D42" s="13" t="str">
        <f>'Giá tháng'!D79</f>
        <v>ca</v>
      </c>
      <c r="E42" s="89"/>
      <c r="F42" s="80"/>
      <c r="G42" s="80"/>
      <c r="H42" s="80">
        <v>0.57099999999999995</v>
      </c>
      <c r="I42" s="81">
        <f>'Giá tháng'!G79</f>
        <v>4</v>
      </c>
      <c r="J42" s="89"/>
      <c r="K42" s="89"/>
      <c r="L42" s="89">
        <f>ROUND(IF(E$6=0,E40*H42*I42,E$6*E40*H42*I42),4)</f>
        <v>2.0758999999999999</v>
      </c>
      <c r="S42" s="34">
        <v>3024</v>
      </c>
    </row>
    <row r="43" spans="1:19" ht="41.25" customHeight="1">
      <c r="A43" s="12">
        <f>'Công trình'!A24</f>
        <v>7</v>
      </c>
      <c r="B43" s="13" t="str">
        <f>'Công trình'!E24</f>
        <v>AB.41412</v>
      </c>
      <c r="C43" s="14" t="str">
        <f>'Công trình'!F24</f>
        <v>Vận chuyển đất bằng ôtô tự đổ 5 tấn trong phạm vi &lt;= 1000m, đất cấp II</v>
      </c>
      <c r="D43" s="13" t="str">
        <f>'Công trình'!G24</f>
        <v>100m3</v>
      </c>
      <c r="E43" s="89">
        <f>ROUND('Công trình'!P24,4)</f>
        <v>7.7824999999999998</v>
      </c>
      <c r="F43" s="80"/>
      <c r="G43" s="80"/>
      <c r="H43" s="80"/>
      <c r="I43" s="81"/>
      <c r="J43" s="89"/>
      <c r="K43" s="89"/>
      <c r="L43" s="89"/>
    </row>
    <row r="44" spans="1:19" ht="16.5" customHeight="1">
      <c r="A44" s="12"/>
      <c r="B44" s="13"/>
      <c r="C44" s="90" t="s">
        <v>679</v>
      </c>
      <c r="D44" s="91"/>
      <c r="E44" s="92"/>
      <c r="F44" s="93"/>
      <c r="G44" s="93"/>
      <c r="H44" s="93"/>
      <c r="I44" s="94"/>
      <c r="J44" s="92"/>
      <c r="K44" s="92"/>
      <c r="L44" s="92"/>
    </row>
    <row r="45" spans="1:19" ht="16.5" customHeight="1">
      <c r="A45" s="12"/>
      <c r="B45" s="13" t="str">
        <f>'Giá tháng'!B78</f>
        <v>M106.0202</v>
      </c>
      <c r="C45" s="14" t="str">
        <f>'Giá tháng'!C78</f>
        <v>Ô tô tự đổ - trọng tải : 5,0 T</v>
      </c>
      <c r="D45" s="13" t="str">
        <f>'Giá tháng'!D78</f>
        <v>ca</v>
      </c>
      <c r="E45" s="89"/>
      <c r="F45" s="80"/>
      <c r="G45" s="80"/>
      <c r="H45" s="80">
        <v>1.329</v>
      </c>
      <c r="I45" s="81">
        <f>'Giá tháng'!G78</f>
        <v>1</v>
      </c>
      <c r="J45" s="89"/>
      <c r="K45" s="89"/>
      <c r="L45" s="89">
        <f>ROUND(IF(E$6=0,E43*H45*I45,E$6*E43*H45*I45),4)</f>
        <v>10.3429</v>
      </c>
      <c r="S45" s="34">
        <v>3024</v>
      </c>
    </row>
    <row r="46" spans="1:19" ht="41.25" customHeight="1">
      <c r="A46" s="12">
        <f>'Công trình'!A27</f>
        <v>9</v>
      </c>
      <c r="B46" s="13" t="str">
        <f>'Công trình'!E27</f>
        <v>AB.42212</v>
      </c>
      <c r="C46" s="14" t="str">
        <f>'Công trình'!F27</f>
        <v>Vận chuyển đất bằng ô tô tự đổ 5T 1km tiếp theo ngoài phạm vi 5km, đất cấp II</v>
      </c>
      <c r="D46" s="13" t="str">
        <f>'Công trình'!G27</f>
        <v>100m3</v>
      </c>
      <c r="E46" s="89">
        <f>ROUND('Công trình'!P27,4)</f>
        <v>7.7824999999999998</v>
      </c>
      <c r="F46" s="80"/>
      <c r="G46" s="80"/>
      <c r="H46" s="80"/>
      <c r="I46" s="81"/>
      <c r="J46" s="89"/>
      <c r="K46" s="89"/>
      <c r="L46" s="89"/>
    </row>
    <row r="47" spans="1:19" ht="16.5" customHeight="1">
      <c r="A47" s="12"/>
      <c r="B47" s="13"/>
      <c r="C47" s="90" t="s">
        <v>679</v>
      </c>
      <c r="D47" s="91"/>
      <c r="E47" s="92"/>
      <c r="F47" s="93"/>
      <c r="G47" s="93"/>
      <c r="H47" s="93"/>
      <c r="I47" s="94"/>
      <c r="J47" s="92"/>
      <c r="K47" s="92"/>
      <c r="L47" s="92"/>
    </row>
    <row r="48" spans="1:19" ht="16.5" customHeight="1">
      <c r="A48" s="12"/>
      <c r="B48" s="13" t="str">
        <f>'Giá tháng'!B79</f>
        <v>M106.0202</v>
      </c>
      <c r="C48" s="14" t="str">
        <f>'Giá tháng'!C79</f>
        <v>Ô tô tự đổ - trọng tải : 5,0 T</v>
      </c>
      <c r="D48" s="13" t="str">
        <f>'Giá tháng'!D79</f>
        <v>ca</v>
      </c>
      <c r="E48" s="89"/>
      <c r="F48" s="80"/>
      <c r="G48" s="80"/>
      <c r="H48" s="80">
        <v>0.51</v>
      </c>
      <c r="I48" s="81">
        <f>'Giá tháng'!G79</f>
        <v>4</v>
      </c>
      <c r="J48" s="89"/>
      <c r="K48" s="89"/>
      <c r="L48" s="89">
        <f>ROUND(IF(E$6=0,E46*H48*I48,E$6*E46*H48*I48),4)</f>
        <v>15.876300000000001</v>
      </c>
      <c r="S48" s="34">
        <v>3024</v>
      </c>
    </row>
    <row r="49" spans="1:19" ht="16.5" customHeight="1">
      <c r="A49" s="12">
        <f>'Công trình'!A30</f>
        <v>8</v>
      </c>
      <c r="B49" s="13" t="str">
        <f>'Công trình'!E30</f>
        <v>AL.16122</v>
      </c>
      <c r="C49" s="14" t="str">
        <f>'Công trình'!F30</f>
        <v>Nilon chống mất nước xi măng</v>
      </c>
      <c r="D49" s="13" t="str">
        <f>'Công trình'!G30</f>
        <v>100m2</v>
      </c>
      <c r="E49" s="89">
        <f>ROUND('Công trình'!P30,4)</f>
        <v>17.352</v>
      </c>
      <c r="F49" s="80"/>
      <c r="G49" s="80"/>
      <c r="H49" s="80"/>
      <c r="I49" s="81"/>
      <c r="J49" s="89"/>
      <c r="K49" s="89"/>
      <c r="L49" s="89"/>
    </row>
    <row r="50" spans="1:19" ht="16.5" customHeight="1">
      <c r="A50" s="12"/>
      <c r="B50" s="13"/>
      <c r="C50" s="90" t="s">
        <v>683</v>
      </c>
      <c r="D50" s="91"/>
      <c r="E50" s="92"/>
      <c r="F50" s="93"/>
      <c r="G50" s="93"/>
      <c r="H50" s="93"/>
      <c r="I50" s="94"/>
      <c r="J50" s="92"/>
      <c r="K50" s="92"/>
      <c r="L50" s="92"/>
    </row>
    <row r="51" spans="1:19" ht="16.5" customHeight="1">
      <c r="A51" s="12"/>
      <c r="B51" s="13" t="str">
        <f>'Giá tháng'!B30</f>
        <v>A24.0782</v>
      </c>
      <c r="C51" s="14" t="str">
        <f>'Giá tháng'!C30</f>
        <v>Nilon chống mất nước XM</v>
      </c>
      <c r="D51" s="13" t="str">
        <f>'Giá tháng'!D30</f>
        <v>m2</v>
      </c>
      <c r="E51" s="89"/>
      <c r="F51" s="80">
        <v>105</v>
      </c>
      <c r="G51" s="80"/>
      <c r="H51" s="80"/>
      <c r="I51" s="81">
        <f>'Giá tháng'!G30</f>
        <v>1</v>
      </c>
      <c r="J51" s="89">
        <f>ROUND(IF(E$6=0,E49*F51*I51,E$6*E49*F51*I51),4)</f>
        <v>1821.96</v>
      </c>
      <c r="K51" s="89"/>
      <c r="L51" s="89"/>
      <c r="Q51" s="34">
        <f>'Cước VC'!AU30</f>
        <v>0</v>
      </c>
      <c r="R51" s="34">
        <f>'Cước bộ'!W30</f>
        <v>0</v>
      </c>
      <c r="S51" s="34">
        <v>1029</v>
      </c>
    </row>
    <row r="52" spans="1:19" ht="16.5" customHeight="1">
      <c r="A52" s="12"/>
      <c r="B52" s="13" t="s">
        <v>684</v>
      </c>
      <c r="C52" s="14" t="s">
        <v>685</v>
      </c>
      <c r="D52" s="13" t="s">
        <v>682</v>
      </c>
      <c r="E52" s="89"/>
      <c r="F52" s="80">
        <v>0.2</v>
      </c>
      <c r="G52" s="80"/>
      <c r="H52" s="80"/>
      <c r="I52" s="81"/>
      <c r="J52" s="89"/>
      <c r="K52" s="89"/>
      <c r="L52" s="89"/>
      <c r="M52" s="34">
        <f>ROUND(IF(E$6=0,E49*F52*(F51*'Giá tháng'!E30*'Giá tháng'!G30)/100,E$6*E49*F52*(F51*'Giá tháng'!E30*'Giá tháng'!G30)/100),1)</f>
        <v>40447.5</v>
      </c>
      <c r="O52" s="34">
        <f>ROUND(IF(E$6=0,E49*F52*(F51*('Giá tháng'!F30+Q51+R51)*'Giá tháng'!G30)/100,E$6*E49*F52*(F51*('Giá tháng'!F30+Q51+R51)*'Giá tháng'!G30)/100),1)</f>
        <v>38261.199999999997</v>
      </c>
    </row>
    <row r="53" spans="1:19" ht="16.5" customHeight="1">
      <c r="A53" s="12"/>
      <c r="B53" s="13"/>
      <c r="C53" s="90" t="s">
        <v>678</v>
      </c>
      <c r="D53" s="91"/>
      <c r="E53" s="92"/>
      <c r="F53" s="93"/>
      <c r="G53" s="93"/>
      <c r="H53" s="93"/>
      <c r="I53" s="94"/>
      <c r="J53" s="92"/>
      <c r="K53" s="92"/>
      <c r="L53" s="92"/>
    </row>
    <row r="54" spans="1:19" ht="16.5" customHeight="1">
      <c r="A54" s="12"/>
      <c r="B54" s="13" t="str">
        <f>'Giá tháng'!B51</f>
        <v>N2.35</v>
      </c>
      <c r="C54" s="14" t="str">
        <f>'Giá tháng'!C51</f>
        <v>Nhân công 3,5/7 - Nhóm 2</v>
      </c>
      <c r="D54" s="13" t="str">
        <f>'Giá tháng'!D51</f>
        <v>công</v>
      </c>
      <c r="E54" s="89"/>
      <c r="F54" s="80"/>
      <c r="G54" s="80">
        <v>1.08</v>
      </c>
      <c r="H54" s="80"/>
      <c r="I54" s="81">
        <f>'Giá tháng'!G51</f>
        <v>1</v>
      </c>
      <c r="J54" s="89"/>
      <c r="K54" s="89">
        <f>ROUND(IF(E$6=0,E49*G54*I54,E$6*E49*G54*I54),4)</f>
        <v>18.740200000000002</v>
      </c>
      <c r="L54" s="89"/>
      <c r="S54" s="34">
        <v>205</v>
      </c>
    </row>
    <row r="55" spans="1:19" ht="28.5" customHeight="1">
      <c r="A55" s="12">
        <f>'Công trình'!A32</f>
        <v>9</v>
      </c>
      <c r="B55" s="13" t="str">
        <f>'Công trình'!E32</f>
        <v>AF.82411</v>
      </c>
      <c r="C55" s="14" t="str">
        <f>'Công trình'!F32</f>
        <v>Ván khuôn thép. Ván khuôn mặt đường</v>
      </c>
      <c r="D55" s="13" t="str">
        <f>'Công trình'!G32</f>
        <v>100m2</v>
      </c>
      <c r="E55" s="89">
        <f>ROUND('Công trình'!P32,4)</f>
        <v>1.8123</v>
      </c>
      <c r="F55" s="80"/>
      <c r="G55" s="80"/>
      <c r="H55" s="80"/>
      <c r="I55" s="81"/>
      <c r="J55" s="89"/>
      <c r="K55" s="89"/>
      <c r="L55" s="89"/>
    </row>
    <row r="56" spans="1:19" ht="16.5" customHeight="1">
      <c r="A56" s="12"/>
      <c r="B56" s="13"/>
      <c r="C56" s="90" t="s">
        <v>683</v>
      </c>
      <c r="D56" s="91"/>
      <c r="E56" s="92"/>
      <c r="F56" s="93"/>
      <c r="G56" s="93"/>
      <c r="H56" s="93"/>
      <c r="I56" s="94"/>
      <c r="J56" s="92"/>
      <c r="K56" s="92"/>
      <c r="L56" s="92"/>
    </row>
    <row r="57" spans="1:19" ht="16.5" customHeight="1">
      <c r="A57" s="12"/>
      <c r="B57" s="13" t="str">
        <f>'Giá tháng'!B39</f>
        <v>A24.0921</v>
      </c>
      <c r="C57" s="14" t="str">
        <f>'Giá tháng'!C39</f>
        <v>Thép hình, thép tấm</v>
      </c>
      <c r="D57" s="13" t="str">
        <f>'Giá tháng'!D39</f>
        <v>kg</v>
      </c>
      <c r="E57" s="89"/>
      <c r="F57" s="80">
        <v>31.5</v>
      </c>
      <c r="G57" s="80"/>
      <c r="H57" s="80"/>
      <c r="I57" s="81">
        <f>'Giá tháng'!G39</f>
        <v>1</v>
      </c>
      <c r="J57" s="89">
        <f>ROUND(IF(E$6=0,E55*F57*I57,E$6*E55*F57*I57),4)</f>
        <v>57.087499999999999</v>
      </c>
      <c r="K57" s="89"/>
      <c r="L57" s="89"/>
      <c r="Q57" s="34">
        <f>'Cước VC'!AU38</f>
        <v>0</v>
      </c>
      <c r="R57" s="34">
        <f>'Cước bộ'!W38</f>
        <v>0</v>
      </c>
      <c r="S57" s="34">
        <v>1038</v>
      </c>
    </row>
    <row r="58" spans="1:19" ht="16.5" customHeight="1">
      <c r="A58" s="12"/>
      <c r="B58" s="13" t="str">
        <f>'Giá tháng'!B37</f>
        <v>A24.0543</v>
      </c>
      <c r="C58" s="14" t="str">
        <f>'Giá tháng'!C37</f>
        <v>Que hàn</v>
      </c>
      <c r="D58" s="13" t="str">
        <f>'Giá tháng'!D37</f>
        <v>kg</v>
      </c>
      <c r="E58" s="89"/>
      <c r="F58" s="80">
        <v>1.58</v>
      </c>
      <c r="G58" s="80"/>
      <c r="H58" s="80"/>
      <c r="I58" s="81">
        <f>'Giá tháng'!G37</f>
        <v>1</v>
      </c>
      <c r="J58" s="89">
        <f>ROUND(IF(E$6=0,E55*F58*I58,E$6*E55*F58*I58),4)</f>
        <v>2.8633999999999999</v>
      </c>
      <c r="K58" s="89"/>
      <c r="L58" s="89"/>
      <c r="Q58" s="34">
        <f>'Cước VC'!AU36</f>
        <v>0</v>
      </c>
      <c r="R58" s="34">
        <f>'Cước bộ'!W36</f>
        <v>0</v>
      </c>
      <c r="S58" s="34">
        <v>1036</v>
      </c>
    </row>
    <row r="59" spans="1:19" ht="16.5" customHeight="1">
      <c r="A59" s="12"/>
      <c r="B59" s="13" t="s">
        <v>684</v>
      </c>
      <c r="C59" s="14" t="s">
        <v>685</v>
      </c>
      <c r="D59" s="13" t="s">
        <v>682</v>
      </c>
      <c r="E59" s="89"/>
      <c r="F59" s="80">
        <v>5</v>
      </c>
      <c r="G59" s="80"/>
      <c r="H59" s="80"/>
      <c r="I59" s="81"/>
      <c r="J59" s="89"/>
      <c r="K59" s="89"/>
      <c r="L59" s="89"/>
      <c r="M59" s="34">
        <f>ROUND(IF(E$6=0,E55*F59*(F57*'Giá tháng'!E39*'Giá tháng'!G39+F58*'Giá tháng'!E37*'Giá tháng'!G37)/100,E$6*E55*F59*(F57*'Giá tháng'!E39*'Giá tháng'!G39+F58*'Giá tháng'!E37*'Giá tháng'!G37)/100),1)</f>
        <v>58526</v>
      </c>
      <c r="O59" s="34">
        <f>ROUND(IF(E$6=0,E55*F59*(F57*('Giá tháng'!F39+Q57+R57)*'Giá tháng'!G39+F58*('Giá tháng'!F37+Q58+R58)*'Giá tháng'!G37)/100,E$6*E55*F59*(F57*('Giá tháng'!F39+Q57+R57)*'Giá tháng'!G39+F58*('Giá tháng'!F37+Q58+R58)*'Giá tháng'!G37)/100),1)</f>
        <v>59239.6</v>
      </c>
    </row>
    <row r="60" spans="1:19" ht="16.5" customHeight="1">
      <c r="A60" s="12"/>
      <c r="B60" s="13"/>
      <c r="C60" s="90" t="s">
        <v>678</v>
      </c>
      <c r="D60" s="91"/>
      <c r="E60" s="92"/>
      <c r="F60" s="93"/>
      <c r="G60" s="93"/>
      <c r="H60" s="93"/>
      <c r="I60" s="94"/>
      <c r="J60" s="92"/>
      <c r="K60" s="92"/>
      <c r="L60" s="92"/>
    </row>
    <row r="61" spans="1:19" ht="16.5" customHeight="1">
      <c r="A61" s="12"/>
      <c r="B61" s="13" t="str">
        <f>'Giá tháng'!B53</f>
        <v>N2.40</v>
      </c>
      <c r="C61" s="14" t="str">
        <f>'Giá tháng'!C53</f>
        <v>Nhân công 4,0/7 - Nhóm 2</v>
      </c>
      <c r="D61" s="13" t="str">
        <f>'Giá tháng'!D53</f>
        <v>công</v>
      </c>
      <c r="E61" s="89"/>
      <c r="F61" s="80"/>
      <c r="G61" s="80">
        <v>11.5</v>
      </c>
      <c r="H61" s="80"/>
      <c r="I61" s="81">
        <f>'Giá tháng'!G53</f>
        <v>1</v>
      </c>
      <c r="J61" s="89"/>
      <c r="K61" s="89">
        <f>ROUND(IF(E$6=0,E55*G61*I61,E$6*E55*G61*I61),4)</f>
        <v>20.8415</v>
      </c>
      <c r="L61" s="89"/>
      <c r="S61" s="34">
        <v>206</v>
      </c>
    </row>
    <row r="62" spans="1:19" ht="16.5" customHeight="1">
      <c r="A62" s="12"/>
      <c r="B62" s="13"/>
      <c r="C62" s="90" t="s">
        <v>679</v>
      </c>
      <c r="D62" s="91"/>
      <c r="E62" s="92"/>
      <c r="F62" s="93"/>
      <c r="G62" s="93"/>
      <c r="H62" s="93"/>
      <c r="I62" s="94"/>
      <c r="J62" s="92"/>
      <c r="K62" s="92"/>
      <c r="L62" s="92"/>
    </row>
    <row r="63" spans="1:19" ht="28.5" customHeight="1">
      <c r="A63" s="12"/>
      <c r="B63" s="13" t="str">
        <f>'Giá tháng'!B64</f>
        <v>M112.4003</v>
      </c>
      <c r="C63" s="14" t="str">
        <f>'Giá tháng'!C64</f>
        <v>Máy hàn xoay chiều - công suất : 23,0 kW</v>
      </c>
      <c r="D63" s="13" t="str">
        <f>'Giá tháng'!D64</f>
        <v>ca</v>
      </c>
      <c r="E63" s="89"/>
      <c r="F63" s="80"/>
      <c r="G63" s="80"/>
      <c r="H63" s="80">
        <v>0.42</v>
      </c>
      <c r="I63" s="81">
        <f>'Giá tháng'!G64</f>
        <v>1</v>
      </c>
      <c r="J63" s="89"/>
      <c r="K63" s="89"/>
      <c r="L63" s="89">
        <f>ROUND(IF(E$6=0,E55*H63*I63,E$6*E55*H63*I63),4)</f>
        <v>0.76119999999999999</v>
      </c>
      <c r="S63" s="34">
        <v>3010</v>
      </c>
    </row>
    <row r="64" spans="1:19" ht="16.5" customHeight="1">
      <c r="A64" s="12"/>
      <c r="B64" s="13" t="s">
        <v>680</v>
      </c>
      <c r="C64" s="14" t="s">
        <v>681</v>
      </c>
      <c r="D64" s="13" t="s">
        <v>682</v>
      </c>
      <c r="E64" s="89"/>
      <c r="F64" s="80"/>
      <c r="G64" s="80"/>
      <c r="H64" s="80">
        <v>2</v>
      </c>
      <c r="I64" s="81"/>
      <c r="J64" s="89"/>
      <c r="K64" s="89"/>
      <c r="L64" s="89"/>
      <c r="N64" s="34">
        <f>ROUND(IF(E$6=0,E55*H64*(H63*'Giá tháng'!E64*'Giá tháng'!G64)/100,E$6*E55*H64*(H63*'Giá tháng'!E64*'Giá tháng'!G64)/100),1)</f>
        <v>6267.4</v>
      </c>
      <c r="P64" s="34">
        <f>ROUND(IF(E$6=0,E55*H64*(H63*'Giá tháng'!F64*'Giá tháng'!G64)/100,E$6*E55*H64*(H63*'Giá tháng'!F64*'Giá tháng'!G64)/100),1)</f>
        <v>6129.8</v>
      </c>
    </row>
    <row r="65" spans="1:19" ht="54" customHeight="1">
      <c r="A65" s="12">
        <f>'Công trình'!A34</f>
        <v>10</v>
      </c>
      <c r="B65" s="13" t="str">
        <f>'Công trình'!E34</f>
        <v>AF.15434A</v>
      </c>
      <c r="C65" s="14" t="str">
        <f>'Công trình'!F34</f>
        <v>Đổ bê tông thủ công bằng máy trộn, bê tông mặt đường, chiều dày mặt đường &lt;=25 cm, đá 2x4, mác 250, PCB30</v>
      </c>
      <c r="D65" s="13" t="str">
        <f>'Công trình'!G34</f>
        <v>m3</v>
      </c>
      <c r="E65" s="89">
        <f>ROUND('Công trình'!P34,4)</f>
        <v>354.86</v>
      </c>
      <c r="F65" s="80"/>
      <c r="G65" s="80"/>
      <c r="H65" s="80"/>
      <c r="I65" s="81"/>
      <c r="J65" s="89"/>
      <c r="K65" s="89"/>
      <c r="L65" s="89"/>
    </row>
    <row r="66" spans="1:19" ht="16.5" customHeight="1">
      <c r="A66" s="12"/>
      <c r="B66" s="13"/>
      <c r="C66" s="90" t="s">
        <v>683</v>
      </c>
      <c r="D66" s="91"/>
      <c r="E66" s="92"/>
      <c r="F66" s="93"/>
      <c r="G66" s="93"/>
      <c r="H66" s="93"/>
      <c r="I66" s="94"/>
      <c r="J66" s="92"/>
      <c r="K66" s="92"/>
      <c r="L66" s="92"/>
    </row>
    <row r="67" spans="1:19" ht="16.5" customHeight="1">
      <c r="A67" s="12"/>
      <c r="B67" s="13" t="str">
        <f>'Giá tháng'!B45</f>
        <v>A24.0797A</v>
      </c>
      <c r="C67" s="14" t="str">
        <f>'Giá tháng'!C45</f>
        <v>Xi măng PCB30</v>
      </c>
      <c r="D67" s="13" t="str">
        <f>'Giá tháng'!D45</f>
        <v>kg</v>
      </c>
      <c r="E67" s="89"/>
      <c r="F67" s="80">
        <v>348.5</v>
      </c>
      <c r="G67" s="80"/>
      <c r="H67" s="80"/>
      <c r="I67" s="81">
        <f>'Giá tháng'!G45</f>
        <v>1</v>
      </c>
      <c r="J67" s="89">
        <f>ROUND(IF(E$6=0,E65*F67*I67,E$6*E65*F67*I67),4)</f>
        <v>123668.71</v>
      </c>
      <c r="K67" s="89"/>
      <c r="L67" s="89"/>
      <c r="Q67" s="34">
        <f>'Cước VC'!AU43</f>
        <v>0</v>
      </c>
      <c r="R67" s="34">
        <f>'Cước bộ'!W43</f>
        <v>0</v>
      </c>
      <c r="S67" s="34">
        <v>1043</v>
      </c>
    </row>
    <row r="68" spans="1:19" ht="16.5" customHeight="1">
      <c r="A68" s="12"/>
      <c r="B68" s="13" t="str">
        <f>'Giá tháng'!B10</f>
        <v>A24.0180</v>
      </c>
      <c r="C68" s="14" t="str">
        <f>'Giá tháng'!C10</f>
        <v>Cát vàng</v>
      </c>
      <c r="D68" s="13" t="str">
        <f>'Giá tháng'!D10</f>
        <v>m3</v>
      </c>
      <c r="E68" s="89"/>
      <c r="F68" s="80">
        <v>0.52992499999999998</v>
      </c>
      <c r="G68" s="80"/>
      <c r="H68" s="80"/>
      <c r="I68" s="81">
        <f>'Giá tháng'!G10</f>
        <v>1</v>
      </c>
      <c r="J68" s="89">
        <f>ROUND(IF(E$6=0,E65*F68*I68,E$6*E65*F68*I68),4)</f>
        <v>188.04920000000001</v>
      </c>
      <c r="K68" s="89"/>
      <c r="L68" s="89"/>
      <c r="Q68" s="34">
        <f>'Cước VC'!AU10</f>
        <v>0</v>
      </c>
      <c r="R68" s="34">
        <f>'Cước bộ'!W10</f>
        <v>0</v>
      </c>
      <c r="S68" s="34">
        <v>109</v>
      </c>
    </row>
    <row r="69" spans="1:19" ht="16.5" customHeight="1">
      <c r="A69" s="12"/>
      <c r="B69" s="13" t="str">
        <f>'Giá tháng'!B16</f>
        <v>A24.0009</v>
      </c>
      <c r="C69" s="14" t="str">
        <f>'Giá tháng'!C16</f>
        <v>Đá 2x4</v>
      </c>
      <c r="D69" s="13" t="str">
        <f>'Giá tháng'!D16</f>
        <v>m3</v>
      </c>
      <c r="E69" s="89"/>
      <c r="F69" s="80">
        <v>0.85997500000000004</v>
      </c>
      <c r="G69" s="80"/>
      <c r="H69" s="80"/>
      <c r="I69" s="81">
        <f>'Giá tháng'!G16</f>
        <v>1</v>
      </c>
      <c r="J69" s="89">
        <f>ROUND(IF(E$6=0,E65*F69*I69,E$6*E65*F69*I69),4)</f>
        <v>305.17070000000001</v>
      </c>
      <c r="K69" s="89"/>
      <c r="L69" s="89"/>
      <c r="Q69" s="34">
        <f>'Cước VC'!AU16</f>
        <v>0</v>
      </c>
      <c r="R69" s="34">
        <f>'Cước bộ'!W16</f>
        <v>0</v>
      </c>
      <c r="S69" s="34">
        <v>1015</v>
      </c>
    </row>
    <row r="70" spans="1:19" ht="16.5" customHeight="1">
      <c r="A70" s="12"/>
      <c r="B70" s="13" t="str">
        <f>'Giá tháng'!B32</f>
        <v>A24.0524</v>
      </c>
      <c r="C70" s="14" t="str">
        <f>'Giá tháng'!C32</f>
        <v>Nước</v>
      </c>
      <c r="D70" s="13" t="str">
        <f>'Giá tháng'!D32</f>
        <v>lít</v>
      </c>
      <c r="E70" s="89"/>
      <c r="F70" s="80">
        <v>177.32499999999999</v>
      </c>
      <c r="G70" s="80"/>
      <c r="H70" s="80"/>
      <c r="I70" s="81">
        <f>'Giá tháng'!G32</f>
        <v>1</v>
      </c>
      <c r="J70" s="89">
        <f>ROUND(IF(E$6=0,E65*F70*I70,E$6*E65*F70*I70),4)</f>
        <v>62925.549500000001</v>
      </c>
      <c r="K70" s="89"/>
      <c r="L70" s="89"/>
      <c r="Q70" s="34">
        <f>'Cước VC'!AU31</f>
        <v>0</v>
      </c>
      <c r="R70" s="34">
        <f>'Cước bộ'!W31</f>
        <v>0</v>
      </c>
      <c r="S70" s="34">
        <v>1031</v>
      </c>
    </row>
    <row r="71" spans="1:19" ht="16.5" customHeight="1">
      <c r="A71" s="12"/>
      <c r="B71" s="13" t="s">
        <v>684</v>
      </c>
      <c r="C71" s="14" t="s">
        <v>685</v>
      </c>
      <c r="D71" s="13" t="s">
        <v>682</v>
      </c>
      <c r="E71" s="89"/>
      <c r="F71" s="80">
        <v>1.5</v>
      </c>
      <c r="G71" s="80"/>
      <c r="H71" s="80"/>
      <c r="I71" s="81"/>
      <c r="J71" s="89"/>
      <c r="K71" s="89"/>
      <c r="L71" s="89"/>
      <c r="M71" s="34">
        <f>ROUND(IF(E$6=0,E65*F71*(F67*'Giá tháng'!E45*'Giá tháng'!G45+F68*'Giá tháng'!E10*'Giá tháng'!G10+F69*'Giá tháng'!E16*'Giá tháng'!G16+F70*'Giá tháng'!E32*'Giá tháng'!G32)/100,E$6*E65*F71*(F67*'Giá tháng'!E45*'Giá tháng'!G45+F68*'Giá tháng'!E10*'Giá tháng'!G10+F69*'Giá tháng'!E16*'Giá tháng'!G16+F70*'Giá tháng'!E32*'Giá tháng'!G32)/100),1)</f>
        <v>5305420.4000000004</v>
      </c>
      <c r="O71" s="34">
        <f>ROUND(IF(E$6=0,E65*F71*(F67*('Giá tháng'!F45+Q67+R67)*'Giá tháng'!G45+F68*('Giá tháng'!F10+Q68+R68)*'Giá tháng'!G10+F69*('Giá tháng'!F16+Q69+R69)*'Giá tháng'!G16+F70*('Giá tháng'!F32+Q70+R70)*'Giá tháng'!G32)/100,E$6*E65*F71*(F67*('Giá tháng'!F45+Q67+R67)*'Giá tháng'!G45+F68*('Giá tháng'!F10+Q68+R68)*'Giá tháng'!G10+F69*('Giá tháng'!F16+Q69+R69)*'Giá tháng'!G16+F70*('Giá tháng'!F32+Q70+R70)*'Giá tháng'!G32)/100),1)</f>
        <v>5676502.9000000004</v>
      </c>
    </row>
    <row r="72" spans="1:19" ht="16.5" customHeight="1">
      <c r="A72" s="12"/>
      <c r="B72" s="13"/>
      <c r="C72" s="90" t="s">
        <v>678</v>
      </c>
      <c r="D72" s="91"/>
      <c r="E72" s="92"/>
      <c r="F72" s="93"/>
      <c r="G72" s="93"/>
      <c r="H72" s="93"/>
      <c r="I72" s="94"/>
      <c r="J72" s="92"/>
      <c r="K72" s="92"/>
      <c r="L72" s="92"/>
    </row>
    <row r="73" spans="1:19" ht="16.5" customHeight="1">
      <c r="A73" s="12"/>
      <c r="B73" s="13" t="str">
        <f>'Giá tháng'!B51</f>
        <v>N2.35</v>
      </c>
      <c r="C73" s="14" t="str">
        <f>'Giá tháng'!C51</f>
        <v>Nhân công 3,5/7 - Nhóm 2</v>
      </c>
      <c r="D73" s="13" t="str">
        <f>'Giá tháng'!D51</f>
        <v>công</v>
      </c>
      <c r="E73" s="89"/>
      <c r="F73" s="80"/>
      <c r="G73" s="80">
        <v>1.37</v>
      </c>
      <c r="H73" s="80"/>
      <c r="I73" s="81">
        <f>'Giá tháng'!G51</f>
        <v>1</v>
      </c>
      <c r="J73" s="89"/>
      <c r="K73" s="89">
        <f>ROUND(IF(E$6=0,E65*G73*I73,E$6*E65*G73*I73),4)</f>
        <v>486.15820000000002</v>
      </c>
      <c r="L73" s="89"/>
      <c r="S73" s="34">
        <v>205</v>
      </c>
    </row>
    <row r="74" spans="1:19" ht="16.5" customHeight="1">
      <c r="A74" s="12"/>
      <c r="B74" s="13"/>
      <c r="C74" s="90" t="s">
        <v>679</v>
      </c>
      <c r="D74" s="91"/>
      <c r="E74" s="92"/>
      <c r="F74" s="93"/>
      <c r="G74" s="93"/>
      <c r="H74" s="93"/>
      <c r="I74" s="94"/>
      <c r="J74" s="92"/>
      <c r="K74" s="92"/>
      <c r="L74" s="92"/>
    </row>
    <row r="75" spans="1:19" ht="28.5" customHeight="1">
      <c r="A75" s="12"/>
      <c r="B75" s="13" t="str">
        <f>'Giá tháng'!B74</f>
        <v>M104.0102</v>
      </c>
      <c r="C75" s="14" t="str">
        <f>'Giá tháng'!C74</f>
        <v>Máy trộn bê tông - dung tích : 250,0 lít</v>
      </c>
      <c r="D75" s="13" t="str">
        <f>'Giá tháng'!D74</f>
        <v>ca</v>
      </c>
      <c r="E75" s="89"/>
      <c r="F75" s="80"/>
      <c r="G75" s="80"/>
      <c r="H75" s="80">
        <v>9.5000000000000001E-2</v>
      </c>
      <c r="I75" s="81">
        <f>'Giá tháng'!G74</f>
        <v>1</v>
      </c>
      <c r="J75" s="89"/>
      <c r="K75" s="89"/>
      <c r="L75" s="89">
        <f>ROUND(IF(E$6=0,E65*H75*I75,E$6*E65*H75*I75),4)</f>
        <v>33.7117</v>
      </c>
      <c r="S75" s="34">
        <v>3020</v>
      </c>
    </row>
    <row r="76" spans="1:19" ht="28.5" customHeight="1">
      <c r="A76" s="12"/>
      <c r="B76" s="13" t="str">
        <f>'Giá tháng'!B63</f>
        <v>M112.1101</v>
      </c>
      <c r="C76" s="14" t="str">
        <f>'Giá tháng'!C63</f>
        <v>Máy đầm bê tông, đầm bàn - công suất : 1,0 kW</v>
      </c>
      <c r="D76" s="13" t="str">
        <f>'Giá tháng'!D63</f>
        <v>ca</v>
      </c>
      <c r="E76" s="89"/>
      <c r="F76" s="80"/>
      <c r="G76" s="80"/>
      <c r="H76" s="80">
        <v>8.8999999999999996E-2</v>
      </c>
      <c r="I76" s="81">
        <f>'Giá tháng'!G63</f>
        <v>1</v>
      </c>
      <c r="J76" s="89"/>
      <c r="K76" s="89"/>
      <c r="L76" s="89">
        <f>ROUND(IF(E$6=0,E65*H76*I76,E$6*E65*H76*I76),4)</f>
        <v>31.5825</v>
      </c>
      <c r="S76" s="34">
        <v>309</v>
      </c>
    </row>
    <row r="77" spans="1:19" ht="28.5" customHeight="1">
      <c r="A77" s="12"/>
      <c r="B77" s="13" t="str">
        <f>'Giá tháng'!B62</f>
        <v>M112.1301</v>
      </c>
      <c r="C77" s="14" t="str">
        <f>'Giá tháng'!C62</f>
        <v>Máy đầm bê tông, dầm dùi - công suất : 1,5 kW</v>
      </c>
      <c r="D77" s="13" t="str">
        <f>'Giá tháng'!D62</f>
        <v>ca</v>
      </c>
      <c r="E77" s="89"/>
      <c r="F77" s="80"/>
      <c r="G77" s="80"/>
      <c r="H77" s="80">
        <v>8.8999999999999996E-2</v>
      </c>
      <c r="I77" s="81">
        <f>'Giá tháng'!G62</f>
        <v>1</v>
      </c>
      <c r="J77" s="89"/>
      <c r="K77" s="89"/>
      <c r="L77" s="89">
        <f>ROUND(IF(E$6=0,E65*H77*I77,E$6*E65*H77*I77),4)</f>
        <v>31.5825</v>
      </c>
      <c r="S77" s="34">
        <v>308</v>
      </c>
    </row>
    <row r="78" spans="1:19" ht="16.5" customHeight="1">
      <c r="A78" s="12"/>
      <c r="B78" s="13" t="s">
        <v>680</v>
      </c>
      <c r="C78" s="14" t="s">
        <v>681</v>
      </c>
      <c r="D78" s="13" t="s">
        <v>682</v>
      </c>
      <c r="E78" s="89"/>
      <c r="F78" s="80"/>
      <c r="G78" s="80"/>
      <c r="H78" s="80">
        <v>2</v>
      </c>
      <c r="I78" s="81"/>
      <c r="J78" s="89"/>
      <c r="K78" s="89"/>
      <c r="L78" s="89"/>
      <c r="N78" s="34">
        <f>ROUND(IF(E$6=0,E65*H78*(H75*'Giá tháng'!E74*'Giá tháng'!G74+H76*'Giá tháng'!E63*'Giá tháng'!G63+H77*'Giá tháng'!E62*'Giá tháng'!G62)/100,E$6*E65*H78*(H75*'Giá tháng'!E74*'Giá tháng'!G74+H76*'Giá tháng'!E63*'Giá tháng'!G63+H77*'Giá tháng'!E62*'Giá tháng'!G62)/100),1)</f>
        <v>563489.6</v>
      </c>
      <c r="P78" s="34">
        <f>ROUND(IF(E$6=0,E65*H78*(H75*'Giá tháng'!F74*'Giá tháng'!G74+H76*'Giá tháng'!F63*'Giá tháng'!G63+H77*'Giá tháng'!F62*'Giá tháng'!G62)/100,E$6*E65*H78*(H75*'Giá tháng'!F74*'Giá tháng'!G74+H76*'Giá tháng'!F63*'Giá tháng'!G63+H77*'Giá tháng'!F62*'Giá tháng'!G62)/100),1)</f>
        <v>560664.4</v>
      </c>
    </row>
    <row r="79" spans="1:19" ht="41.25" customHeight="1">
      <c r="A79" s="12">
        <f>'Công trình'!A37</f>
        <v>11</v>
      </c>
      <c r="B79" s="13" t="str">
        <f>'Công trình'!E37</f>
        <v>AK.41114A (VD)</v>
      </c>
      <c r="C79" s="14" t="str">
        <f>'Công trình'!F37</f>
        <v>Đánh bóng bề mặt đường BTXM bằng máy xoa, kết hợp bổ sung xi măng</v>
      </c>
      <c r="D79" s="13" t="str">
        <f>'Công trình'!G37</f>
        <v>m2</v>
      </c>
      <c r="E79" s="89">
        <f>ROUND('Công trình'!P37,4)</f>
        <v>1735.2</v>
      </c>
      <c r="F79" s="80"/>
      <c r="G79" s="80"/>
      <c r="H79" s="80"/>
      <c r="I79" s="81"/>
      <c r="J79" s="89"/>
      <c r="K79" s="89"/>
      <c r="L79" s="89"/>
    </row>
    <row r="80" spans="1:19" ht="16.5" customHeight="1">
      <c r="A80" s="12"/>
      <c r="B80" s="13"/>
      <c r="C80" s="90" t="s">
        <v>683</v>
      </c>
      <c r="D80" s="91"/>
      <c r="E80" s="92"/>
      <c r="F80" s="93"/>
      <c r="G80" s="93"/>
      <c r="H80" s="93"/>
      <c r="I80" s="94"/>
      <c r="J80" s="92"/>
      <c r="K80" s="92"/>
      <c r="L80" s="92"/>
    </row>
    <row r="81" spans="1:19" ht="16.5" customHeight="1">
      <c r="A81" s="12"/>
      <c r="B81" s="13" t="str">
        <f>'Giá tháng'!B44</f>
        <v>A24.0797A</v>
      </c>
      <c r="C81" s="14" t="str">
        <f>'Giá tháng'!C44</f>
        <v>Xi măng PCB30</v>
      </c>
      <c r="D81" s="13" t="str">
        <f>'Giá tháng'!D44</f>
        <v>kg</v>
      </c>
      <c r="E81" s="89"/>
      <c r="F81" s="80">
        <v>10.75</v>
      </c>
      <c r="G81" s="80"/>
      <c r="H81" s="80"/>
      <c r="I81" s="81">
        <f>'Giá tháng'!G44</f>
        <v>0.7</v>
      </c>
      <c r="J81" s="89">
        <f>ROUND(IF(E$6=0,E79*F81*I81,E$6*E79*F81*I81),4)</f>
        <v>13057.38</v>
      </c>
      <c r="K81" s="89"/>
      <c r="L81" s="89"/>
      <c r="S81" s="34">
        <v>1043</v>
      </c>
    </row>
    <row r="82" spans="1:19" ht="16.5" customHeight="1">
      <c r="A82" s="12"/>
      <c r="B82" s="13" t="str">
        <f>'Giá tháng'!B9</f>
        <v>A24.0176</v>
      </c>
      <c r="C82" s="14" t="str">
        <f>'Giá tháng'!C9</f>
        <v>Cát mịn ML=1,5-2,0</v>
      </c>
      <c r="D82" s="13" t="str">
        <f>'Giá tháng'!D9</f>
        <v>m3</v>
      </c>
      <c r="E82" s="89"/>
      <c r="F82" s="80">
        <v>0</v>
      </c>
      <c r="G82" s="80"/>
      <c r="H82" s="80"/>
      <c r="I82" s="81">
        <f>'Giá tháng'!G9</f>
        <v>1</v>
      </c>
      <c r="J82" s="89">
        <f>ROUND(IF(E$6=0,E79*F82*I82,E$6*E79*F82*I82),4)</f>
        <v>0</v>
      </c>
      <c r="K82" s="89"/>
      <c r="L82" s="89"/>
      <c r="S82" s="34">
        <v>108</v>
      </c>
    </row>
    <row r="83" spans="1:19" ht="16.5" customHeight="1">
      <c r="A83" s="12"/>
      <c r="B83" s="13" t="str">
        <f>'Giá tháng'!B32</f>
        <v>A24.0524</v>
      </c>
      <c r="C83" s="14" t="str">
        <f>'Giá tháng'!C32</f>
        <v>Nước</v>
      </c>
      <c r="D83" s="13" t="str">
        <f>'Giá tháng'!D32</f>
        <v>lít</v>
      </c>
      <c r="E83" s="89"/>
      <c r="F83" s="80">
        <v>0</v>
      </c>
      <c r="G83" s="80"/>
      <c r="H83" s="80"/>
      <c r="I83" s="81">
        <f>'Giá tháng'!G32</f>
        <v>1</v>
      </c>
      <c r="J83" s="89">
        <f>ROUND(IF(E$6=0,E79*F83*I83,E$6*E79*F83*I83),4)</f>
        <v>0</v>
      </c>
      <c r="K83" s="89"/>
      <c r="L83" s="89"/>
      <c r="S83" s="34">
        <v>1031</v>
      </c>
    </row>
    <row r="84" spans="1:19" ht="16.5" customHeight="1">
      <c r="A84" s="12"/>
      <c r="B84" s="13"/>
      <c r="C84" s="90" t="s">
        <v>678</v>
      </c>
      <c r="D84" s="91"/>
      <c r="E84" s="92"/>
      <c r="F84" s="93"/>
      <c r="G84" s="93"/>
      <c r="H84" s="93"/>
      <c r="I84" s="94"/>
      <c r="J84" s="92"/>
      <c r="K84" s="92"/>
      <c r="L84" s="92"/>
    </row>
    <row r="85" spans="1:19" ht="16.5" customHeight="1">
      <c r="A85" s="12"/>
      <c r="B85" s="13" t="str">
        <f>'Giá tháng'!B52</f>
        <v>N2.40</v>
      </c>
      <c r="C85" s="14" t="str">
        <f>'Giá tháng'!C52</f>
        <v>Nhân công 4,0/7 - Nhóm 2</v>
      </c>
      <c r="D85" s="13" t="str">
        <f>'Giá tháng'!D52</f>
        <v>công</v>
      </c>
      <c r="E85" s="89"/>
      <c r="F85" s="80"/>
      <c r="G85" s="80">
        <v>6.8000000000000005E-2</v>
      </c>
      <c r="H85" s="80"/>
      <c r="I85" s="81">
        <f>'Giá tháng'!G52</f>
        <v>0.5</v>
      </c>
      <c r="J85" s="89"/>
      <c r="K85" s="89">
        <f>ROUND(IF(E$6=0,E79*G85*I85,E$6*E79*G85*I85),4)</f>
        <v>58.9968</v>
      </c>
      <c r="L85" s="89"/>
      <c r="S85" s="34">
        <v>206</v>
      </c>
    </row>
    <row r="86" spans="1:19" ht="16.5" customHeight="1">
      <c r="A86" s="12"/>
      <c r="B86" s="13"/>
      <c r="C86" s="90" t="s">
        <v>679</v>
      </c>
      <c r="D86" s="91"/>
      <c r="E86" s="92"/>
      <c r="F86" s="93"/>
      <c r="G86" s="93"/>
      <c r="H86" s="93"/>
      <c r="I86" s="94"/>
      <c r="J86" s="92"/>
      <c r="K86" s="92"/>
      <c r="L86" s="92"/>
    </row>
    <row r="87" spans="1:19" ht="16.5" customHeight="1">
      <c r="A87" s="12"/>
      <c r="B87" s="13" t="str">
        <f>'Giá tháng'!B77</f>
        <v>TT*</v>
      </c>
      <c r="C87" s="14" t="str">
        <f>'Giá tháng'!C77</f>
        <v>Máy xoa</v>
      </c>
      <c r="D87" s="13" t="str">
        <f>'Giá tháng'!D77</f>
        <v>Ca</v>
      </c>
      <c r="E87" s="89"/>
      <c r="F87" s="80"/>
      <c r="G87" s="80"/>
      <c r="H87" s="80">
        <v>0.02</v>
      </c>
      <c r="I87" s="81">
        <f>'Giá tháng'!G77</f>
        <v>1</v>
      </c>
      <c r="J87" s="89"/>
      <c r="K87" s="89"/>
      <c r="L87" s="89">
        <f>ROUND(IF(E$6=0,E79*H87*I87,E$6*E79*H87*I87),4)</f>
        <v>34.704000000000001</v>
      </c>
      <c r="S87" s="34">
        <v>3023</v>
      </c>
    </row>
    <row r="88" spans="1:19" ht="28.5" customHeight="1">
      <c r="A88" s="12">
        <f>'Công trình'!A39</f>
        <v>12</v>
      </c>
      <c r="B88" s="13" t="str">
        <f>'Công trình'!E39</f>
        <v>AL.24111</v>
      </c>
      <c r="C88" s="14" t="str">
        <f>'Công trình'!F39</f>
        <v>Thi công khe co sân, bãi, mặt đường bê tông</v>
      </c>
      <c r="D88" s="13" t="str">
        <f>'Công trình'!G39</f>
        <v>m</v>
      </c>
      <c r="E88" s="89">
        <f>ROUND('Công trình'!P39,4)</f>
        <v>268</v>
      </c>
      <c r="F88" s="80"/>
      <c r="G88" s="80"/>
      <c r="H88" s="80"/>
      <c r="I88" s="81"/>
      <c r="J88" s="89"/>
      <c r="K88" s="89"/>
      <c r="L88" s="89"/>
    </row>
    <row r="89" spans="1:19" ht="16.5" customHeight="1">
      <c r="A89" s="12"/>
      <c r="B89" s="13"/>
      <c r="C89" s="90" t="s">
        <v>683</v>
      </c>
      <c r="D89" s="91"/>
      <c r="E89" s="92"/>
      <c r="F89" s="93"/>
      <c r="G89" s="93"/>
      <c r="H89" s="93"/>
      <c r="I89" s="94"/>
      <c r="J89" s="92"/>
      <c r="K89" s="92"/>
      <c r="L89" s="92"/>
    </row>
    <row r="90" spans="1:19" ht="16.5" customHeight="1">
      <c r="A90" s="12"/>
      <c r="B90" s="13" t="str">
        <f>'Giá tháng'!B27</f>
        <v>A24.0480</v>
      </c>
      <c r="C90" s="14" t="str">
        <f>'Giá tháng'!C27</f>
        <v>Ma tít chèn khe</v>
      </c>
      <c r="D90" s="13" t="str">
        <f>'Giá tháng'!D27</f>
        <v>kg</v>
      </c>
      <c r="E90" s="89"/>
      <c r="F90" s="80">
        <v>1.36</v>
      </c>
      <c r="G90" s="80"/>
      <c r="H90" s="80"/>
      <c r="I90" s="81">
        <f>'Giá tháng'!G27</f>
        <v>1</v>
      </c>
      <c r="J90" s="89">
        <f>ROUND(IF(E$6=0,E88*F90*I90,E$6*E88*F90*I90),4)</f>
        <v>364.48</v>
      </c>
      <c r="K90" s="89"/>
      <c r="L90" s="89"/>
      <c r="Q90" s="34">
        <f>'Cước VC'!AU27</f>
        <v>0</v>
      </c>
      <c r="R90" s="34">
        <f>'Cước bộ'!W27</f>
        <v>0</v>
      </c>
      <c r="S90" s="34">
        <v>1026</v>
      </c>
    </row>
    <row r="91" spans="1:19" ht="16.5" customHeight="1">
      <c r="A91" s="12"/>
      <c r="B91" s="13" t="str">
        <f>'Giá tháng'!B33</f>
        <v>A24.0520</v>
      </c>
      <c r="C91" s="14" t="str">
        <f>'Giá tháng'!C33</f>
        <v>Nhựa đường</v>
      </c>
      <c r="D91" s="13" t="str">
        <f>'Giá tháng'!D33</f>
        <v>kg</v>
      </c>
      <c r="E91" s="89"/>
      <c r="F91" s="80">
        <v>0.13</v>
      </c>
      <c r="G91" s="80"/>
      <c r="H91" s="80"/>
      <c r="I91" s="81">
        <f>'Giá tháng'!G33</f>
        <v>1</v>
      </c>
      <c r="J91" s="89">
        <f>ROUND(IF(E$6=0,E88*F91*I91,E$6*E88*F91*I91),4)</f>
        <v>34.840000000000003</v>
      </c>
      <c r="K91" s="89"/>
      <c r="L91" s="89"/>
      <c r="Q91" s="34">
        <f>'Cước VC'!AU32</f>
        <v>0</v>
      </c>
      <c r="R91" s="34">
        <f>'Cước bộ'!W32</f>
        <v>0</v>
      </c>
      <c r="S91" s="34">
        <v>1032</v>
      </c>
    </row>
    <row r="92" spans="1:19" ht="16.5" customHeight="1">
      <c r="A92" s="12"/>
      <c r="B92" s="13" t="str">
        <f>'Giá tháng'!B38</f>
        <v>A24.1074</v>
      </c>
      <c r="C92" s="14" t="str">
        <f>'Giá tháng'!C38</f>
        <v>Thép F25</v>
      </c>
      <c r="D92" s="13" t="str">
        <f>'Giá tháng'!D38</f>
        <v>kg</v>
      </c>
      <c r="E92" s="89"/>
      <c r="F92" s="80">
        <v>3.8</v>
      </c>
      <c r="G92" s="80"/>
      <c r="H92" s="80"/>
      <c r="I92" s="81">
        <f>'Giá tháng'!G38</f>
        <v>1</v>
      </c>
      <c r="J92" s="89">
        <f>ROUND(IF(E$6=0,E88*F92*I92,E$6*E88*F92*I92),4)</f>
        <v>1018.4</v>
      </c>
      <c r="K92" s="89"/>
      <c r="L92" s="89"/>
      <c r="Q92" s="34">
        <f>'Cước VC'!AU37</f>
        <v>0</v>
      </c>
      <c r="R92" s="34">
        <f>'Cước bộ'!W37</f>
        <v>0</v>
      </c>
      <c r="S92" s="34">
        <v>1037</v>
      </c>
    </row>
    <row r="93" spans="1:19" ht="16.5" customHeight="1">
      <c r="A93" s="12"/>
      <c r="B93" s="13" t="s">
        <v>684</v>
      </c>
      <c r="C93" s="14" t="s">
        <v>685</v>
      </c>
      <c r="D93" s="13" t="s">
        <v>682</v>
      </c>
      <c r="E93" s="89"/>
      <c r="F93" s="80">
        <v>5</v>
      </c>
      <c r="G93" s="80"/>
      <c r="H93" s="80"/>
      <c r="I93" s="81"/>
      <c r="J93" s="89"/>
      <c r="K93" s="89"/>
      <c r="L93" s="89"/>
      <c r="M93" s="34">
        <f>ROUND(IF(E$6=0,E88*F93*(F90*'Giá tháng'!E27*'Giá tháng'!G27+F91*'Giá tháng'!E33*'Giá tháng'!G33+F92*'Giá tháng'!E38*'Giá tháng'!G38)/100,E$6*E88*F93*(F90*'Giá tháng'!E27*'Giá tháng'!G27+F91*'Giá tháng'!E33*'Giá tháng'!G33+F92*'Giá tháng'!E38*'Giá tháng'!G38)/100),1)</f>
        <v>1089969.3999999999</v>
      </c>
      <c r="O93" s="34">
        <f>ROUND(IF(E$6=0,E88*F93*(F90*('Giá tháng'!F27+Q90+R90)*'Giá tháng'!G27+F91*('Giá tháng'!F33+Q91+R91)*'Giá tháng'!G33+F92*('Giá tháng'!F38+Q92+R92)*'Giá tháng'!G38)/100,E$6*E88*F93*(F90*('Giá tháng'!F27+Q90+R90)*'Giá tháng'!G27+F91*('Giá tháng'!F33+Q91+R91)*'Giá tháng'!G33+F92*('Giá tháng'!F38+Q92+R92)*'Giá tháng'!G38)/100),1)</f>
        <v>1108381</v>
      </c>
    </row>
    <row r="94" spans="1:19" ht="16.5" customHeight="1">
      <c r="A94" s="12"/>
      <c r="B94" s="13"/>
      <c r="C94" s="90" t="s">
        <v>678</v>
      </c>
      <c r="D94" s="91"/>
      <c r="E94" s="92"/>
      <c r="F94" s="93"/>
      <c r="G94" s="93"/>
      <c r="H94" s="93"/>
      <c r="I94" s="94"/>
      <c r="J94" s="92"/>
      <c r="K94" s="92"/>
      <c r="L94" s="92"/>
    </row>
    <row r="95" spans="1:19" ht="16.5" customHeight="1">
      <c r="A95" s="12"/>
      <c r="B95" s="13" t="str">
        <f>'Giá tháng'!B51</f>
        <v>N2.35</v>
      </c>
      <c r="C95" s="14" t="str">
        <f>'Giá tháng'!C51</f>
        <v>Nhân công 3,5/7 - Nhóm 2</v>
      </c>
      <c r="D95" s="13" t="str">
        <f>'Giá tháng'!D51</f>
        <v>công</v>
      </c>
      <c r="E95" s="89"/>
      <c r="F95" s="80"/>
      <c r="G95" s="80">
        <v>0.09</v>
      </c>
      <c r="H95" s="80"/>
      <c r="I95" s="81">
        <f>'Giá tháng'!G51</f>
        <v>1</v>
      </c>
      <c r="J95" s="89"/>
      <c r="K95" s="89">
        <f>ROUND(IF(E$6=0,E88*G95*I95,E$6*E88*G95*I95),4)</f>
        <v>24.12</v>
      </c>
      <c r="L95" s="89"/>
      <c r="S95" s="34">
        <v>205</v>
      </c>
    </row>
    <row r="96" spans="1:19" ht="16.5" customHeight="1">
      <c r="A96" s="12"/>
      <c r="B96" s="13"/>
      <c r="C96" s="90" t="s">
        <v>679</v>
      </c>
      <c r="D96" s="91"/>
      <c r="E96" s="92"/>
      <c r="F96" s="93"/>
      <c r="G96" s="93"/>
      <c r="H96" s="93"/>
      <c r="I96" s="94"/>
      <c r="J96" s="92"/>
      <c r="K96" s="92"/>
      <c r="L96" s="92"/>
    </row>
    <row r="97" spans="1:19" ht="28.5" customHeight="1">
      <c r="A97" s="12"/>
      <c r="B97" s="13" t="str">
        <f>'Giá tháng'!B56</f>
        <v>M112.2601</v>
      </c>
      <c r="C97" s="14" t="str">
        <f>'Giá tháng'!C56</f>
        <v>Máy cắt uốn cốt thép - công suất : 5,0 kW</v>
      </c>
      <c r="D97" s="13" t="str">
        <f>'Giá tháng'!D56</f>
        <v>ca</v>
      </c>
      <c r="E97" s="89"/>
      <c r="F97" s="80"/>
      <c r="G97" s="80"/>
      <c r="H97" s="80">
        <v>1.2999999999999999E-2</v>
      </c>
      <c r="I97" s="81">
        <f>'Giá tháng'!G56</f>
        <v>1</v>
      </c>
      <c r="J97" s="89"/>
      <c r="K97" s="89"/>
      <c r="L97" s="89">
        <f>ROUND(IF(E$6=0,E88*H97*I97,E$6*E88*H97*I97),4)</f>
        <v>3.484</v>
      </c>
      <c r="S97" s="34">
        <v>302</v>
      </c>
    </row>
    <row r="98" spans="1:19" ht="28.5" customHeight="1">
      <c r="A98" s="12"/>
      <c r="B98" s="13" t="str">
        <f>'Giá tháng'!B72</f>
        <v>M108.0306</v>
      </c>
      <c r="C98" s="14" t="str">
        <f>'Giá tháng'!C72</f>
        <v>Máy nén khí, động cơ diezel - năng suất : 600,00 m3/h</v>
      </c>
      <c r="D98" s="13" t="str">
        <f>'Giá tháng'!D72</f>
        <v>ca</v>
      </c>
      <c r="E98" s="89"/>
      <c r="F98" s="80"/>
      <c r="G98" s="80"/>
      <c r="H98" s="80">
        <v>5.0000000000000001E-3</v>
      </c>
      <c r="I98" s="81">
        <f>'Giá tháng'!G72</f>
        <v>1</v>
      </c>
      <c r="J98" s="89"/>
      <c r="K98" s="89"/>
      <c r="L98" s="89">
        <f>ROUND(IF(E$6=0,E88*H98*I98,E$6*E88*H98*I98),4)</f>
        <v>1.34</v>
      </c>
      <c r="S98" s="34">
        <v>3018</v>
      </c>
    </row>
    <row r="99" spans="1:19" ht="16.5" customHeight="1">
      <c r="A99" s="12"/>
      <c r="B99" s="13" t="s">
        <v>680</v>
      </c>
      <c r="C99" s="14" t="s">
        <v>681</v>
      </c>
      <c r="D99" s="13" t="s">
        <v>682</v>
      </c>
      <c r="E99" s="89"/>
      <c r="F99" s="80"/>
      <c r="G99" s="80"/>
      <c r="H99" s="80">
        <v>2</v>
      </c>
      <c r="I99" s="81"/>
      <c r="J99" s="89"/>
      <c r="K99" s="89"/>
      <c r="L99" s="89"/>
      <c r="N99" s="34">
        <f>ROUND(IF(E$6=0,E88*H99*(H97*'Giá tháng'!E56*'Giá tháng'!G56+H98*'Giá tháng'!E72*'Giá tháng'!G72)/100,E$6*E88*H99*(H97*'Giá tháng'!E56*'Giá tháng'!G56+H98*'Giá tháng'!E72*'Giá tháng'!G72)/100),1)</f>
        <v>68974.600000000006</v>
      </c>
      <c r="P99" s="34">
        <f>ROUND(IF(E$6=0,E88*H99*(H97*'Giá tháng'!F56*'Giá tháng'!G56+H98*'Giá tháng'!F72*'Giá tháng'!G72)/100,E$6*E88*H99*(H97*'Giá tháng'!F56*'Giá tháng'!G56+H98*'Giá tháng'!F72*'Giá tháng'!G72)/100),1)</f>
        <v>69245.7</v>
      </c>
    </row>
    <row r="100" spans="1:19" ht="28.5" customHeight="1">
      <c r="A100" s="12">
        <f>'Công trình'!A41</f>
        <v>13</v>
      </c>
      <c r="B100" s="13" t="str">
        <f>'Công trình'!E41</f>
        <v>AL.24112</v>
      </c>
      <c r="C100" s="14" t="str">
        <f>'Công trình'!F41</f>
        <v>Làm khe giãn, bố trí 20m/Khe giãn sâu 20cm</v>
      </c>
      <c r="D100" s="13" t="str">
        <f>'Công trình'!G41</f>
        <v>m</v>
      </c>
      <c r="E100" s="89">
        <f>ROUND('Công trình'!P41,4)</f>
        <v>89</v>
      </c>
      <c r="F100" s="80"/>
      <c r="G100" s="80"/>
      <c r="H100" s="80"/>
      <c r="I100" s="81"/>
      <c r="J100" s="89"/>
      <c r="K100" s="89"/>
      <c r="L100" s="89"/>
    </row>
    <row r="101" spans="1:19" ht="16.5" customHeight="1">
      <c r="A101" s="12"/>
      <c r="B101" s="13"/>
      <c r="C101" s="90" t="s">
        <v>683</v>
      </c>
      <c r="D101" s="91"/>
      <c r="E101" s="92"/>
      <c r="F101" s="93"/>
      <c r="G101" s="93"/>
      <c r="H101" s="93"/>
      <c r="I101" s="94"/>
      <c r="J101" s="92"/>
      <c r="K101" s="92"/>
      <c r="L101" s="92"/>
    </row>
    <row r="102" spans="1:19" ht="16.5" customHeight="1">
      <c r="A102" s="12"/>
      <c r="B102" s="13" t="str">
        <f>'Giá tháng'!B27</f>
        <v>A24.0480</v>
      </c>
      <c r="C102" s="14" t="str">
        <f>'Giá tháng'!C27</f>
        <v>Ma tít chèn khe</v>
      </c>
      <c r="D102" s="13" t="str">
        <f>'Giá tháng'!D27</f>
        <v>kg</v>
      </c>
      <c r="E102" s="89"/>
      <c r="F102" s="80">
        <v>1.33</v>
      </c>
      <c r="G102" s="80"/>
      <c r="H102" s="80"/>
      <c r="I102" s="81">
        <f>'Giá tháng'!G27</f>
        <v>1</v>
      </c>
      <c r="J102" s="89">
        <f>ROUND(IF(E$6=0,E100*F102*I102,E$6*E100*F102*I102),4)</f>
        <v>118.37</v>
      </c>
      <c r="K102" s="89"/>
      <c r="L102" s="89"/>
      <c r="Q102" s="34">
        <f>'Cước VC'!AU27</f>
        <v>0</v>
      </c>
      <c r="R102" s="34">
        <f>'Cước bộ'!W27</f>
        <v>0</v>
      </c>
      <c r="S102" s="34">
        <v>1026</v>
      </c>
    </row>
    <row r="103" spans="1:19" ht="16.5" customHeight="1">
      <c r="A103" s="12"/>
      <c r="B103" s="13" t="str">
        <f>'Giá tháng'!B33</f>
        <v>A24.0520</v>
      </c>
      <c r="C103" s="14" t="str">
        <f>'Giá tháng'!C33</f>
        <v>Nhựa đường</v>
      </c>
      <c r="D103" s="13" t="str">
        <f>'Giá tháng'!D33</f>
        <v>kg</v>
      </c>
      <c r="E103" s="89"/>
      <c r="F103" s="80">
        <v>0.25</v>
      </c>
      <c r="G103" s="80"/>
      <c r="H103" s="80"/>
      <c r="I103" s="81">
        <f>'Giá tháng'!G33</f>
        <v>1</v>
      </c>
      <c r="J103" s="89">
        <f>ROUND(IF(E$6=0,E100*F103*I103,E$6*E100*F103*I103),4)</f>
        <v>22.25</v>
      </c>
      <c r="K103" s="89"/>
      <c r="L103" s="89"/>
      <c r="Q103" s="34">
        <f>'Cước VC'!AU32</f>
        <v>0</v>
      </c>
      <c r="R103" s="34">
        <f>'Cước bộ'!W32</f>
        <v>0</v>
      </c>
      <c r="S103" s="34">
        <v>1032</v>
      </c>
    </row>
    <row r="104" spans="1:19" ht="16.5" customHeight="1">
      <c r="A104" s="12"/>
      <c r="B104" s="13" t="str">
        <f>'Giá tháng'!B38</f>
        <v>A24.1074</v>
      </c>
      <c r="C104" s="14" t="str">
        <f>'Giá tháng'!C38</f>
        <v>Thép F25</v>
      </c>
      <c r="D104" s="13" t="str">
        <f>'Giá tháng'!D38</f>
        <v>kg</v>
      </c>
      <c r="E104" s="89"/>
      <c r="F104" s="80">
        <v>7.65</v>
      </c>
      <c r="G104" s="80"/>
      <c r="H104" s="80"/>
      <c r="I104" s="81">
        <f>'Giá tháng'!G38</f>
        <v>1</v>
      </c>
      <c r="J104" s="89">
        <f>ROUND(IF(E$6=0,E100*F104*I104,E$6*E100*F104*I104),4)</f>
        <v>680.85</v>
      </c>
      <c r="K104" s="89"/>
      <c r="L104" s="89"/>
      <c r="Q104" s="34">
        <f>'Cước VC'!AU37</f>
        <v>0</v>
      </c>
      <c r="R104" s="34">
        <f>'Cước bộ'!W37</f>
        <v>0</v>
      </c>
      <c r="S104" s="34">
        <v>1037</v>
      </c>
    </row>
    <row r="105" spans="1:19" ht="16.5" customHeight="1">
      <c r="A105" s="12"/>
      <c r="B105" s="13" t="str">
        <f>'Giá tháng'!B29</f>
        <v>A24.0489</v>
      </c>
      <c r="C105" s="14" t="str">
        <f>'Giá tháng'!C29</f>
        <v>Mùn cưa</v>
      </c>
      <c r="D105" s="13" t="str">
        <f>'Giá tháng'!D29</f>
        <v>kg</v>
      </c>
      <c r="E105" s="89"/>
      <c r="F105" s="80">
        <v>0.43</v>
      </c>
      <c r="G105" s="80"/>
      <c r="H105" s="80"/>
      <c r="I105" s="81">
        <f>'Giá tháng'!G29</f>
        <v>1</v>
      </c>
      <c r="J105" s="89">
        <f>ROUND(IF(E$6=0,E100*F105*I105,E$6*E100*F105*I105),4)</f>
        <v>38.270000000000003</v>
      </c>
      <c r="K105" s="89"/>
      <c r="L105" s="89"/>
      <c r="Q105" s="34">
        <f>'Cước VC'!AU29</f>
        <v>0</v>
      </c>
      <c r="R105" s="34">
        <f>'Cước bộ'!W29</f>
        <v>0</v>
      </c>
      <c r="S105" s="34">
        <v>1028</v>
      </c>
    </row>
    <row r="106" spans="1:19" ht="16.5" customHeight="1">
      <c r="A106" s="12"/>
      <c r="B106" s="13" t="str">
        <f>'Giá tháng'!B6</f>
        <v>A24.0233</v>
      </c>
      <c r="C106" s="14" t="str">
        <f>'Giá tháng'!C6</f>
        <v>Cao su đệm</v>
      </c>
      <c r="D106" s="13" t="str">
        <f>'Giá tháng'!D6</f>
        <v>m</v>
      </c>
      <c r="E106" s="89"/>
      <c r="F106" s="80">
        <v>1.2</v>
      </c>
      <c r="G106" s="80"/>
      <c r="H106" s="80"/>
      <c r="I106" s="81">
        <f>'Giá tháng'!G6</f>
        <v>1</v>
      </c>
      <c r="J106" s="89">
        <f>ROUND(IF(E$6=0,E100*F106*I106,E$6*E100*F106*I106),4)</f>
        <v>106.8</v>
      </c>
      <c r="K106" s="89"/>
      <c r="L106" s="89"/>
      <c r="Q106" s="34">
        <f>'Cước VC'!AU6</f>
        <v>0</v>
      </c>
      <c r="R106" s="34">
        <f>'Cước bộ'!W6</f>
        <v>0</v>
      </c>
      <c r="S106" s="34">
        <v>105</v>
      </c>
    </row>
    <row r="107" spans="1:19" ht="16.5" customHeight="1">
      <c r="A107" s="12"/>
      <c r="B107" s="13" t="str">
        <f>'Giá tháng'!B36</f>
        <v>A24.0334</v>
      </c>
      <c r="C107" s="14" t="str">
        <f>'Giá tháng'!C36</f>
        <v>ống nhựa F42</v>
      </c>
      <c r="D107" s="13" t="str">
        <f>'Giá tháng'!D36</f>
        <v>m</v>
      </c>
      <c r="E107" s="89"/>
      <c r="F107" s="80">
        <v>1.59</v>
      </c>
      <c r="G107" s="80"/>
      <c r="H107" s="80"/>
      <c r="I107" s="81">
        <f>'Giá tháng'!G36</f>
        <v>1</v>
      </c>
      <c r="J107" s="89">
        <f>ROUND(IF(E$6=0,E100*F107*I107,E$6*E100*F107*I107),4)</f>
        <v>141.51</v>
      </c>
      <c r="K107" s="89"/>
      <c r="L107" s="89"/>
      <c r="Q107" s="34">
        <f>'Cước VC'!AU35</f>
        <v>0</v>
      </c>
      <c r="R107" s="34">
        <f>'Cước bộ'!W35</f>
        <v>0</v>
      </c>
      <c r="S107" s="34">
        <v>1035</v>
      </c>
    </row>
    <row r="108" spans="1:19" ht="16.5" customHeight="1">
      <c r="A108" s="12"/>
      <c r="B108" s="13" t="s">
        <v>684</v>
      </c>
      <c r="C108" s="14" t="s">
        <v>685</v>
      </c>
      <c r="D108" s="13" t="s">
        <v>682</v>
      </c>
      <c r="E108" s="89"/>
      <c r="F108" s="80">
        <v>5</v>
      </c>
      <c r="G108" s="80"/>
      <c r="H108" s="80"/>
      <c r="I108" s="81"/>
      <c r="J108" s="89"/>
      <c r="K108" s="89"/>
      <c r="L108" s="89"/>
      <c r="M108" s="34">
        <f>ROUND(IF(E$6=0,E100*F108*(F102*'Giá tháng'!E27*'Giá tháng'!G27+F103*'Giá tháng'!E33*'Giá tháng'!G33+F104*'Giá tháng'!E38*'Giá tháng'!G38+F105*'Giá tháng'!E29*'Giá tháng'!G29+F106*'Giá tháng'!E6*'Giá tháng'!G6+F107*'Giá tháng'!E36*'Giá tháng'!G36)/100,E$6*E100*F108*(F102*'Giá tháng'!E27*'Giá tháng'!G27+F103*'Giá tháng'!E33*'Giá tháng'!G33+F104*'Giá tháng'!E38*'Giá tháng'!G38+F105*'Giá tháng'!E29*'Giá tháng'!G29+F106*'Giá tháng'!E6*'Giá tháng'!G6+F107*'Giá tháng'!E36*'Giá tháng'!G36)/100),1)</f>
        <v>816293.8</v>
      </c>
      <c r="O108" s="34">
        <f>ROUND(IF(E$6=0,E100*F108*(F102*('Giá tháng'!F27+Q102+R102)*'Giá tháng'!G27+F103*('Giá tháng'!F33+Q103+R103)*'Giá tháng'!G33+F104*('Giá tháng'!F38+Q104+R104)*'Giá tháng'!G38+F105*('Giá tháng'!F29+Q105+R105)*'Giá tháng'!G29+F106*('Giá tháng'!F6+Q106+R106)*'Giá tháng'!G6+F107*('Giá tháng'!F36+Q107+R107)*'Giá tháng'!G36)/100,E$6*E100*F108*(F102*('Giá tháng'!F27+Q102+R102)*'Giá tháng'!G27+F103*('Giá tháng'!F33+Q103+R103)*'Giá tháng'!G33+F104*('Giá tháng'!F38+Q104+R104)*'Giá tháng'!G38+F105*('Giá tháng'!F29+Q105+R105)*'Giá tháng'!G29+F106*('Giá tháng'!F6+Q106+R106)*'Giá tháng'!G6+F107*('Giá tháng'!F36+Q107+R107)*'Giá tháng'!G36)/100),1)</f>
        <v>906092</v>
      </c>
    </row>
    <row r="109" spans="1:19" ht="16.5" customHeight="1">
      <c r="A109" s="12"/>
      <c r="B109" s="13"/>
      <c r="C109" s="90" t="s">
        <v>678</v>
      </c>
      <c r="D109" s="91"/>
      <c r="E109" s="92"/>
      <c r="F109" s="93"/>
      <c r="G109" s="93"/>
      <c r="H109" s="93"/>
      <c r="I109" s="94"/>
      <c r="J109" s="92"/>
      <c r="K109" s="92"/>
      <c r="L109" s="92"/>
    </row>
    <row r="110" spans="1:19" ht="16.5" customHeight="1">
      <c r="A110" s="12"/>
      <c r="B110" s="13" t="str">
        <f>'Giá tháng'!B51</f>
        <v>N2.35</v>
      </c>
      <c r="C110" s="14" t="str">
        <f>'Giá tháng'!C51</f>
        <v>Nhân công 3,5/7 - Nhóm 2</v>
      </c>
      <c r="D110" s="13" t="str">
        <f>'Giá tháng'!D51</f>
        <v>công</v>
      </c>
      <c r="E110" s="89"/>
      <c r="F110" s="80"/>
      <c r="G110" s="80">
        <v>0.22</v>
      </c>
      <c r="H110" s="80"/>
      <c r="I110" s="81">
        <f>'Giá tháng'!G51</f>
        <v>1</v>
      </c>
      <c r="J110" s="89"/>
      <c r="K110" s="89">
        <f>ROUND(IF(E$6=0,E100*G110*I110,E$6*E100*G110*I110),4)</f>
        <v>19.579999999999998</v>
      </c>
      <c r="L110" s="89"/>
      <c r="S110" s="34">
        <v>205</v>
      </c>
    </row>
    <row r="111" spans="1:19" ht="16.5" customHeight="1">
      <c r="A111" s="12"/>
      <c r="B111" s="13"/>
      <c r="C111" s="90" t="s">
        <v>679</v>
      </c>
      <c r="D111" s="91"/>
      <c r="E111" s="92"/>
      <c r="F111" s="93"/>
      <c r="G111" s="93"/>
      <c r="H111" s="93"/>
      <c r="I111" s="94"/>
      <c r="J111" s="92"/>
      <c r="K111" s="92"/>
      <c r="L111" s="92"/>
    </row>
    <row r="112" spans="1:19" ht="28.5" customHeight="1">
      <c r="A112" s="12"/>
      <c r="B112" s="13" t="str">
        <f>'Giá tháng'!B56</f>
        <v>M112.2601</v>
      </c>
      <c r="C112" s="14" t="str">
        <f>'Giá tháng'!C56</f>
        <v>Máy cắt uốn cốt thép - công suất : 5,0 kW</v>
      </c>
      <c r="D112" s="13" t="str">
        <f>'Giá tháng'!D56</f>
        <v>ca</v>
      </c>
      <c r="E112" s="89"/>
      <c r="F112" s="80"/>
      <c r="G112" s="80"/>
      <c r="H112" s="80">
        <v>2.5999999999999999E-2</v>
      </c>
      <c r="I112" s="81">
        <f>'Giá tháng'!G56</f>
        <v>1</v>
      </c>
      <c r="J112" s="89"/>
      <c r="K112" s="89"/>
      <c r="L112" s="89">
        <f>ROUND(IF(E$6=0,E100*H112*I112,E$6*E100*H112*I112),4)</f>
        <v>2.3140000000000001</v>
      </c>
      <c r="S112" s="34">
        <v>302</v>
      </c>
    </row>
    <row r="113" spans="1:19" ht="28.5" customHeight="1">
      <c r="A113" s="12"/>
      <c r="B113" s="13" t="str">
        <f>'Giá tháng'!B72</f>
        <v>M108.0306</v>
      </c>
      <c r="C113" s="14" t="str">
        <f>'Giá tháng'!C72</f>
        <v>Máy nén khí, động cơ diezel - năng suất : 600,00 m3/h</v>
      </c>
      <c r="D113" s="13" t="str">
        <f>'Giá tháng'!D72</f>
        <v>ca</v>
      </c>
      <c r="E113" s="89"/>
      <c r="F113" s="80"/>
      <c r="G113" s="80"/>
      <c r="H113" s="80">
        <v>5.0000000000000001E-3</v>
      </c>
      <c r="I113" s="81">
        <f>'Giá tháng'!G72</f>
        <v>1</v>
      </c>
      <c r="J113" s="89"/>
      <c r="K113" s="89"/>
      <c r="L113" s="89">
        <f>ROUND(IF(E$6=0,E100*H113*I113,E$6*E100*H113*I113),4)</f>
        <v>0.44500000000000001</v>
      </c>
      <c r="S113" s="34">
        <v>3018</v>
      </c>
    </row>
    <row r="114" spans="1:19" ht="16.5" customHeight="1">
      <c r="A114" s="12"/>
      <c r="B114" s="13" t="s">
        <v>680</v>
      </c>
      <c r="C114" s="14" t="s">
        <v>681</v>
      </c>
      <c r="D114" s="13" t="s">
        <v>682</v>
      </c>
      <c r="E114" s="89"/>
      <c r="F114" s="80"/>
      <c r="G114" s="80"/>
      <c r="H114" s="80">
        <v>2</v>
      </c>
      <c r="I114" s="81"/>
      <c r="J114" s="89"/>
      <c r="K114" s="89"/>
      <c r="L114" s="89"/>
      <c r="N114" s="34">
        <f>ROUND(IF(E$6=0,E100*H114*(H112*'Giá tháng'!E56*'Giá tháng'!G56+H113*'Giá tháng'!E72*'Giá tháng'!G72)/100,E$6*E100*H114*(H112*'Giá tháng'!E56*'Giá tháng'!G56+H113*'Giá tháng'!E72*'Giá tháng'!G72)/100),1)</f>
        <v>29414.7</v>
      </c>
      <c r="P114" s="34">
        <f>ROUND(IF(E$6=0,E100*H114*(H112*'Giá tháng'!F56*'Giá tháng'!G56+H113*'Giá tháng'!F72*'Giá tháng'!G72)/100,E$6*E100*H114*(H112*'Giá tháng'!F56*'Giá tháng'!G56+H113*'Giá tháng'!F72*'Giá tháng'!G72)/100),1)</f>
        <v>29465.5</v>
      </c>
    </row>
    <row r="115" spans="1:19" ht="28.5" customHeight="1">
      <c r="A115" s="12"/>
      <c r="B115" s="13"/>
      <c r="C115" s="87" t="str">
        <f>"KẾT THÚC : "&amp;C6</f>
        <v>KẾT THÚC : SỬA CHỮA NỀN MẶT ĐƯỜNG:</v>
      </c>
      <c r="D115" s="13"/>
      <c r="E115" s="89"/>
      <c r="F115" s="80"/>
      <c r="G115" s="80"/>
      <c r="H115" s="80"/>
      <c r="I115" s="81"/>
      <c r="J115" s="89"/>
      <c r="K115" s="89"/>
      <c r="L115" s="89"/>
    </row>
    <row r="116" spans="1:19" ht="16.5" customHeight="1">
      <c r="A116" s="86"/>
      <c r="B116" s="87" t="str">
        <f>'Công trình'!E43</f>
        <v>*</v>
      </c>
      <c r="C116" s="87" t="str">
        <f>'Công trình'!F43</f>
        <v>HỆ THỐNG THOÁT NƯỚC</v>
      </c>
      <c r="D116" s="87">
        <f>'Công trình'!G43</f>
        <v>0</v>
      </c>
      <c r="E116" s="88">
        <f>'Công trình'!P43</f>
        <v>0</v>
      </c>
      <c r="F116" s="80"/>
      <c r="G116" s="80"/>
      <c r="H116" s="80"/>
      <c r="I116" s="81"/>
      <c r="J116" s="89"/>
      <c r="K116" s="89"/>
      <c r="L116" s="89"/>
    </row>
    <row r="117" spans="1:19" ht="28.5" customHeight="1">
      <c r="A117" s="12">
        <f>'Công trình'!A46</f>
        <v>1</v>
      </c>
      <c r="B117" s="13" t="str">
        <f>'Công trình'!E46</f>
        <v>AB.25112</v>
      </c>
      <c r="C117" s="14" t="str">
        <f>'Công trình'!F46</f>
        <v>Đào móng công trình</v>
      </c>
      <c r="D117" s="13" t="str">
        <f>'Công trình'!G46</f>
        <v>100m3</v>
      </c>
      <c r="E117" s="89">
        <f>ROUND('Công trình'!P46,4)</f>
        <v>1.2809999999999999</v>
      </c>
      <c r="F117" s="80"/>
      <c r="G117" s="80"/>
      <c r="H117" s="80"/>
      <c r="I117" s="81"/>
      <c r="J117" s="89"/>
      <c r="K117" s="89"/>
      <c r="L117" s="89"/>
    </row>
    <row r="118" spans="1:19" ht="16.5" customHeight="1">
      <c r="A118" s="12"/>
      <c r="B118" s="13"/>
      <c r="C118" s="90" t="s">
        <v>678</v>
      </c>
      <c r="D118" s="91"/>
      <c r="E118" s="92"/>
      <c r="F118" s="93"/>
      <c r="G118" s="93"/>
      <c r="H118" s="93"/>
      <c r="I118" s="94"/>
      <c r="J118" s="92"/>
      <c r="K118" s="92"/>
      <c r="L118" s="92"/>
    </row>
    <row r="119" spans="1:19" ht="16.5" customHeight="1">
      <c r="A119" s="12"/>
      <c r="B119" s="13" t="str">
        <f>'Giá tháng'!B48</f>
        <v>N1.30</v>
      </c>
      <c r="C119" s="14" t="str">
        <f>'Giá tháng'!C48</f>
        <v>Nhân công 3,0/7 - Nhóm 1</v>
      </c>
      <c r="D119" s="13" t="str">
        <f>'Giá tháng'!D48</f>
        <v>công</v>
      </c>
      <c r="E119" s="89"/>
      <c r="F119" s="80"/>
      <c r="G119" s="80">
        <v>3.8</v>
      </c>
      <c r="H119" s="80"/>
      <c r="I119" s="81">
        <f>'Giá tháng'!G48</f>
        <v>1</v>
      </c>
      <c r="J119" s="89"/>
      <c r="K119" s="89">
        <f>ROUND(IF(E$116=0,E117*G119*I119,E$116*E117*G119*I119),4)</f>
        <v>4.8677999999999999</v>
      </c>
      <c r="L119" s="89"/>
      <c r="S119" s="34">
        <v>202</v>
      </c>
    </row>
    <row r="120" spans="1:19" ht="16.5" customHeight="1">
      <c r="A120" s="12"/>
      <c r="B120" s="13"/>
      <c r="C120" s="90" t="s">
        <v>679</v>
      </c>
      <c r="D120" s="91"/>
      <c r="E120" s="92"/>
      <c r="F120" s="93"/>
      <c r="G120" s="93"/>
      <c r="H120" s="93"/>
      <c r="I120" s="94"/>
      <c r="J120" s="92"/>
      <c r="K120" s="92"/>
      <c r="L120" s="92"/>
    </row>
    <row r="121" spans="1:19" ht="28.5" customHeight="1">
      <c r="A121" s="12"/>
      <c r="B121" s="13" t="str">
        <f>'Giá tháng'!B60</f>
        <v>M101.0104</v>
      </c>
      <c r="C121" s="14" t="str">
        <f>'Giá tháng'!C60</f>
        <v>Máy đào một gầu, bánh xích - dung tích gầu : 0,80 m3</v>
      </c>
      <c r="D121" s="13" t="str">
        <f>'Giá tháng'!D60</f>
        <v>ca</v>
      </c>
      <c r="E121" s="89"/>
      <c r="F121" s="80"/>
      <c r="G121" s="80"/>
      <c r="H121" s="80">
        <v>0.372</v>
      </c>
      <c r="I121" s="81">
        <f>'Giá tháng'!G60</f>
        <v>1</v>
      </c>
      <c r="J121" s="89"/>
      <c r="K121" s="89"/>
      <c r="L121" s="89">
        <f>ROUND(IF(E$116=0,E117*H121*I121,E$116*E117*H121*I121),4)</f>
        <v>0.47649999999999998</v>
      </c>
      <c r="S121" s="34">
        <v>306</v>
      </c>
    </row>
    <row r="122" spans="1:19" ht="16.5" customHeight="1">
      <c r="A122" s="12" t="e">
        <f>'Công trình'!#REF!</f>
        <v>#REF!</v>
      </c>
      <c r="B122" s="13" t="e">
        <f>'Công trình'!#REF!</f>
        <v>#REF!</v>
      </c>
      <c r="C122" s="14" t="e">
        <f>'Công trình'!#REF!</f>
        <v>#REF!</v>
      </c>
      <c r="D122" s="13" t="e">
        <f>'Công trình'!#REF!</f>
        <v>#REF!</v>
      </c>
      <c r="E122" s="89" t="e">
        <f>ROUND('Công trình'!#REF!,4)</f>
        <v>#REF!</v>
      </c>
      <c r="F122" s="80"/>
      <c r="G122" s="80"/>
      <c r="H122" s="80"/>
      <c r="I122" s="81"/>
      <c r="J122" s="89"/>
      <c r="K122" s="89"/>
      <c r="L122" s="89"/>
    </row>
    <row r="123" spans="1:19" ht="16.5" customHeight="1">
      <c r="A123" s="12"/>
      <c r="B123" s="13"/>
      <c r="C123" s="90" t="s">
        <v>678</v>
      </c>
      <c r="D123" s="91"/>
      <c r="E123" s="92"/>
      <c r="F123" s="93"/>
      <c r="G123" s="93"/>
      <c r="H123" s="93"/>
      <c r="I123" s="94"/>
      <c r="J123" s="92"/>
      <c r="K123" s="92"/>
      <c r="L123" s="92"/>
    </row>
    <row r="124" spans="1:19" ht="16.5" customHeight="1">
      <c r="A124" s="12"/>
      <c r="B124" s="13" t="str">
        <f>'Giá tháng'!B48</f>
        <v>N1.30</v>
      </c>
      <c r="C124" s="14" t="str">
        <f>'Giá tháng'!C48</f>
        <v>Nhân công 3,0/7 - Nhóm 1</v>
      </c>
      <c r="D124" s="13" t="str">
        <f>'Giá tháng'!D48</f>
        <v>công</v>
      </c>
      <c r="E124" s="89"/>
      <c r="F124" s="80"/>
      <c r="G124" s="80">
        <v>0.77</v>
      </c>
      <c r="H124" s="80"/>
      <c r="I124" s="81">
        <f>'Giá tháng'!G48</f>
        <v>1</v>
      </c>
      <c r="J124" s="89"/>
      <c r="K124" s="89" t="e">
        <f>ROUND(IF(E$116=0,E122*G124*I124,E$116*E122*G124*I124),4)</f>
        <v>#REF!</v>
      </c>
      <c r="L124" s="89"/>
      <c r="S124" s="34">
        <v>202</v>
      </c>
    </row>
    <row r="125" spans="1:19" ht="16.5" customHeight="1">
      <c r="A125" s="12">
        <f>'Công trình'!A48</f>
        <v>2</v>
      </c>
      <c r="B125" s="13" t="str">
        <f>'Công trình'!E48</f>
        <v>AB.64123</v>
      </c>
      <c r="C125" s="14" t="str">
        <f>'Công trình'!F48</f>
        <v>Đất đắp thân ga (tận dụng)</v>
      </c>
      <c r="D125" s="13" t="str">
        <f>'Công trình'!G48</f>
        <v>100m3</v>
      </c>
      <c r="E125" s="89">
        <f>ROUND('Công trình'!P48,4)</f>
        <v>3.8399999999999997E-2</v>
      </c>
      <c r="F125" s="80"/>
      <c r="G125" s="80"/>
      <c r="H125" s="80"/>
      <c r="I125" s="81"/>
      <c r="J125" s="89"/>
      <c r="K125" s="89"/>
      <c r="L125" s="89"/>
    </row>
    <row r="126" spans="1:19" ht="16.5" customHeight="1">
      <c r="A126" s="12"/>
      <c r="B126" s="13"/>
      <c r="C126" s="90" t="s">
        <v>678</v>
      </c>
      <c r="D126" s="91"/>
      <c r="E126" s="92"/>
      <c r="F126" s="93"/>
      <c r="G126" s="93"/>
      <c r="H126" s="93"/>
      <c r="I126" s="94"/>
      <c r="J126" s="92"/>
      <c r="K126" s="92"/>
      <c r="L126" s="92"/>
    </row>
    <row r="127" spans="1:19" ht="16.5" customHeight="1">
      <c r="A127" s="12"/>
      <c r="B127" s="13" t="str">
        <f>'Giá tháng'!B48</f>
        <v>N1.30</v>
      </c>
      <c r="C127" s="14" t="str">
        <f>'Giá tháng'!C48</f>
        <v>Nhân công 3,0/7 - Nhóm 1</v>
      </c>
      <c r="D127" s="13" t="str">
        <f>'Giá tháng'!D48</f>
        <v>công</v>
      </c>
      <c r="E127" s="89"/>
      <c r="F127" s="80"/>
      <c r="G127" s="80">
        <v>1.45</v>
      </c>
      <c r="H127" s="80"/>
      <c r="I127" s="81">
        <f>'Giá tháng'!G48</f>
        <v>1</v>
      </c>
      <c r="J127" s="89"/>
      <c r="K127" s="89">
        <f>ROUND(IF(E$116=0,E125*G127*I127,E$116*E125*G127*I127),4)</f>
        <v>5.57E-2</v>
      </c>
      <c r="L127" s="89"/>
      <c r="S127" s="34">
        <v>202</v>
      </c>
    </row>
    <row r="128" spans="1:19" ht="16.5" customHeight="1">
      <c r="A128" s="12"/>
      <c r="B128" s="13"/>
      <c r="C128" s="90" t="s">
        <v>679</v>
      </c>
      <c r="D128" s="91"/>
      <c r="E128" s="92"/>
      <c r="F128" s="93"/>
      <c r="G128" s="93"/>
      <c r="H128" s="93"/>
      <c r="I128" s="94"/>
      <c r="J128" s="92"/>
      <c r="K128" s="92"/>
      <c r="L128" s="92"/>
    </row>
    <row r="129" spans="1:19" ht="28.5" customHeight="1">
      <c r="A129" s="12"/>
      <c r="B129" s="13" t="str">
        <f>'Giá tháng'!B68</f>
        <v>M101.1105</v>
      </c>
      <c r="C129" s="14" t="str">
        <f>'Giá tháng'!C68</f>
        <v>Máy lu bánh thép tự hành - trọng lượng tĩnh : 16 T</v>
      </c>
      <c r="D129" s="13" t="str">
        <f>'Giá tháng'!D68</f>
        <v>ca</v>
      </c>
      <c r="E129" s="89"/>
      <c r="F129" s="80"/>
      <c r="G129" s="80"/>
      <c r="H129" s="80">
        <v>0.33500000000000002</v>
      </c>
      <c r="I129" s="81">
        <f>'Giá tháng'!G68</f>
        <v>1</v>
      </c>
      <c r="J129" s="89"/>
      <c r="K129" s="89"/>
      <c r="L129" s="89">
        <f>ROUND(IF(E$116=0,E125*H129*I129,E$116*E125*H129*I129),4)</f>
        <v>1.29E-2</v>
      </c>
      <c r="S129" s="34">
        <v>3014</v>
      </c>
    </row>
    <row r="130" spans="1:19" ht="16.5" customHeight="1">
      <c r="A130" s="12"/>
      <c r="B130" s="13" t="str">
        <f>'Giá tháng'!B76</f>
        <v>M101.0503</v>
      </c>
      <c r="C130" s="14" t="str">
        <f>'Giá tháng'!C76</f>
        <v>Máy ủi - công suất : 110,0 CV</v>
      </c>
      <c r="D130" s="13" t="str">
        <f>'Giá tháng'!D76</f>
        <v>ca</v>
      </c>
      <c r="E130" s="89"/>
      <c r="F130" s="80"/>
      <c r="G130" s="80"/>
      <c r="H130" s="80">
        <v>0.16700000000000001</v>
      </c>
      <c r="I130" s="81">
        <f>'Giá tháng'!G76</f>
        <v>1</v>
      </c>
      <c r="J130" s="89"/>
      <c r="K130" s="89"/>
      <c r="L130" s="89">
        <f>ROUND(IF(E$116=0,E125*H130*I130,E$116*E125*H130*I130),4)</f>
        <v>6.4000000000000003E-3</v>
      </c>
      <c r="S130" s="34">
        <v>3022</v>
      </c>
    </row>
    <row r="131" spans="1:19" ht="16.5" customHeight="1">
      <c r="A131" s="12"/>
      <c r="B131" s="13" t="s">
        <v>680</v>
      </c>
      <c r="C131" s="14" t="s">
        <v>681</v>
      </c>
      <c r="D131" s="13" t="s">
        <v>682</v>
      </c>
      <c r="E131" s="89"/>
      <c r="F131" s="80"/>
      <c r="G131" s="80"/>
      <c r="H131" s="80">
        <v>1.5</v>
      </c>
      <c r="I131" s="81"/>
      <c r="J131" s="89"/>
      <c r="K131" s="89"/>
      <c r="L131" s="89"/>
      <c r="N131" s="34">
        <f>ROUND(IF(E$116=0,E125*H131*(H129*'Giá tháng'!E68*'Giá tháng'!G68+H130*'Giá tháng'!E76*'Giá tháng'!G76)/100,E$116*E125*H131*(H129*'Giá tháng'!E68*'Giá tháng'!G68+H130*'Giá tháng'!E76*'Giá tháng'!G76)/100),1)</f>
        <v>509.5</v>
      </c>
      <c r="P131" s="34">
        <f>ROUND(IF(E$116=0,E125*H131*(H129*'Giá tháng'!F68*'Giá tháng'!G68+H130*'Giá tháng'!F76*'Giá tháng'!G76)/100,E$116*E125*H131*(H129*'Giá tháng'!F68*'Giá tháng'!G68+H130*'Giá tháng'!F76*'Giá tháng'!G76)/100),1)</f>
        <v>513.1</v>
      </c>
    </row>
    <row r="132" spans="1:19" ht="41.25" customHeight="1">
      <c r="A132" s="12">
        <f>'Công trình'!A50</f>
        <v>3</v>
      </c>
      <c r="B132" s="13" t="str">
        <f>'Công trình'!E50</f>
        <v>AB.41412</v>
      </c>
      <c r="C132" s="14" t="str">
        <f>'Công trình'!F50</f>
        <v>Vận chuyển đất bằng ôtô tự đổ 5 tấn trong phạm vi &lt;= 1000m, đất cấp II</v>
      </c>
      <c r="D132" s="13" t="str">
        <f>'Công trình'!G50</f>
        <v>100m3</v>
      </c>
      <c r="E132" s="89">
        <f>ROUND('Công trình'!P50,4)</f>
        <v>8.9700000000000002E-2</v>
      </c>
      <c r="F132" s="80"/>
      <c r="G132" s="80"/>
      <c r="H132" s="80"/>
      <c r="I132" s="81"/>
      <c r="J132" s="89"/>
      <c r="K132" s="89"/>
      <c r="L132" s="89"/>
    </row>
    <row r="133" spans="1:19" ht="16.5" customHeight="1">
      <c r="A133" s="12"/>
      <c r="B133" s="13"/>
      <c r="C133" s="90" t="s">
        <v>679</v>
      </c>
      <c r="D133" s="91"/>
      <c r="E133" s="92"/>
      <c r="F133" s="93"/>
      <c r="G133" s="93"/>
      <c r="H133" s="93"/>
      <c r="I133" s="94"/>
      <c r="J133" s="92"/>
      <c r="K133" s="92"/>
      <c r="L133" s="92"/>
    </row>
    <row r="134" spans="1:19" ht="16.5" customHeight="1">
      <c r="A134" s="12"/>
      <c r="B134" s="13" t="str">
        <f>'Giá tháng'!B78</f>
        <v>M106.0202</v>
      </c>
      <c r="C134" s="14" t="str">
        <f>'Giá tháng'!C78</f>
        <v>Ô tô tự đổ - trọng tải : 5,0 T</v>
      </c>
      <c r="D134" s="13" t="str">
        <f>'Giá tháng'!D78</f>
        <v>ca</v>
      </c>
      <c r="E134" s="89"/>
      <c r="F134" s="80"/>
      <c r="G134" s="80"/>
      <c r="H134" s="80">
        <v>1.329</v>
      </c>
      <c r="I134" s="81">
        <f>'Giá tháng'!G78</f>
        <v>1</v>
      </c>
      <c r="J134" s="89"/>
      <c r="K134" s="89"/>
      <c r="L134" s="89">
        <f>ROUND(IF(E$116=0,E132*H134*I134,E$116*E132*H134*I134),4)</f>
        <v>0.1192</v>
      </c>
      <c r="S134" s="34">
        <v>3024</v>
      </c>
    </row>
    <row r="135" spans="1:19" ht="41.25" customHeight="1">
      <c r="A135" s="12">
        <f>'Công trình'!A52</f>
        <v>20</v>
      </c>
      <c r="B135" s="13" t="str">
        <f>'Công trình'!E52</f>
        <v>AB.42212</v>
      </c>
      <c r="C135" s="14" t="str">
        <f>'Công trình'!F52</f>
        <v>Vận chuyển đất bằng ô tô tự đổ 5T 1km tiếp theo ngoài phạm vi 5km, đất cấp II</v>
      </c>
      <c r="D135" s="13" t="str">
        <f>'Công trình'!G52</f>
        <v>100m3</v>
      </c>
      <c r="E135" s="89">
        <f>ROUND('Công trình'!P52,4)</f>
        <v>8.9700000000000002E-2</v>
      </c>
      <c r="F135" s="80"/>
      <c r="G135" s="80"/>
      <c r="H135" s="80"/>
      <c r="I135" s="81"/>
      <c r="J135" s="89"/>
      <c r="K135" s="89"/>
      <c r="L135" s="89"/>
    </row>
    <row r="136" spans="1:19" ht="16.5" customHeight="1">
      <c r="A136" s="12"/>
      <c r="B136" s="13"/>
      <c r="C136" s="90" t="s">
        <v>679</v>
      </c>
      <c r="D136" s="91"/>
      <c r="E136" s="92"/>
      <c r="F136" s="93"/>
      <c r="G136" s="93"/>
      <c r="H136" s="93"/>
      <c r="I136" s="94"/>
      <c r="J136" s="92"/>
      <c r="K136" s="92"/>
      <c r="L136" s="92"/>
    </row>
    <row r="137" spans="1:19" ht="16.5" customHeight="1">
      <c r="A137" s="12"/>
      <c r="B137" s="13" t="str">
        <f>'Giá tháng'!B79</f>
        <v>M106.0202</v>
      </c>
      <c r="C137" s="14" t="str">
        <f>'Giá tháng'!C79</f>
        <v>Ô tô tự đổ - trọng tải : 5,0 T</v>
      </c>
      <c r="D137" s="13" t="str">
        <f>'Giá tháng'!D79</f>
        <v>ca</v>
      </c>
      <c r="E137" s="89"/>
      <c r="F137" s="80"/>
      <c r="G137" s="80"/>
      <c r="H137" s="80">
        <v>0.51</v>
      </c>
      <c r="I137" s="81">
        <f>'Giá tháng'!G79</f>
        <v>4</v>
      </c>
      <c r="J137" s="89"/>
      <c r="K137" s="89"/>
      <c r="L137" s="89">
        <f>ROUND(IF(E$116=0,E135*H137*I137,E$116*E135*H137*I137),4)</f>
        <v>0.183</v>
      </c>
      <c r="S137" s="34">
        <v>3024</v>
      </c>
    </row>
    <row r="138" spans="1:19" ht="28.5" customHeight="1">
      <c r="A138" s="12">
        <f>'Công trình'!A54</f>
        <v>4</v>
      </c>
      <c r="B138" s="13" t="str">
        <f>'Công trình'!E54</f>
        <v>AK.98110</v>
      </c>
      <c r="C138" s="14" t="str">
        <f>'Công trình'!F54</f>
        <v>Đá dăm lót móng, đá 2x4, dày 10cm</v>
      </c>
      <c r="D138" s="13" t="str">
        <f>'Công trình'!G54</f>
        <v>m3</v>
      </c>
      <c r="E138" s="89">
        <f>ROUND('Công trình'!P54,4)</f>
        <v>3.29</v>
      </c>
      <c r="F138" s="80"/>
      <c r="G138" s="80"/>
      <c r="H138" s="80"/>
      <c r="I138" s="81"/>
      <c r="J138" s="89"/>
      <c r="K138" s="89"/>
      <c r="L138" s="89"/>
    </row>
    <row r="139" spans="1:19" ht="16.5" customHeight="1">
      <c r="A139" s="12"/>
      <c r="B139" s="13"/>
      <c r="C139" s="90" t="s">
        <v>683</v>
      </c>
      <c r="D139" s="91"/>
      <c r="E139" s="92"/>
      <c r="F139" s="93"/>
      <c r="G139" s="93"/>
      <c r="H139" s="93"/>
      <c r="I139" s="94"/>
      <c r="J139" s="92"/>
      <c r="K139" s="92"/>
      <c r="L139" s="92"/>
    </row>
    <row r="140" spans="1:19" ht="16.5" customHeight="1">
      <c r="A140" s="12"/>
      <c r="B140" s="13" t="str">
        <f>'Giá tháng'!B17</f>
        <v>A24.0025</v>
      </c>
      <c r="C140" s="14" t="str">
        <f>'Giá tháng'!C17</f>
        <v>Đá dăm 2x4 lót móng</v>
      </c>
      <c r="D140" s="13" t="str">
        <f>'Giá tháng'!D17</f>
        <v>m3</v>
      </c>
      <c r="E140" s="89"/>
      <c r="F140" s="80">
        <v>1.2</v>
      </c>
      <c r="G140" s="80"/>
      <c r="H140" s="80"/>
      <c r="I140" s="81">
        <f>'Giá tháng'!G17</f>
        <v>1</v>
      </c>
      <c r="J140" s="89">
        <f>ROUND(IF(E$116=0,E138*F140*I140,E$116*E138*F140*I140),4)</f>
        <v>3.948</v>
      </c>
      <c r="K140" s="89"/>
      <c r="L140" s="89"/>
      <c r="S140" s="34">
        <v>1016</v>
      </c>
    </row>
    <row r="141" spans="1:19" ht="16.5" customHeight="1">
      <c r="A141" s="12"/>
      <c r="B141" s="13" t="str">
        <f>'Giá tháng'!B7</f>
        <v>A24.1042</v>
      </c>
      <c r="C141" s="14" t="str">
        <f>'Giá tháng'!C7</f>
        <v>Cát</v>
      </c>
      <c r="D141" s="13" t="str">
        <f>'Giá tháng'!D7</f>
        <v>m3</v>
      </c>
      <c r="E141" s="89"/>
      <c r="F141" s="80">
        <v>0.3</v>
      </c>
      <c r="G141" s="80"/>
      <c r="H141" s="80"/>
      <c r="I141" s="81">
        <f>'Giá tháng'!G7</f>
        <v>1</v>
      </c>
      <c r="J141" s="89">
        <f>ROUND(IF(E$116=0,E138*F141*I141,E$116*E138*F141*I141),4)</f>
        <v>0.98699999999999999</v>
      </c>
      <c r="K141" s="89"/>
      <c r="L141" s="89"/>
      <c r="S141" s="34">
        <v>106</v>
      </c>
    </row>
    <row r="142" spans="1:19" ht="16.5" customHeight="1">
      <c r="A142" s="12"/>
      <c r="B142" s="13"/>
      <c r="C142" s="90" t="s">
        <v>678</v>
      </c>
      <c r="D142" s="91"/>
      <c r="E142" s="92"/>
      <c r="F142" s="93"/>
      <c r="G142" s="93"/>
      <c r="H142" s="93"/>
      <c r="I142" s="94"/>
      <c r="J142" s="92"/>
      <c r="K142" s="92"/>
      <c r="L142" s="92"/>
    </row>
    <row r="143" spans="1:19" ht="16.5" customHeight="1">
      <c r="A143" s="12"/>
      <c r="B143" s="13" t="str">
        <f>'Giá tháng'!B53</f>
        <v>N2.40</v>
      </c>
      <c r="C143" s="14" t="str">
        <f>'Giá tháng'!C53</f>
        <v>Nhân công 4,0/7 - Nhóm 2</v>
      </c>
      <c r="D143" s="13" t="str">
        <f>'Giá tháng'!D53</f>
        <v>công</v>
      </c>
      <c r="E143" s="89"/>
      <c r="F143" s="80"/>
      <c r="G143" s="80">
        <v>1.48</v>
      </c>
      <c r="H143" s="80"/>
      <c r="I143" s="81">
        <f>'Giá tháng'!G53</f>
        <v>1</v>
      </c>
      <c r="J143" s="89"/>
      <c r="K143" s="89">
        <f>ROUND(IF(E$116=0,E138*G143*I143,E$116*E138*G143*I143),4)</f>
        <v>4.8692000000000002</v>
      </c>
      <c r="L143" s="89"/>
      <c r="S143" s="34">
        <v>206</v>
      </c>
    </row>
    <row r="144" spans="1:19" ht="16.5" customHeight="1">
      <c r="A144" s="12">
        <f>'Công trình'!A56</f>
        <v>5</v>
      </c>
      <c r="B144" s="13" t="str">
        <f>'Công trình'!E56</f>
        <v>AF.81122</v>
      </c>
      <c r="C144" s="14" t="str">
        <f>'Công trình'!F56</f>
        <v>Ván khuôn gỗ. Ván khuôn móng ga</v>
      </c>
      <c r="D144" s="13" t="str">
        <f>'Công trình'!G56</f>
        <v>100m2</v>
      </c>
      <c r="E144" s="89">
        <f>ROUND('Công trình'!P56,4)</f>
        <v>0.17760000000000001</v>
      </c>
      <c r="F144" s="80"/>
      <c r="G144" s="80"/>
      <c r="H144" s="80"/>
      <c r="I144" s="81"/>
      <c r="J144" s="89"/>
      <c r="K144" s="89"/>
      <c r="L144" s="89"/>
    </row>
    <row r="145" spans="1:19" ht="16.5" customHeight="1">
      <c r="A145" s="12"/>
      <c r="B145" s="13"/>
      <c r="C145" s="90" t="s">
        <v>683</v>
      </c>
      <c r="D145" s="91"/>
      <c r="E145" s="92"/>
      <c r="F145" s="93"/>
      <c r="G145" s="93"/>
      <c r="H145" s="93"/>
      <c r="I145" s="94"/>
      <c r="J145" s="92"/>
      <c r="K145" s="92"/>
      <c r="L145" s="92"/>
    </row>
    <row r="146" spans="1:19" ht="16.5" customHeight="1">
      <c r="A146" s="12"/>
      <c r="B146" s="13" t="str">
        <f>'Giá tháng'!B23</f>
        <v>A24.0418</v>
      </c>
      <c r="C146" s="14" t="str">
        <f>'Giá tháng'!C23</f>
        <v>Gỗ ván</v>
      </c>
      <c r="D146" s="13" t="str">
        <f>'Giá tháng'!D23</f>
        <v>m3</v>
      </c>
      <c r="E146" s="89"/>
      <c r="F146" s="80">
        <v>0.79400000000000004</v>
      </c>
      <c r="G146" s="80"/>
      <c r="H146" s="80"/>
      <c r="I146" s="81">
        <f>'Giá tháng'!G23</f>
        <v>1</v>
      </c>
      <c r="J146" s="89">
        <f>ROUND(IF(E$116=0,E144*F146*I146,E$116*E144*F146*I146),4)</f>
        <v>0.14099999999999999</v>
      </c>
      <c r="K146" s="89"/>
      <c r="L146" s="89"/>
      <c r="Q146" s="34">
        <f>'Cước VC'!AU23</f>
        <v>0</v>
      </c>
      <c r="R146" s="34">
        <f>'Cước bộ'!W23</f>
        <v>0</v>
      </c>
      <c r="S146" s="34">
        <v>1022</v>
      </c>
    </row>
    <row r="147" spans="1:19" ht="16.5" customHeight="1">
      <c r="A147" s="12"/>
      <c r="B147" s="13" t="str">
        <f>'Giá tháng'!B22</f>
        <v>A24.0404</v>
      </c>
      <c r="C147" s="14" t="str">
        <f>'Giá tháng'!C22</f>
        <v>Gỗ đà nẹp</v>
      </c>
      <c r="D147" s="13" t="str">
        <f>'Giá tháng'!D22</f>
        <v>m3</v>
      </c>
      <c r="E147" s="89"/>
      <c r="F147" s="80">
        <v>0.21</v>
      </c>
      <c r="G147" s="80"/>
      <c r="H147" s="80"/>
      <c r="I147" s="81">
        <f>'Giá tháng'!G22</f>
        <v>1</v>
      </c>
      <c r="J147" s="89">
        <f>ROUND(IF(E$116=0,E144*F147*I147,E$116*E144*F147*I147),4)</f>
        <v>3.73E-2</v>
      </c>
      <c r="K147" s="89"/>
      <c r="L147" s="89"/>
      <c r="Q147" s="34">
        <f>'Cước VC'!AU22</f>
        <v>0</v>
      </c>
      <c r="R147" s="34">
        <f>'Cước bộ'!W22</f>
        <v>0</v>
      </c>
      <c r="S147" s="34">
        <v>1021</v>
      </c>
    </row>
    <row r="148" spans="1:19" ht="16.5" customHeight="1">
      <c r="A148" s="12"/>
      <c r="B148" s="13" t="str">
        <f>'Giá tháng'!B21</f>
        <v>A24.0406</v>
      </c>
      <c r="C148" s="14" t="str">
        <f>'Giá tháng'!C21</f>
        <v>Gỗ chống</v>
      </c>
      <c r="D148" s="13" t="str">
        <f>'Giá tháng'!D21</f>
        <v>m3</v>
      </c>
      <c r="E148" s="89"/>
      <c r="F148" s="80">
        <v>0.33500000000000002</v>
      </c>
      <c r="G148" s="80"/>
      <c r="H148" s="80"/>
      <c r="I148" s="81">
        <f>'Giá tháng'!G21</f>
        <v>1</v>
      </c>
      <c r="J148" s="89">
        <f>ROUND(IF(E$116=0,E144*F148*I148,E$116*E144*F148*I148),4)</f>
        <v>5.9499999999999997E-2</v>
      </c>
      <c r="K148" s="89"/>
      <c r="L148" s="89"/>
      <c r="Q148" s="34">
        <f>'Cước VC'!AU21</f>
        <v>0</v>
      </c>
      <c r="R148" s="34">
        <f>'Cước bộ'!W21</f>
        <v>0</v>
      </c>
      <c r="S148" s="34">
        <v>1020</v>
      </c>
    </row>
    <row r="149" spans="1:19" ht="16.5" customHeight="1">
      <c r="A149" s="12"/>
      <c r="B149" s="13" t="str">
        <f>'Giá tháng'!B19</f>
        <v>A24.0054</v>
      </c>
      <c r="C149" s="14" t="str">
        <f>'Giá tháng'!C19</f>
        <v>Đinh</v>
      </c>
      <c r="D149" s="13" t="str">
        <f>'Giá tháng'!D19</f>
        <v>kg</v>
      </c>
      <c r="E149" s="89"/>
      <c r="F149" s="80">
        <v>15</v>
      </c>
      <c r="G149" s="80"/>
      <c r="H149" s="80"/>
      <c r="I149" s="81">
        <f>'Giá tháng'!G19</f>
        <v>1</v>
      </c>
      <c r="J149" s="89">
        <f>ROUND(IF(E$116=0,E144*F149*I149,E$116*E144*F149*I149),4)</f>
        <v>2.6640000000000001</v>
      </c>
      <c r="K149" s="89"/>
      <c r="L149" s="89"/>
      <c r="Q149" s="34">
        <f>'Cước VC'!AU19</f>
        <v>0</v>
      </c>
      <c r="R149" s="34">
        <f>'Cước bộ'!W19</f>
        <v>0</v>
      </c>
      <c r="S149" s="34">
        <v>1018</v>
      </c>
    </row>
    <row r="150" spans="1:19" ht="16.5" customHeight="1">
      <c r="A150" s="12"/>
      <c r="B150" s="13" t="s">
        <v>684</v>
      </c>
      <c r="C150" s="14" t="s">
        <v>685</v>
      </c>
      <c r="D150" s="13" t="s">
        <v>682</v>
      </c>
      <c r="E150" s="89"/>
      <c r="F150" s="80">
        <v>1</v>
      </c>
      <c r="G150" s="80"/>
      <c r="H150" s="80"/>
      <c r="I150" s="81"/>
      <c r="J150" s="89"/>
      <c r="K150" s="89"/>
      <c r="L150" s="89"/>
      <c r="M150" s="34">
        <f>ROUND(IF(E$116=0,E144*F150*(F146*'Giá tháng'!E23*'Giá tháng'!G23+F147*'Giá tháng'!E22*'Giá tháng'!G22+F148*'Giá tháng'!E21*'Giá tháng'!G21+F149*'Giá tháng'!E19*'Giá tháng'!G19)/100,E$116*E144*F150*(F146*'Giá tháng'!E23*'Giá tháng'!G23+F147*'Giá tháng'!E22*'Giá tháng'!G22+F148*'Giá tháng'!E21*'Giá tháng'!G21+F149*'Giá tháng'!E19*'Giá tháng'!G19)/100),1)</f>
        <v>8719.7999999999993</v>
      </c>
      <c r="O150" s="34">
        <f>ROUND(IF(E$116=0,E144*F150*(F146*('Giá tháng'!F23+Q146+R146)*'Giá tháng'!G23+F147*('Giá tháng'!F22+Q147+R147)*'Giá tháng'!G22+F148*('Giá tháng'!F21+Q148+R148)*'Giá tháng'!G21+F149*('Giá tháng'!F19+Q149+R149)*'Giá tháng'!G19)/100,E$116*E144*F150*(F146*('Giá tháng'!F23+Q146+R146)*'Giá tháng'!G23+F147*('Giá tháng'!F22+Q147+R147)*'Giá tháng'!G22+F148*('Giá tháng'!F21+Q148+R148)*'Giá tháng'!G21+F149*('Giá tháng'!F19+Q149+R149)*'Giá tháng'!G19)/100),1)</f>
        <v>10881.6</v>
      </c>
    </row>
    <row r="151" spans="1:19" ht="16.5" customHeight="1">
      <c r="A151" s="12"/>
      <c r="B151" s="13"/>
      <c r="C151" s="90" t="s">
        <v>678</v>
      </c>
      <c r="D151" s="91"/>
      <c r="E151" s="92"/>
      <c r="F151" s="93"/>
      <c r="G151" s="93"/>
      <c r="H151" s="93"/>
      <c r="I151" s="94"/>
      <c r="J151" s="92"/>
      <c r="K151" s="92"/>
      <c r="L151" s="92"/>
    </row>
    <row r="152" spans="1:19" ht="16.5" customHeight="1">
      <c r="A152" s="12"/>
      <c r="B152" s="13" t="str">
        <f>'Giá tháng'!B51</f>
        <v>N2.35</v>
      </c>
      <c r="C152" s="14" t="str">
        <f>'Giá tháng'!C51</f>
        <v>Nhân công 3,5/7 - Nhóm 2</v>
      </c>
      <c r="D152" s="13" t="str">
        <f>'Giá tháng'!D51</f>
        <v>công</v>
      </c>
      <c r="E152" s="89"/>
      <c r="F152" s="80"/>
      <c r="G152" s="80">
        <v>29.7</v>
      </c>
      <c r="H152" s="80"/>
      <c r="I152" s="81">
        <f>'Giá tháng'!G51</f>
        <v>1</v>
      </c>
      <c r="J152" s="89"/>
      <c r="K152" s="89">
        <f>ROUND(IF(E$116=0,E144*G152*I152,E$116*E144*G152*I152),4)</f>
        <v>5.2747000000000002</v>
      </c>
      <c r="L152" s="89"/>
      <c r="S152" s="34">
        <v>205</v>
      </c>
    </row>
    <row r="153" spans="1:19" ht="28.5" customHeight="1">
      <c r="A153" s="12">
        <f>'Công trình'!A58</f>
        <v>6</v>
      </c>
      <c r="B153" s="13" t="str">
        <f>'Công trình'!E58</f>
        <v>AF.11213A</v>
      </c>
      <c r="C153" s="14" t="str">
        <f>'Công trình'!F58</f>
        <v>Đổ bê tông móng ga, đá 1x2, mác 200</v>
      </c>
      <c r="D153" s="13" t="str">
        <f>'Công trình'!G58</f>
        <v>m3</v>
      </c>
      <c r="E153" s="89">
        <f>ROUND('Công trình'!P58,4)</f>
        <v>6.57</v>
      </c>
      <c r="F153" s="80"/>
      <c r="G153" s="80"/>
      <c r="H153" s="80"/>
      <c r="I153" s="81"/>
      <c r="J153" s="89"/>
      <c r="K153" s="89"/>
      <c r="L153" s="89"/>
    </row>
    <row r="154" spans="1:19" ht="16.5" customHeight="1">
      <c r="A154" s="12"/>
      <c r="B154" s="13"/>
      <c r="C154" s="90" t="s">
        <v>683</v>
      </c>
      <c r="D154" s="91"/>
      <c r="E154" s="92"/>
      <c r="F154" s="93"/>
      <c r="G154" s="93"/>
      <c r="H154" s="93"/>
      <c r="I154" s="94"/>
      <c r="J154" s="92"/>
      <c r="K154" s="92"/>
      <c r="L154" s="92"/>
    </row>
    <row r="155" spans="1:19" ht="16.5" customHeight="1">
      <c r="A155" s="12"/>
      <c r="B155" s="13" t="str">
        <f>'Giá tháng'!B45</f>
        <v>A24.0797A</v>
      </c>
      <c r="C155" s="14" t="str">
        <f>'Giá tháng'!C45</f>
        <v>Xi măng PCB30</v>
      </c>
      <c r="D155" s="13" t="str">
        <f>'Giá tháng'!D45</f>
        <v>kg</v>
      </c>
      <c r="E155" s="89"/>
      <c r="F155" s="80">
        <v>321.85000000000002</v>
      </c>
      <c r="G155" s="80"/>
      <c r="H155" s="80"/>
      <c r="I155" s="81">
        <f>'Giá tháng'!G45</f>
        <v>1</v>
      </c>
      <c r="J155" s="89">
        <f>ROUND(IF(E$116=0,E153*F155*I155,E$116*E153*F155*I155),4)</f>
        <v>2114.5545000000002</v>
      </c>
      <c r="K155" s="89"/>
      <c r="L155" s="89"/>
      <c r="Q155" s="34">
        <f>'Cước VC'!AU43</f>
        <v>0</v>
      </c>
      <c r="R155" s="34">
        <f>'Cước bộ'!W43</f>
        <v>0</v>
      </c>
      <c r="S155" s="34">
        <v>1043</v>
      </c>
    </row>
    <row r="156" spans="1:19" ht="16.5" customHeight="1">
      <c r="A156" s="12"/>
      <c r="B156" s="13" t="str">
        <f>'Giá tháng'!B10</f>
        <v>A24.0180</v>
      </c>
      <c r="C156" s="14" t="str">
        <f>'Giá tháng'!C10</f>
        <v>Cát vàng</v>
      </c>
      <c r="D156" s="13" t="str">
        <f>'Giá tháng'!D10</f>
        <v>m3</v>
      </c>
      <c r="E156" s="89"/>
      <c r="F156" s="80">
        <v>0.52890000000000004</v>
      </c>
      <c r="G156" s="80"/>
      <c r="H156" s="80"/>
      <c r="I156" s="81">
        <f>'Giá tháng'!G10</f>
        <v>1</v>
      </c>
      <c r="J156" s="89">
        <f>ROUND(IF(E$116=0,E153*F156*I156,E$116*E153*F156*I156),4)</f>
        <v>3.4748999999999999</v>
      </c>
      <c r="K156" s="89"/>
      <c r="L156" s="89"/>
      <c r="Q156" s="34">
        <f>'Cước VC'!AU10</f>
        <v>0</v>
      </c>
      <c r="R156" s="34">
        <f>'Cước bộ'!W10</f>
        <v>0</v>
      </c>
      <c r="S156" s="34">
        <v>109</v>
      </c>
    </row>
    <row r="157" spans="1:19" ht="16.5" customHeight="1">
      <c r="A157" s="12"/>
      <c r="B157" s="13" t="str">
        <f>'Giá tháng'!B15</f>
        <v>A24.0008</v>
      </c>
      <c r="C157" s="14" t="str">
        <f>'Giá tháng'!C15</f>
        <v>Đá 1x2</v>
      </c>
      <c r="D157" s="13" t="str">
        <f>'Giá tháng'!D15</f>
        <v>m3</v>
      </c>
      <c r="E157" s="89"/>
      <c r="F157" s="80">
        <v>0.87124999999999997</v>
      </c>
      <c r="G157" s="80"/>
      <c r="H157" s="80"/>
      <c r="I157" s="81">
        <f>'Giá tháng'!G15</f>
        <v>1</v>
      </c>
      <c r="J157" s="89">
        <f>ROUND(IF(E$116=0,E153*F157*I157,E$116*E153*F157*I157),4)</f>
        <v>5.7241</v>
      </c>
      <c r="K157" s="89"/>
      <c r="L157" s="89"/>
      <c r="Q157" s="34">
        <f>'Cước VC'!AU15</f>
        <v>0</v>
      </c>
      <c r="R157" s="34">
        <f>'Cước bộ'!W15</f>
        <v>0</v>
      </c>
      <c r="S157" s="34">
        <v>1014</v>
      </c>
    </row>
    <row r="158" spans="1:19" ht="16.5" customHeight="1">
      <c r="A158" s="12"/>
      <c r="B158" s="13" t="str">
        <f>'Giá tháng'!B32</f>
        <v>A24.0524</v>
      </c>
      <c r="C158" s="14" t="str">
        <f>'Giá tháng'!C32</f>
        <v>Nước</v>
      </c>
      <c r="D158" s="13" t="str">
        <f>'Giá tháng'!D32</f>
        <v>lít</v>
      </c>
      <c r="E158" s="89"/>
      <c r="F158" s="80">
        <v>187.57499999999999</v>
      </c>
      <c r="G158" s="80"/>
      <c r="H158" s="80"/>
      <c r="I158" s="81">
        <f>'Giá tháng'!G32</f>
        <v>1</v>
      </c>
      <c r="J158" s="89">
        <f>ROUND(IF(E$116=0,E153*F158*I158,E$116*E153*F158*I158),4)</f>
        <v>1232.3678</v>
      </c>
      <c r="K158" s="89"/>
      <c r="L158" s="89"/>
      <c r="Q158" s="34">
        <f>'Cước VC'!AU31</f>
        <v>0</v>
      </c>
      <c r="R158" s="34">
        <f>'Cước bộ'!W31</f>
        <v>0</v>
      </c>
      <c r="S158" s="34">
        <v>1031</v>
      </c>
    </row>
    <row r="159" spans="1:19" ht="16.5" customHeight="1">
      <c r="A159" s="12"/>
      <c r="B159" s="13" t="s">
        <v>684</v>
      </c>
      <c r="C159" s="14" t="s">
        <v>685</v>
      </c>
      <c r="D159" s="13" t="s">
        <v>682</v>
      </c>
      <c r="E159" s="89"/>
      <c r="F159" s="80">
        <v>1</v>
      </c>
      <c r="G159" s="80"/>
      <c r="H159" s="80"/>
      <c r="I159" s="81"/>
      <c r="J159" s="89"/>
      <c r="K159" s="89"/>
      <c r="L159" s="89"/>
      <c r="M159" s="34">
        <f>ROUND(IF(E$116=0,E153*F159*(F155*'Giá tháng'!E45*'Giá tháng'!G45+F156*'Giá tháng'!E10*'Giá tháng'!G10+F157*'Giá tháng'!E15*'Giá tháng'!G15+F158*'Giá tháng'!E32*'Giá tháng'!G32)/100,E$116*E153*F159*(F155*'Giá tháng'!E45*'Giá tháng'!G45+F156*'Giá tháng'!E10*'Giá tháng'!G10+F157*'Giá tháng'!E15*'Giá tháng'!G15+F158*'Giá tháng'!E32*'Giá tháng'!G32)/100),1)</f>
        <v>63282.8</v>
      </c>
      <c r="O159" s="34">
        <f>ROUND(IF(E$116=0,E153*F159*(F155*('Giá tháng'!F45+Q155+R155)*'Giá tháng'!G45+F156*('Giá tháng'!F10+Q156+R156)*'Giá tháng'!G10+F157*('Giá tháng'!F15+Q157+R157)*'Giá tháng'!G15+F158*('Giá tháng'!F32+Q158+R158)*'Giá tháng'!G32)/100,E$116*E153*F159*(F155*('Giá tháng'!F45+Q155+R155)*'Giá tháng'!G45+F156*('Giá tháng'!F10+Q156+R156)*'Giá tháng'!G10+F157*('Giá tháng'!F15+Q157+R157)*'Giá tháng'!G15+F158*('Giá tháng'!F32+Q158+R158)*'Giá tháng'!G32)/100),1)</f>
        <v>67704.399999999994</v>
      </c>
    </row>
    <row r="160" spans="1:19" ht="16.5" customHeight="1">
      <c r="A160" s="12"/>
      <c r="B160" s="13"/>
      <c r="C160" s="90" t="s">
        <v>678</v>
      </c>
      <c r="D160" s="91"/>
      <c r="E160" s="92"/>
      <c r="F160" s="93"/>
      <c r="G160" s="93"/>
      <c r="H160" s="93"/>
      <c r="I160" s="94"/>
      <c r="J160" s="92"/>
      <c r="K160" s="92"/>
      <c r="L160" s="92"/>
    </row>
    <row r="161" spans="1:19" ht="16.5" customHeight="1">
      <c r="A161" s="12"/>
      <c r="B161" s="13" t="str">
        <f>'Giá tháng'!B49</f>
        <v>N2.30</v>
      </c>
      <c r="C161" s="14" t="str">
        <f>'Giá tháng'!C49</f>
        <v>Nhân công 3,0/7 - Nhóm 2</v>
      </c>
      <c r="D161" s="13" t="str">
        <f>'Giá tháng'!D49</f>
        <v>công</v>
      </c>
      <c r="E161" s="89"/>
      <c r="F161" s="80"/>
      <c r="G161" s="80">
        <v>1.23</v>
      </c>
      <c r="H161" s="80"/>
      <c r="I161" s="81">
        <f>'Giá tháng'!G49</f>
        <v>1</v>
      </c>
      <c r="J161" s="89"/>
      <c r="K161" s="89">
        <f>ROUND(IF(E$116=0,E153*G161*I161,E$116*E153*G161*I161),4)</f>
        <v>8.0810999999999993</v>
      </c>
      <c r="L161" s="89"/>
      <c r="S161" s="34">
        <v>203</v>
      </c>
    </row>
    <row r="162" spans="1:19" ht="16.5" customHeight="1">
      <c r="A162" s="12"/>
      <c r="B162" s="13"/>
      <c r="C162" s="90" t="s">
        <v>679</v>
      </c>
      <c r="D162" s="91"/>
      <c r="E162" s="92"/>
      <c r="F162" s="93"/>
      <c r="G162" s="93"/>
      <c r="H162" s="93"/>
      <c r="I162" s="94"/>
      <c r="J162" s="92"/>
      <c r="K162" s="92"/>
      <c r="L162" s="92"/>
    </row>
    <row r="163" spans="1:19" ht="28.5" customHeight="1">
      <c r="A163" s="12"/>
      <c r="B163" s="13" t="str">
        <f>'Giá tháng'!B74</f>
        <v>M104.0102</v>
      </c>
      <c r="C163" s="14" t="str">
        <f>'Giá tháng'!C74</f>
        <v>Máy trộn bê tông - dung tích : 250,0 lít</v>
      </c>
      <c r="D163" s="13" t="str">
        <f>'Giá tháng'!D74</f>
        <v>ca</v>
      </c>
      <c r="E163" s="89"/>
      <c r="F163" s="80"/>
      <c r="G163" s="80"/>
      <c r="H163" s="80">
        <v>9.5000000000000001E-2</v>
      </c>
      <c r="I163" s="81">
        <f>'Giá tháng'!G74</f>
        <v>1</v>
      </c>
      <c r="J163" s="89"/>
      <c r="K163" s="89"/>
      <c r="L163" s="89">
        <f>ROUND(IF(E$116=0,E153*H163*I163,E$116*E153*H163*I163),4)</f>
        <v>0.62419999999999998</v>
      </c>
      <c r="S163" s="34">
        <v>3020</v>
      </c>
    </row>
    <row r="164" spans="1:19" ht="28.5" customHeight="1">
      <c r="A164" s="12"/>
      <c r="B164" s="13" t="str">
        <f>'Giá tháng'!B62</f>
        <v>M112.1301</v>
      </c>
      <c r="C164" s="14" t="str">
        <f>'Giá tháng'!C62</f>
        <v>Máy đầm bê tông, dầm dùi - công suất : 1,5 kW</v>
      </c>
      <c r="D164" s="13" t="str">
        <f>'Giá tháng'!D62</f>
        <v>ca</v>
      </c>
      <c r="E164" s="89"/>
      <c r="F164" s="80"/>
      <c r="G164" s="80"/>
      <c r="H164" s="80">
        <v>8.8999999999999996E-2</v>
      </c>
      <c r="I164" s="81">
        <f>'Giá tháng'!G62</f>
        <v>1</v>
      </c>
      <c r="J164" s="89"/>
      <c r="K164" s="89"/>
      <c r="L164" s="89">
        <f>ROUND(IF(E$116=0,E153*H164*I164,E$116*E153*H164*I164),4)</f>
        <v>0.5847</v>
      </c>
      <c r="S164" s="34">
        <v>308</v>
      </c>
    </row>
    <row r="165" spans="1:19" ht="28.5" customHeight="1">
      <c r="A165" s="12">
        <f>'Công trình'!A60</f>
        <v>7</v>
      </c>
      <c r="B165" s="13" t="str">
        <f>'Công trình'!E60</f>
        <v>AE.26213A</v>
      </c>
      <c r="C165" s="14" t="str">
        <f>'Công trình'!F60</f>
        <v>Xây gạch không nung ga VXM M75, dày 22cm</v>
      </c>
      <c r="D165" s="13" t="str">
        <f>'Công trình'!G60</f>
        <v>m3</v>
      </c>
      <c r="E165" s="89">
        <f>ROUND('Công trình'!P60,4)</f>
        <v>20.79</v>
      </c>
      <c r="F165" s="80"/>
      <c r="G165" s="80"/>
      <c r="H165" s="80"/>
      <c r="I165" s="81"/>
      <c r="J165" s="89"/>
      <c r="K165" s="89"/>
      <c r="L165" s="89"/>
    </row>
    <row r="166" spans="1:19" ht="16.5" customHeight="1">
      <c r="A166" s="12"/>
      <c r="B166" s="13"/>
      <c r="C166" s="90" t="s">
        <v>683</v>
      </c>
      <c r="D166" s="91"/>
      <c r="E166" s="92"/>
      <c r="F166" s="93"/>
      <c r="G166" s="93"/>
      <c r="H166" s="93"/>
      <c r="I166" s="94"/>
      <c r="J166" s="92"/>
      <c r="K166" s="92"/>
      <c r="L166" s="92"/>
    </row>
    <row r="167" spans="1:19" ht="16.5" customHeight="1">
      <c r="A167" s="12"/>
      <c r="B167" s="13" t="str">
        <f>'Giá tháng'!B20</f>
        <v>A24.0383A</v>
      </c>
      <c r="C167" s="14" t="str">
        <f>'Giá tháng'!C20</f>
        <v>Gạch không nung 6,5x10,5x22</v>
      </c>
      <c r="D167" s="13" t="str">
        <f>'Giá tháng'!D20</f>
        <v>viên</v>
      </c>
      <c r="E167" s="89"/>
      <c r="F167" s="80">
        <v>550</v>
      </c>
      <c r="G167" s="80"/>
      <c r="H167" s="80"/>
      <c r="I167" s="81">
        <f>'Giá tháng'!G20</f>
        <v>1</v>
      </c>
      <c r="J167" s="89">
        <f>ROUND(IF(E$116=0,E165*F167*I167,E$116*E165*F167*I167),4)</f>
        <v>11434.5</v>
      </c>
      <c r="K167" s="89"/>
      <c r="L167" s="89"/>
      <c r="Q167" s="34">
        <f>'Cước VC'!AU20</f>
        <v>0</v>
      </c>
      <c r="R167" s="34">
        <f>'Cước bộ'!W20</f>
        <v>0</v>
      </c>
      <c r="S167" s="34">
        <v>1019</v>
      </c>
    </row>
    <row r="168" spans="1:19" ht="16.5" customHeight="1">
      <c r="A168" s="12"/>
      <c r="B168" s="13" t="str">
        <f>'Giá tháng'!B45</f>
        <v>A24.0797A</v>
      </c>
      <c r="C168" s="14" t="str">
        <f>'Giá tháng'!C45</f>
        <v>Xi măng PCB30</v>
      </c>
      <c r="D168" s="13" t="str">
        <f>'Giá tháng'!D45</f>
        <v>kg</v>
      </c>
      <c r="E168" s="89"/>
      <c r="F168" s="80">
        <v>111.54</v>
      </c>
      <c r="G168" s="80"/>
      <c r="H168" s="80"/>
      <c r="I168" s="81">
        <f>'Giá tháng'!G45</f>
        <v>1</v>
      </c>
      <c r="J168" s="89">
        <f>ROUND(IF(E$116=0,E165*F168*I168,E$116*E165*F168*I168),4)</f>
        <v>2318.9166</v>
      </c>
      <c r="K168" s="89"/>
      <c r="L168" s="89"/>
      <c r="Q168" s="34">
        <f>'Cước VC'!AU43</f>
        <v>0</v>
      </c>
      <c r="R168" s="34">
        <f>'Cước bộ'!W43</f>
        <v>0</v>
      </c>
      <c r="S168" s="34">
        <v>1043</v>
      </c>
    </row>
    <row r="169" spans="1:19" ht="16.5" customHeight="1">
      <c r="A169" s="12"/>
      <c r="B169" s="13" t="str">
        <f>'Giá tháng'!B9</f>
        <v>A24.0176</v>
      </c>
      <c r="C169" s="14" t="str">
        <f>'Giá tháng'!C9</f>
        <v>Cát mịn ML=1,5-2,0</v>
      </c>
      <c r="D169" s="13" t="str">
        <f>'Giá tháng'!D9</f>
        <v>m3</v>
      </c>
      <c r="E169" s="89"/>
      <c r="F169" s="80">
        <v>0.37917000000000001</v>
      </c>
      <c r="G169" s="80"/>
      <c r="H169" s="80"/>
      <c r="I169" s="81">
        <f>'Giá tháng'!G9</f>
        <v>1</v>
      </c>
      <c r="J169" s="89">
        <f>ROUND(IF(E$116=0,E165*F169*I169,E$116*E165*F169*I169),4)</f>
        <v>7.8829000000000002</v>
      </c>
      <c r="K169" s="89"/>
      <c r="L169" s="89"/>
      <c r="Q169" s="34">
        <f>'Cước VC'!AU9</f>
        <v>0</v>
      </c>
      <c r="R169" s="34">
        <f>'Cước bộ'!W9</f>
        <v>0</v>
      </c>
      <c r="S169" s="34">
        <v>108</v>
      </c>
    </row>
    <row r="170" spans="1:19" ht="16.5" customHeight="1">
      <c r="A170" s="12"/>
      <c r="B170" s="13" t="str">
        <f>'Giá tháng'!B32</f>
        <v>A24.0524</v>
      </c>
      <c r="C170" s="14" t="str">
        <f>'Giá tháng'!C32</f>
        <v>Nước</v>
      </c>
      <c r="D170" s="13" t="str">
        <f>'Giá tháng'!D32</f>
        <v>lít</v>
      </c>
      <c r="E170" s="89"/>
      <c r="F170" s="80">
        <v>89.76</v>
      </c>
      <c r="G170" s="80"/>
      <c r="H170" s="80"/>
      <c r="I170" s="81">
        <f>'Giá tháng'!G32</f>
        <v>1</v>
      </c>
      <c r="J170" s="89">
        <f>ROUND(IF(E$116=0,E165*F170*I170,E$116*E165*F170*I170),4)</f>
        <v>1866.1104</v>
      </c>
      <c r="K170" s="89"/>
      <c r="L170" s="89"/>
      <c r="Q170" s="34">
        <f>'Cước VC'!AU31</f>
        <v>0</v>
      </c>
      <c r="R170" s="34">
        <f>'Cước bộ'!W31</f>
        <v>0</v>
      </c>
      <c r="S170" s="34">
        <v>1031</v>
      </c>
    </row>
    <row r="171" spans="1:19" ht="16.5" customHeight="1">
      <c r="A171" s="12"/>
      <c r="B171" s="13" t="s">
        <v>684</v>
      </c>
      <c r="C171" s="14" t="s">
        <v>685</v>
      </c>
      <c r="D171" s="13" t="s">
        <v>682</v>
      </c>
      <c r="E171" s="89"/>
      <c r="F171" s="80">
        <v>5.5</v>
      </c>
      <c r="G171" s="80"/>
      <c r="H171" s="80"/>
      <c r="I171" s="81"/>
      <c r="J171" s="89"/>
      <c r="K171" s="89"/>
      <c r="L171" s="89"/>
      <c r="M171" s="34">
        <f>ROUND(IF(E$116=0,E165*F171*(F167*'Giá tháng'!E20*'Giá tháng'!G20+F168*'Giá tháng'!E45*'Giá tháng'!G45+F169*'Giá tháng'!E9*'Giá tháng'!G9+F170*'Giá tháng'!E32*'Giá tháng'!G32)/100,E$116*E165*F171*(F167*'Giá tháng'!E20*'Giá tháng'!G20+F168*'Giá tháng'!E45*'Giá tháng'!G45+F169*'Giá tháng'!E9*'Giá tháng'!G9+F170*'Giá tháng'!E32*'Giá tháng'!G32)/100),1)</f>
        <v>916669.9</v>
      </c>
      <c r="O171" s="34">
        <f>ROUND(IF(E$116=0,E165*F171*(F167*('Giá tháng'!F20+Q167+R167)*'Giá tháng'!G20+F168*('Giá tháng'!F45+Q168+R168)*'Giá tháng'!G45+F169*('Giá tháng'!F9+Q169+R169)*'Giá tháng'!G9+F170*('Giá tháng'!F32+Q170+R170)*'Giá tháng'!G32)/100,E$116*E165*F171*(F167*('Giá tháng'!F20+Q167+R167)*'Giá tháng'!G20+F168*('Giá tháng'!F45+Q168+R168)*'Giá tháng'!G45+F169*('Giá tháng'!F9+Q169+R169)*'Giá tháng'!G9+F170*('Giá tháng'!F32+Q170+R170)*'Giá tháng'!G32)/100),1)</f>
        <v>1169997</v>
      </c>
    </row>
    <row r="172" spans="1:19" ht="16.5" customHeight="1">
      <c r="A172" s="12"/>
      <c r="B172" s="13"/>
      <c r="C172" s="90" t="s">
        <v>678</v>
      </c>
      <c r="D172" s="91"/>
      <c r="E172" s="92"/>
      <c r="F172" s="93"/>
      <c r="G172" s="93"/>
      <c r="H172" s="93"/>
      <c r="I172" s="94"/>
      <c r="J172" s="92"/>
      <c r="K172" s="92"/>
      <c r="L172" s="92"/>
    </row>
    <row r="173" spans="1:19" ht="16.5" customHeight="1">
      <c r="A173" s="12"/>
      <c r="B173" s="13" t="str">
        <f>'Giá tháng'!B51</f>
        <v>N2.35</v>
      </c>
      <c r="C173" s="14" t="str">
        <f>'Giá tháng'!C51</f>
        <v>Nhân công 3,5/7 - Nhóm 2</v>
      </c>
      <c r="D173" s="13" t="str">
        <f>'Giá tháng'!D51</f>
        <v>công</v>
      </c>
      <c r="E173" s="89"/>
      <c r="F173" s="80"/>
      <c r="G173" s="80">
        <v>3.2</v>
      </c>
      <c r="H173" s="80"/>
      <c r="I173" s="81">
        <f>'Giá tháng'!G51</f>
        <v>1</v>
      </c>
      <c r="J173" s="89"/>
      <c r="K173" s="89">
        <f>ROUND(IF(E$116=0,E165*G173*I173,E$116*E165*G173*I173),4)</f>
        <v>66.528000000000006</v>
      </c>
      <c r="L173" s="89"/>
      <c r="S173" s="34">
        <v>205</v>
      </c>
    </row>
    <row r="174" spans="1:19" ht="16.5" customHeight="1">
      <c r="A174" s="12"/>
      <c r="B174" s="13"/>
      <c r="C174" s="90" t="s">
        <v>679</v>
      </c>
      <c r="D174" s="91"/>
      <c r="E174" s="92"/>
      <c r="F174" s="93"/>
      <c r="G174" s="93"/>
      <c r="H174" s="93"/>
      <c r="I174" s="94"/>
      <c r="J174" s="92"/>
      <c r="K174" s="92"/>
      <c r="L174" s="92"/>
    </row>
    <row r="175" spans="1:19" ht="16.5" customHeight="1">
      <c r="A175" s="12"/>
      <c r="B175" s="13" t="str">
        <f>'Giá tháng'!B75</f>
        <v>M104.0202</v>
      </c>
      <c r="C175" s="14" t="str">
        <f>'Giá tháng'!C75</f>
        <v>Máy trộn vữa 150 lít</v>
      </c>
      <c r="D175" s="13" t="str">
        <f>'Giá tháng'!D75</f>
        <v>ca</v>
      </c>
      <c r="E175" s="89"/>
      <c r="F175" s="80"/>
      <c r="G175" s="80"/>
      <c r="H175" s="80">
        <v>3.9E-2</v>
      </c>
      <c r="I175" s="81">
        <f>'Giá tháng'!G75</f>
        <v>1</v>
      </c>
      <c r="J175" s="89"/>
      <c r="K175" s="89"/>
      <c r="L175" s="89">
        <f>ROUND(IF(E$116=0,E165*H175*I175,E$116*E165*H175*I175),4)</f>
        <v>0.81079999999999997</v>
      </c>
      <c r="S175" s="34">
        <v>3021</v>
      </c>
    </row>
    <row r="176" spans="1:19" ht="54" customHeight="1">
      <c r="A176" s="12">
        <f>'Công trình'!A62</f>
        <v>8</v>
      </c>
      <c r="B176" s="13" t="str">
        <f>'Công trình'!E62</f>
        <v>AK.21533</v>
      </c>
      <c r="C176" s="14" t="str">
        <f>'Công trình'!F62</f>
        <v>Trát tường xây gạch không nung bằng vữa thông thường, trát tường ga, chiều dày trát 2cm, vữa XM mác 75</v>
      </c>
      <c r="D176" s="13" t="str">
        <f>'Công trình'!G62</f>
        <v>m2</v>
      </c>
      <c r="E176" s="89">
        <f>ROUND('Công trình'!P62,4)</f>
        <v>64.260000000000005</v>
      </c>
      <c r="F176" s="80"/>
      <c r="G176" s="80"/>
      <c r="H176" s="80"/>
      <c r="I176" s="81"/>
      <c r="J176" s="89"/>
      <c r="K176" s="89"/>
      <c r="L176" s="89"/>
    </row>
    <row r="177" spans="1:19" ht="16.5" customHeight="1">
      <c r="A177" s="12"/>
      <c r="B177" s="13"/>
      <c r="C177" s="90" t="s">
        <v>683</v>
      </c>
      <c r="D177" s="91"/>
      <c r="E177" s="92"/>
      <c r="F177" s="93"/>
      <c r="G177" s="93"/>
      <c r="H177" s="93"/>
      <c r="I177" s="94"/>
      <c r="J177" s="92"/>
      <c r="K177" s="92"/>
      <c r="L177" s="92"/>
    </row>
    <row r="178" spans="1:19" ht="16.5" customHeight="1">
      <c r="A178" s="12"/>
      <c r="B178" s="13" t="str">
        <f>'Giá tháng'!B46</f>
        <v>A24.0796A</v>
      </c>
      <c r="C178" s="14" t="str">
        <f>'Giá tháng'!C46</f>
        <v>Xi măng PCB40</v>
      </c>
      <c r="D178" s="13" t="str">
        <f>'Giá tháng'!D46</f>
        <v>kg</v>
      </c>
      <c r="E178" s="89"/>
      <c r="F178" s="80">
        <v>6.0720000000000001</v>
      </c>
      <c r="G178" s="80"/>
      <c r="H178" s="80"/>
      <c r="I178" s="81">
        <f>'Giá tháng'!G46</f>
        <v>1</v>
      </c>
      <c r="J178" s="89">
        <f>ROUND(IF(E$116=0,E176*F178*I178,E$116*E176*F178*I178),4)</f>
        <v>390.18669999999997</v>
      </c>
      <c r="K178" s="89"/>
      <c r="L178" s="89"/>
      <c r="Q178" s="34">
        <f>'Cước VC'!AU44</f>
        <v>0</v>
      </c>
      <c r="R178" s="34">
        <f>'Cước bộ'!W44</f>
        <v>0</v>
      </c>
      <c r="S178" s="34">
        <v>1044</v>
      </c>
    </row>
    <row r="179" spans="1:19" ht="16.5" customHeight="1">
      <c r="A179" s="12"/>
      <c r="B179" s="13" t="str">
        <f>'Giá tháng'!B9</f>
        <v>A24.0176</v>
      </c>
      <c r="C179" s="14" t="str">
        <f>'Giá tháng'!C9</f>
        <v>Cát mịn ML=1,5-2,0</v>
      </c>
      <c r="D179" s="13" t="str">
        <f>'Giá tháng'!D9</f>
        <v>m3</v>
      </c>
      <c r="E179" s="89"/>
      <c r="F179" s="80">
        <v>2.7369999999999998E-2</v>
      </c>
      <c r="G179" s="80"/>
      <c r="H179" s="80"/>
      <c r="I179" s="81">
        <f>'Giá tháng'!G9</f>
        <v>1</v>
      </c>
      <c r="J179" s="89">
        <f>ROUND(IF(E$116=0,E176*F179*I179,E$116*E176*F179*I179),4)</f>
        <v>1.7587999999999999</v>
      </c>
      <c r="K179" s="89"/>
      <c r="L179" s="89"/>
      <c r="Q179" s="34">
        <f>'Cước VC'!AU9</f>
        <v>0</v>
      </c>
      <c r="R179" s="34">
        <f>'Cước bộ'!W9</f>
        <v>0</v>
      </c>
      <c r="S179" s="34">
        <v>108</v>
      </c>
    </row>
    <row r="180" spans="1:19" ht="16.5" customHeight="1">
      <c r="A180" s="12"/>
      <c r="B180" s="13" t="str">
        <f>'Giá tháng'!B32</f>
        <v>A24.0524</v>
      </c>
      <c r="C180" s="14" t="str">
        <f>'Giá tháng'!C32</f>
        <v>Nước</v>
      </c>
      <c r="D180" s="13" t="str">
        <f>'Giá tháng'!D32</f>
        <v>lít</v>
      </c>
      <c r="E180" s="89"/>
      <c r="F180" s="80">
        <v>6.3250000000000002</v>
      </c>
      <c r="G180" s="80"/>
      <c r="H180" s="80"/>
      <c r="I180" s="81">
        <f>'Giá tháng'!G32</f>
        <v>1</v>
      </c>
      <c r="J180" s="89">
        <f>ROUND(IF(E$116=0,E176*F180*I180,E$116*E176*F180*I180),4)</f>
        <v>406.44450000000001</v>
      </c>
      <c r="K180" s="89"/>
      <c r="L180" s="89"/>
      <c r="Q180" s="34">
        <f>'Cước VC'!AU31</f>
        <v>0</v>
      </c>
      <c r="R180" s="34">
        <f>'Cước bộ'!W31</f>
        <v>0</v>
      </c>
      <c r="S180" s="34">
        <v>1031</v>
      </c>
    </row>
    <row r="181" spans="1:19" ht="16.5" customHeight="1">
      <c r="A181" s="12"/>
      <c r="B181" s="13" t="s">
        <v>684</v>
      </c>
      <c r="C181" s="14" t="s">
        <v>685</v>
      </c>
      <c r="D181" s="13" t="s">
        <v>682</v>
      </c>
      <c r="E181" s="89"/>
      <c r="F181" s="80">
        <v>0.5</v>
      </c>
      <c r="G181" s="80"/>
      <c r="H181" s="80"/>
      <c r="I181" s="81"/>
      <c r="J181" s="89"/>
      <c r="K181" s="89"/>
      <c r="L181" s="89"/>
      <c r="M181" s="34">
        <f>ROUND(IF(E$116=0,E176*F181*(F178*'Giá tháng'!E46*'Giá tháng'!G46+F179*'Giá tháng'!E9*'Giá tháng'!G9+F180*'Giá tháng'!E32*'Giá tháng'!G32)/100,E$116*E176*F181*(F178*'Giá tháng'!E46*'Giá tháng'!G46+F179*'Giá tháng'!E9*'Giá tháng'!G9+F180*'Giá tháng'!E32*'Giá tháng'!G32)/100),1)</f>
        <v>6269.4</v>
      </c>
      <c r="O181" s="34">
        <f>ROUND(IF(E$116=0,E176*F181*(F178*('Giá tháng'!F46+Q178+R178)*'Giá tháng'!G46+F179*('Giá tháng'!F9+Q179+R179)*'Giá tháng'!G9+F180*('Giá tháng'!F32+Q180+R180)*'Giá tháng'!G32)/100,E$116*E176*F181*(F178*('Giá tháng'!F46+Q178+R178)*'Giá tháng'!G46+F179*('Giá tháng'!F9+Q179+R179)*'Giá tháng'!G9+F180*('Giá tháng'!F32+Q180+R180)*'Giá tháng'!G32)/100),1)</f>
        <v>6880.4</v>
      </c>
    </row>
    <row r="182" spans="1:19" ht="16.5" customHeight="1">
      <c r="A182" s="12"/>
      <c r="B182" s="13"/>
      <c r="C182" s="90" t="s">
        <v>678</v>
      </c>
      <c r="D182" s="91"/>
      <c r="E182" s="92"/>
      <c r="F182" s="93"/>
      <c r="G182" s="93"/>
      <c r="H182" s="93"/>
      <c r="I182" s="94"/>
      <c r="J182" s="92"/>
      <c r="K182" s="92"/>
      <c r="L182" s="92"/>
    </row>
    <row r="183" spans="1:19" ht="16.5" customHeight="1">
      <c r="A183" s="12"/>
      <c r="B183" s="13" t="str">
        <f>'Giá tháng'!B51</f>
        <v>N2.35</v>
      </c>
      <c r="C183" s="14" t="str">
        <f>'Giá tháng'!C51</f>
        <v>Nhân công 3,5/7 - Nhóm 2</v>
      </c>
      <c r="D183" s="13" t="str">
        <f>'Giá tháng'!D51</f>
        <v>công</v>
      </c>
      <c r="E183" s="89"/>
      <c r="F183" s="80"/>
      <c r="G183" s="80">
        <v>0.35</v>
      </c>
      <c r="H183" s="80"/>
      <c r="I183" s="81">
        <f>'Giá tháng'!G51</f>
        <v>1</v>
      </c>
      <c r="J183" s="89"/>
      <c r="K183" s="89">
        <f>ROUND(IF(E$116=0,E176*G183*I183,E$116*E176*G183*I183),4)</f>
        <v>22.491</v>
      </c>
      <c r="L183" s="89"/>
      <c r="S183" s="34">
        <v>205</v>
      </c>
    </row>
    <row r="184" spans="1:19" ht="16.5" customHeight="1">
      <c r="A184" s="12"/>
      <c r="B184" s="13"/>
      <c r="C184" s="90" t="s">
        <v>679</v>
      </c>
      <c r="D184" s="91"/>
      <c r="E184" s="92"/>
      <c r="F184" s="93"/>
      <c r="G184" s="93"/>
      <c r="H184" s="93"/>
      <c r="I184" s="94"/>
      <c r="J184" s="92"/>
      <c r="K184" s="92"/>
      <c r="L184" s="92"/>
    </row>
    <row r="185" spans="1:19" ht="16.5" customHeight="1">
      <c r="A185" s="12"/>
      <c r="B185" s="13" t="str">
        <f>'Giá tháng'!B75</f>
        <v>M104.0202</v>
      </c>
      <c r="C185" s="14" t="str">
        <f>'Giá tháng'!C75</f>
        <v>Máy trộn vữa 150 lít</v>
      </c>
      <c r="D185" s="13" t="str">
        <f>'Giá tháng'!D75</f>
        <v>ca</v>
      </c>
      <c r="E185" s="89"/>
      <c r="F185" s="80"/>
      <c r="G185" s="80"/>
      <c r="H185" s="80">
        <v>3.0000000000000001E-3</v>
      </c>
      <c r="I185" s="81">
        <f>'Giá tháng'!G75</f>
        <v>1</v>
      </c>
      <c r="J185" s="89"/>
      <c r="K185" s="89"/>
      <c r="L185" s="89">
        <f>ROUND(IF(E$116=0,E176*H185*I185,E$116*E176*H185*I185),4)</f>
        <v>0.1928</v>
      </c>
      <c r="S185" s="34">
        <v>3021</v>
      </c>
    </row>
    <row r="186" spans="1:19" ht="28.5" customHeight="1">
      <c r="A186" s="12">
        <f>'Công trình'!A64</f>
        <v>9</v>
      </c>
      <c r="B186" s="13" t="str">
        <f>'Công trình'!E64</f>
        <v>AK.41113</v>
      </c>
      <c r="C186" s="14" t="str">
        <f>'Công trình'!F64</f>
        <v>Láng đáy ga, dày 2cm, vữa XM mác 75</v>
      </c>
      <c r="D186" s="13" t="str">
        <f>'Công trình'!G64</f>
        <v>m2</v>
      </c>
      <c r="E186" s="89">
        <f>ROUND('Công trình'!P64,4)</f>
        <v>9.6</v>
      </c>
      <c r="F186" s="80"/>
      <c r="G186" s="80"/>
      <c r="H186" s="80"/>
      <c r="I186" s="81"/>
      <c r="J186" s="89"/>
      <c r="K186" s="89"/>
      <c r="L186" s="89"/>
    </row>
    <row r="187" spans="1:19" ht="16.5" customHeight="1">
      <c r="A187" s="12"/>
      <c r="B187" s="13"/>
      <c r="C187" s="90" t="s">
        <v>683</v>
      </c>
      <c r="D187" s="91"/>
      <c r="E187" s="92"/>
      <c r="F187" s="93"/>
      <c r="G187" s="93"/>
      <c r="H187" s="93"/>
      <c r="I187" s="94"/>
      <c r="J187" s="92"/>
      <c r="K187" s="92"/>
      <c r="L187" s="92"/>
    </row>
    <row r="188" spans="1:19" ht="16.5" customHeight="1">
      <c r="A188" s="12"/>
      <c r="B188" s="13" t="str">
        <f>'Giá tháng'!B46</f>
        <v>A24.0796A</v>
      </c>
      <c r="C188" s="14" t="str">
        <f>'Giá tháng'!C46</f>
        <v>Xi măng PCB40</v>
      </c>
      <c r="D188" s="13" t="str">
        <f>'Giá tháng'!D46</f>
        <v>kg</v>
      </c>
      <c r="E188" s="89"/>
      <c r="F188" s="80">
        <v>6.6</v>
      </c>
      <c r="G188" s="80"/>
      <c r="H188" s="80"/>
      <c r="I188" s="81">
        <f>'Giá tháng'!G46</f>
        <v>1</v>
      </c>
      <c r="J188" s="89">
        <f>ROUND(IF(E$116=0,E186*F188*I188,E$116*E186*F188*I188),4)</f>
        <v>63.36</v>
      </c>
      <c r="K188" s="89"/>
      <c r="L188" s="89"/>
      <c r="S188" s="34">
        <v>1044</v>
      </c>
    </row>
    <row r="189" spans="1:19" ht="16.5" customHeight="1">
      <c r="A189" s="12"/>
      <c r="B189" s="13" t="str">
        <f>'Giá tháng'!B9</f>
        <v>A24.0176</v>
      </c>
      <c r="C189" s="14" t="str">
        <f>'Giá tháng'!C9</f>
        <v>Cát mịn ML=1,5-2,0</v>
      </c>
      <c r="D189" s="13" t="str">
        <f>'Giá tháng'!D9</f>
        <v>m3</v>
      </c>
      <c r="E189" s="89"/>
      <c r="F189" s="80">
        <v>2.9749999999999999E-2</v>
      </c>
      <c r="G189" s="80"/>
      <c r="H189" s="80"/>
      <c r="I189" s="81">
        <f>'Giá tháng'!G9</f>
        <v>1</v>
      </c>
      <c r="J189" s="89">
        <f>ROUND(IF(E$116=0,E186*F189*I189,E$116*E186*F189*I189),4)</f>
        <v>0.28560000000000002</v>
      </c>
      <c r="K189" s="89"/>
      <c r="L189" s="89"/>
      <c r="S189" s="34">
        <v>108</v>
      </c>
    </row>
    <row r="190" spans="1:19" ht="16.5" customHeight="1">
      <c r="A190" s="12"/>
      <c r="B190" s="13" t="str">
        <f>'Giá tháng'!B32</f>
        <v>A24.0524</v>
      </c>
      <c r="C190" s="14" t="str">
        <f>'Giá tháng'!C32</f>
        <v>Nước</v>
      </c>
      <c r="D190" s="13" t="str">
        <f>'Giá tháng'!D32</f>
        <v>lít</v>
      </c>
      <c r="E190" s="89"/>
      <c r="F190" s="80">
        <v>6.875</v>
      </c>
      <c r="G190" s="80"/>
      <c r="H190" s="80"/>
      <c r="I190" s="81">
        <f>'Giá tháng'!G32</f>
        <v>1</v>
      </c>
      <c r="J190" s="89">
        <f>ROUND(IF(E$116=0,E186*F190*I190,E$116*E186*F190*I190),4)</f>
        <v>66</v>
      </c>
      <c r="K190" s="89"/>
      <c r="L190" s="89"/>
      <c r="S190" s="34">
        <v>1031</v>
      </c>
    </row>
    <row r="191" spans="1:19" ht="16.5" customHeight="1">
      <c r="A191" s="12"/>
      <c r="B191" s="13"/>
      <c r="C191" s="90" t="s">
        <v>678</v>
      </c>
      <c r="D191" s="91"/>
      <c r="E191" s="92"/>
      <c r="F191" s="93"/>
      <c r="G191" s="93"/>
      <c r="H191" s="93"/>
      <c r="I191" s="94"/>
      <c r="J191" s="92"/>
      <c r="K191" s="92"/>
      <c r="L191" s="92"/>
    </row>
    <row r="192" spans="1:19" ht="16.5" customHeight="1">
      <c r="A192" s="12"/>
      <c r="B192" s="13" t="str">
        <f>'Giá tháng'!B53</f>
        <v>N2.40</v>
      </c>
      <c r="C192" s="14" t="str">
        <f>'Giá tháng'!C53</f>
        <v>Nhân công 4,0/7 - Nhóm 2</v>
      </c>
      <c r="D192" s="13" t="str">
        <f>'Giá tháng'!D53</f>
        <v>công</v>
      </c>
      <c r="E192" s="89"/>
      <c r="F192" s="80"/>
      <c r="G192" s="80">
        <v>6.8000000000000005E-2</v>
      </c>
      <c r="H192" s="80"/>
      <c r="I192" s="81">
        <f>'Giá tháng'!G53</f>
        <v>1</v>
      </c>
      <c r="J192" s="89"/>
      <c r="K192" s="89">
        <f>ROUND(IF(E$116=0,E186*G192*I192,E$116*E186*G192*I192),4)</f>
        <v>0.65280000000000005</v>
      </c>
      <c r="L192" s="89"/>
      <c r="S192" s="34">
        <v>206</v>
      </c>
    </row>
    <row r="193" spans="1:19" ht="16.5" customHeight="1">
      <c r="A193" s="12"/>
      <c r="B193" s="13"/>
      <c r="C193" s="90" t="s">
        <v>679</v>
      </c>
      <c r="D193" s="91"/>
      <c r="E193" s="92"/>
      <c r="F193" s="93"/>
      <c r="G193" s="93"/>
      <c r="H193" s="93"/>
      <c r="I193" s="94"/>
      <c r="J193" s="92"/>
      <c r="K193" s="92"/>
      <c r="L193" s="92"/>
    </row>
    <row r="194" spans="1:19" ht="16.5" customHeight="1">
      <c r="A194" s="12"/>
      <c r="B194" s="13" t="str">
        <f>'Giá tháng'!B75</f>
        <v>M104.0202</v>
      </c>
      <c r="C194" s="14" t="str">
        <f>'Giá tháng'!C75</f>
        <v>Máy trộn vữa 150 lít</v>
      </c>
      <c r="D194" s="13" t="str">
        <f>'Giá tháng'!D75</f>
        <v>ca</v>
      </c>
      <c r="E194" s="89"/>
      <c r="F194" s="80"/>
      <c r="G194" s="80"/>
      <c r="H194" s="80">
        <v>4.0000000000000001E-3</v>
      </c>
      <c r="I194" s="81">
        <f>'Giá tháng'!G75</f>
        <v>1</v>
      </c>
      <c r="J194" s="89"/>
      <c r="K194" s="89"/>
      <c r="L194" s="89">
        <f>ROUND(IF(E$116=0,E186*H194*I194,E$116*E186*H194*I194),4)</f>
        <v>3.8399999999999997E-2</v>
      </c>
      <c r="S194" s="34">
        <v>3021</v>
      </c>
    </row>
    <row r="195" spans="1:19" ht="16.5" customHeight="1">
      <c r="A195" s="12">
        <f>'Công trình'!A66</f>
        <v>10</v>
      </c>
      <c r="B195" s="13" t="str">
        <f>'Công trình'!E66</f>
        <v>AF.81141</v>
      </c>
      <c r="C195" s="14" t="str">
        <f>'Công trình'!F66</f>
        <v>Ván khuôn gỗ. Ván khuôn cổ ga</v>
      </c>
      <c r="D195" s="13" t="str">
        <f>'Công trình'!G66</f>
        <v>100m2</v>
      </c>
      <c r="E195" s="89">
        <f>ROUND('Công trình'!P66,4)</f>
        <v>0.26279999999999998</v>
      </c>
      <c r="F195" s="80"/>
      <c r="G195" s="80"/>
      <c r="H195" s="80"/>
      <c r="I195" s="81"/>
      <c r="J195" s="89"/>
      <c r="K195" s="89"/>
      <c r="L195" s="89"/>
    </row>
    <row r="196" spans="1:19" ht="16.5" customHeight="1">
      <c r="A196" s="12"/>
      <c r="B196" s="13"/>
      <c r="C196" s="90" t="s">
        <v>683</v>
      </c>
      <c r="D196" s="91"/>
      <c r="E196" s="92"/>
      <c r="F196" s="93"/>
      <c r="G196" s="93"/>
      <c r="H196" s="93"/>
      <c r="I196" s="94"/>
      <c r="J196" s="92"/>
      <c r="K196" s="92"/>
      <c r="L196" s="92"/>
    </row>
    <row r="197" spans="1:19" ht="16.5" customHeight="1">
      <c r="A197" s="12"/>
      <c r="B197" s="13" t="str">
        <f>'Giá tháng'!B23</f>
        <v>A24.0418</v>
      </c>
      <c r="C197" s="14" t="str">
        <f>'Giá tháng'!C23</f>
        <v>Gỗ ván</v>
      </c>
      <c r="D197" s="13" t="str">
        <f>'Giá tháng'!D23</f>
        <v>m3</v>
      </c>
      <c r="E197" s="89"/>
      <c r="F197" s="80">
        <v>0.79400000000000004</v>
      </c>
      <c r="G197" s="80"/>
      <c r="H197" s="80"/>
      <c r="I197" s="81">
        <f>'Giá tháng'!G23</f>
        <v>1</v>
      </c>
      <c r="J197" s="89">
        <f>ROUND(IF(E$116=0,E195*F197*I197,E$116*E195*F197*I197),4)</f>
        <v>0.2087</v>
      </c>
      <c r="K197" s="89"/>
      <c r="L197" s="89"/>
      <c r="Q197" s="34">
        <f>'Cước VC'!AU23</f>
        <v>0</v>
      </c>
      <c r="R197" s="34">
        <f>'Cước bộ'!W23</f>
        <v>0</v>
      </c>
      <c r="S197" s="34">
        <v>1022</v>
      </c>
    </row>
    <row r="198" spans="1:19" ht="16.5" customHeight="1">
      <c r="A198" s="12"/>
      <c r="B198" s="13" t="str">
        <f>'Giá tháng'!B22</f>
        <v>A24.0404</v>
      </c>
      <c r="C198" s="14" t="str">
        <f>'Giá tháng'!C22</f>
        <v>Gỗ đà nẹp</v>
      </c>
      <c r="D198" s="13" t="str">
        <f>'Giá tháng'!D22</f>
        <v>m3</v>
      </c>
      <c r="E198" s="89"/>
      <c r="F198" s="80">
        <v>0.189</v>
      </c>
      <c r="G198" s="80"/>
      <c r="H198" s="80"/>
      <c r="I198" s="81">
        <f>'Giá tháng'!G22</f>
        <v>1</v>
      </c>
      <c r="J198" s="89">
        <f>ROUND(IF(E$116=0,E195*F198*I198,E$116*E195*F198*I198),4)</f>
        <v>4.9700000000000001E-2</v>
      </c>
      <c r="K198" s="89"/>
      <c r="L198" s="89"/>
      <c r="Q198" s="34">
        <f>'Cước VC'!AU22</f>
        <v>0</v>
      </c>
      <c r="R198" s="34">
        <f>'Cước bộ'!W22</f>
        <v>0</v>
      </c>
      <c r="S198" s="34">
        <v>1021</v>
      </c>
    </row>
    <row r="199" spans="1:19" ht="16.5" customHeight="1">
      <c r="A199" s="12"/>
      <c r="B199" s="13" t="str">
        <f>'Giá tháng'!B21</f>
        <v>A24.0406</v>
      </c>
      <c r="C199" s="14" t="str">
        <f>'Giá tháng'!C21</f>
        <v>Gỗ chống</v>
      </c>
      <c r="D199" s="13" t="str">
        <f>'Giá tháng'!D21</f>
        <v>m3</v>
      </c>
      <c r="E199" s="89"/>
      <c r="F199" s="80">
        <v>0.95699999999999996</v>
      </c>
      <c r="G199" s="80"/>
      <c r="H199" s="80"/>
      <c r="I199" s="81">
        <f>'Giá tháng'!G21</f>
        <v>1</v>
      </c>
      <c r="J199" s="89">
        <f>ROUND(IF(E$116=0,E195*F199*I199,E$116*E195*F199*I199),4)</f>
        <v>0.2515</v>
      </c>
      <c r="K199" s="89"/>
      <c r="L199" s="89"/>
      <c r="Q199" s="34">
        <f>'Cước VC'!AU21</f>
        <v>0</v>
      </c>
      <c r="R199" s="34">
        <f>'Cước bộ'!W21</f>
        <v>0</v>
      </c>
      <c r="S199" s="34">
        <v>1020</v>
      </c>
    </row>
    <row r="200" spans="1:19" ht="16.5" customHeight="1">
      <c r="A200" s="12"/>
      <c r="B200" s="13" t="str">
        <f>'Giá tháng'!B19</f>
        <v>A24.0054</v>
      </c>
      <c r="C200" s="14" t="str">
        <f>'Giá tháng'!C19</f>
        <v>Đinh</v>
      </c>
      <c r="D200" s="13" t="str">
        <f>'Giá tháng'!D19</f>
        <v>kg</v>
      </c>
      <c r="E200" s="89"/>
      <c r="F200" s="80">
        <v>14.29</v>
      </c>
      <c r="G200" s="80"/>
      <c r="H200" s="80"/>
      <c r="I200" s="81">
        <f>'Giá tháng'!G19</f>
        <v>1</v>
      </c>
      <c r="J200" s="89">
        <f>ROUND(IF(E$116=0,E195*F200*I200,E$116*E195*F200*I200),4)</f>
        <v>3.7553999999999998</v>
      </c>
      <c r="K200" s="89"/>
      <c r="L200" s="89"/>
      <c r="Q200" s="34">
        <f>'Cước VC'!AU19</f>
        <v>0</v>
      </c>
      <c r="R200" s="34">
        <f>'Cước bộ'!W19</f>
        <v>0</v>
      </c>
      <c r="S200" s="34">
        <v>1018</v>
      </c>
    </row>
    <row r="201" spans="1:19" ht="16.5" customHeight="1">
      <c r="A201" s="12"/>
      <c r="B201" s="13" t="s">
        <v>684</v>
      </c>
      <c r="C201" s="14" t="s">
        <v>685</v>
      </c>
      <c r="D201" s="13" t="s">
        <v>682</v>
      </c>
      <c r="E201" s="89"/>
      <c r="F201" s="80">
        <v>1</v>
      </c>
      <c r="G201" s="80"/>
      <c r="H201" s="80"/>
      <c r="I201" s="81"/>
      <c r="J201" s="89"/>
      <c r="K201" s="89"/>
      <c r="L201" s="89"/>
      <c r="M201" s="34">
        <f>ROUND(IF(E$116=0,E195*F201*(F197*'Giá tháng'!E23*'Giá tháng'!G23+F198*'Giá tháng'!E22*'Giá tháng'!G22+F199*'Giá tháng'!E21*'Giá tháng'!G21+F200*'Giá tháng'!E19*'Giá tháng'!G19)/100,E$116*E195*F201*(F197*'Giá tháng'!E23*'Giá tháng'!G23+F198*'Giá tháng'!E22*'Giá tháng'!G22+F199*'Giá tháng'!E21*'Giá tháng'!G21+F200*'Giá tháng'!E19*'Giá tháng'!G19)/100),1)</f>
        <v>18244.400000000001</v>
      </c>
      <c r="O201" s="34">
        <f>ROUND(IF(E$116=0,E195*F201*(F197*('Giá tháng'!F23+Q197+R197)*'Giá tháng'!G23+F198*('Giá tháng'!F22+Q198+R198)*'Giá tháng'!G22+F199*('Giá tháng'!F21+Q199+R199)*'Giá tháng'!G21+F200*('Giá tháng'!F19+Q200+R200)*'Giá tháng'!G19)/100,E$116*E195*F201*(F197*('Giá tháng'!F23+Q197+R197)*'Giá tháng'!G23+F198*('Giá tháng'!F22+Q198+R198)*'Giá tháng'!G22+F199*('Giá tháng'!F21+Q199+R199)*'Giá tháng'!G21+F200*('Giá tháng'!F19+Q200+R200)*'Giá tháng'!G19)/100),1)</f>
        <v>22879.200000000001</v>
      </c>
    </row>
    <row r="202" spans="1:19" ht="16.5" customHeight="1">
      <c r="A202" s="12"/>
      <c r="B202" s="13"/>
      <c r="C202" s="90" t="s">
        <v>678</v>
      </c>
      <c r="D202" s="91"/>
      <c r="E202" s="92"/>
      <c r="F202" s="93"/>
      <c r="G202" s="93"/>
      <c r="H202" s="93"/>
      <c r="I202" s="94"/>
      <c r="J202" s="92"/>
      <c r="K202" s="92"/>
      <c r="L202" s="92"/>
    </row>
    <row r="203" spans="1:19" ht="16.5" customHeight="1">
      <c r="A203" s="12"/>
      <c r="B203" s="13" t="str">
        <f>'Giá tháng'!B51</f>
        <v>N2.35</v>
      </c>
      <c r="C203" s="14" t="str">
        <f>'Giá tháng'!C51</f>
        <v>Nhân công 3,5/7 - Nhóm 2</v>
      </c>
      <c r="D203" s="13" t="str">
        <f>'Giá tháng'!D51</f>
        <v>công</v>
      </c>
      <c r="E203" s="89"/>
      <c r="F203" s="80"/>
      <c r="G203" s="80">
        <v>27.5</v>
      </c>
      <c r="H203" s="80"/>
      <c r="I203" s="81">
        <f>'Giá tháng'!G51</f>
        <v>1</v>
      </c>
      <c r="J203" s="89"/>
      <c r="K203" s="89">
        <f>ROUND(IF(E$116=0,E195*G203*I203,E$116*E195*G203*I203),4)</f>
        <v>7.2270000000000003</v>
      </c>
      <c r="L203" s="89"/>
      <c r="S203" s="34">
        <v>205</v>
      </c>
    </row>
    <row r="204" spans="1:19" ht="16.5" customHeight="1">
      <c r="A204" s="12">
        <f>'Công trình'!A68</f>
        <v>11</v>
      </c>
      <c r="B204" s="13" t="str">
        <f>'Công trình'!E68</f>
        <v>AF.12313A</v>
      </c>
      <c r="C204" s="14" t="str">
        <f>'Công trình'!F68</f>
        <v>Đổ bê tông cổ ga, đá 1x2, mác 200</v>
      </c>
      <c r="D204" s="13" t="str">
        <f>'Công trình'!G68</f>
        <v>m3</v>
      </c>
      <c r="E204" s="89">
        <f>ROUND('Công trình'!P68,4)</f>
        <v>2.39</v>
      </c>
      <c r="F204" s="80"/>
      <c r="G204" s="80"/>
      <c r="H204" s="80"/>
      <c r="I204" s="81"/>
      <c r="J204" s="89"/>
      <c r="K204" s="89"/>
      <c r="L204" s="89"/>
    </row>
    <row r="205" spans="1:19" ht="16.5" customHeight="1">
      <c r="A205" s="12"/>
      <c r="B205" s="13"/>
      <c r="C205" s="90" t="s">
        <v>683</v>
      </c>
      <c r="D205" s="91"/>
      <c r="E205" s="92"/>
      <c r="F205" s="93"/>
      <c r="G205" s="93"/>
      <c r="H205" s="93"/>
      <c r="I205" s="94"/>
      <c r="J205" s="92"/>
      <c r="K205" s="92"/>
      <c r="L205" s="92"/>
    </row>
    <row r="206" spans="1:19" ht="16.5" customHeight="1">
      <c r="A206" s="12"/>
      <c r="B206" s="13" t="str">
        <f>'Giá tháng'!B45</f>
        <v>A24.0797A</v>
      </c>
      <c r="C206" s="14" t="str">
        <f>'Giá tháng'!C45</f>
        <v>Xi măng PCB30</v>
      </c>
      <c r="D206" s="13" t="str">
        <f>'Giá tháng'!D45</f>
        <v>kg</v>
      </c>
      <c r="E206" s="89"/>
      <c r="F206" s="80">
        <v>321.85000000000002</v>
      </c>
      <c r="G206" s="80"/>
      <c r="H206" s="80"/>
      <c r="I206" s="81">
        <f>'Giá tháng'!G45</f>
        <v>1</v>
      </c>
      <c r="J206" s="89">
        <f>ROUND(IF(E$116=0,E204*F206*I206,E$116*E204*F206*I206),4)</f>
        <v>769.22149999999999</v>
      </c>
      <c r="K206" s="89"/>
      <c r="L206" s="89"/>
      <c r="Q206" s="34">
        <f>'Cước VC'!AU43</f>
        <v>0</v>
      </c>
      <c r="R206" s="34">
        <f>'Cước bộ'!W43</f>
        <v>0</v>
      </c>
      <c r="S206" s="34">
        <v>1043</v>
      </c>
    </row>
    <row r="207" spans="1:19" ht="16.5" customHeight="1">
      <c r="A207" s="12"/>
      <c r="B207" s="13" t="str">
        <f>'Giá tháng'!B10</f>
        <v>A24.0180</v>
      </c>
      <c r="C207" s="14" t="str">
        <f>'Giá tháng'!C10</f>
        <v>Cát vàng</v>
      </c>
      <c r="D207" s="13" t="str">
        <f>'Giá tháng'!D10</f>
        <v>m3</v>
      </c>
      <c r="E207" s="89"/>
      <c r="F207" s="80">
        <v>0.52890000000000004</v>
      </c>
      <c r="G207" s="80"/>
      <c r="H207" s="80"/>
      <c r="I207" s="81">
        <f>'Giá tháng'!G10</f>
        <v>1</v>
      </c>
      <c r="J207" s="89">
        <f>ROUND(IF(E$116=0,E204*F207*I207,E$116*E204*F207*I207),4)</f>
        <v>1.2641</v>
      </c>
      <c r="K207" s="89"/>
      <c r="L207" s="89"/>
      <c r="Q207" s="34">
        <f>'Cước VC'!AU10</f>
        <v>0</v>
      </c>
      <c r="R207" s="34">
        <f>'Cước bộ'!W10</f>
        <v>0</v>
      </c>
      <c r="S207" s="34">
        <v>109</v>
      </c>
    </row>
    <row r="208" spans="1:19" ht="16.5" customHeight="1">
      <c r="A208" s="12"/>
      <c r="B208" s="13" t="str">
        <f>'Giá tháng'!B15</f>
        <v>A24.0008</v>
      </c>
      <c r="C208" s="14" t="str">
        <f>'Giá tháng'!C15</f>
        <v>Đá 1x2</v>
      </c>
      <c r="D208" s="13" t="str">
        <f>'Giá tháng'!D15</f>
        <v>m3</v>
      </c>
      <c r="E208" s="89"/>
      <c r="F208" s="80">
        <v>0.87124999999999997</v>
      </c>
      <c r="G208" s="80"/>
      <c r="H208" s="80"/>
      <c r="I208" s="81">
        <f>'Giá tháng'!G15</f>
        <v>1</v>
      </c>
      <c r="J208" s="89">
        <f>ROUND(IF(E$116=0,E204*F208*I208,E$116*E204*F208*I208),4)</f>
        <v>2.0823</v>
      </c>
      <c r="K208" s="89"/>
      <c r="L208" s="89"/>
      <c r="Q208" s="34">
        <f>'Cước VC'!AU15</f>
        <v>0</v>
      </c>
      <c r="R208" s="34">
        <f>'Cước bộ'!W15</f>
        <v>0</v>
      </c>
      <c r="S208" s="34">
        <v>1014</v>
      </c>
    </row>
    <row r="209" spans="1:19" ht="16.5" customHeight="1">
      <c r="A209" s="12"/>
      <c r="B209" s="13" t="str">
        <f>'Giá tháng'!B32</f>
        <v>A24.0524</v>
      </c>
      <c r="C209" s="14" t="str">
        <f>'Giá tháng'!C32</f>
        <v>Nước</v>
      </c>
      <c r="D209" s="13" t="str">
        <f>'Giá tháng'!D32</f>
        <v>lít</v>
      </c>
      <c r="E209" s="89"/>
      <c r="F209" s="80">
        <v>187.57499999999999</v>
      </c>
      <c r="G209" s="80"/>
      <c r="H209" s="80"/>
      <c r="I209" s="81">
        <f>'Giá tháng'!G32</f>
        <v>1</v>
      </c>
      <c r="J209" s="89">
        <f>ROUND(IF(E$116=0,E204*F209*I209,E$116*E204*F209*I209),4)</f>
        <v>448.30430000000001</v>
      </c>
      <c r="K209" s="89"/>
      <c r="L209" s="89"/>
      <c r="Q209" s="34">
        <f>'Cước VC'!AU31</f>
        <v>0</v>
      </c>
      <c r="R209" s="34">
        <f>'Cước bộ'!W31</f>
        <v>0</v>
      </c>
      <c r="S209" s="34">
        <v>1031</v>
      </c>
    </row>
    <row r="210" spans="1:19" ht="16.5" customHeight="1">
      <c r="A210" s="12"/>
      <c r="B210" s="13" t="s">
        <v>684</v>
      </c>
      <c r="C210" s="14" t="s">
        <v>685</v>
      </c>
      <c r="D210" s="13" t="s">
        <v>682</v>
      </c>
      <c r="E210" s="89"/>
      <c r="F210" s="80">
        <v>1</v>
      </c>
      <c r="G210" s="80"/>
      <c r="H210" s="80"/>
      <c r="I210" s="81"/>
      <c r="J210" s="89"/>
      <c r="K210" s="89"/>
      <c r="L210" s="89"/>
      <c r="M210" s="34">
        <f>ROUND(IF(E$116=0,E204*F210*(F206*'Giá tháng'!E45*'Giá tháng'!G45+F207*'Giá tháng'!E10*'Giá tháng'!G10+F208*'Giá tháng'!E15*'Giá tháng'!G15+F209*'Giá tháng'!E32*'Giá tháng'!G32)/100,E$116*E204*F210*(F206*'Giá tháng'!E45*'Giá tháng'!G45+F207*'Giá tháng'!E10*'Giá tháng'!G10+F208*'Giá tháng'!E15*'Giá tháng'!G15+F209*'Giá tháng'!E32*'Giá tháng'!G32)/100),1)</f>
        <v>23020.7</v>
      </c>
      <c r="O210" s="34">
        <f>ROUND(IF(E$116=0,E204*F210*(F206*('Giá tháng'!F45+Q206+R206)*'Giá tháng'!G45+F207*('Giá tháng'!F10+Q207+R207)*'Giá tháng'!G10+F208*('Giá tháng'!F15+Q208+R208)*'Giá tháng'!G15+F209*('Giá tháng'!F32+Q209+R209)*'Giá tháng'!G32)/100,E$116*E204*F210*(F206*('Giá tháng'!F45+Q206+R206)*'Giá tháng'!G45+F207*('Giá tháng'!F10+Q207+R207)*'Giá tháng'!G10+F208*('Giá tháng'!F15+Q208+R208)*'Giá tháng'!G15+F209*('Giá tháng'!F32+Q209+R209)*'Giá tháng'!G32)/100),1)</f>
        <v>24629.1</v>
      </c>
    </row>
    <row r="211" spans="1:19" ht="16.5" customHeight="1">
      <c r="A211" s="12"/>
      <c r="B211" s="13"/>
      <c r="C211" s="90" t="s">
        <v>678</v>
      </c>
      <c r="D211" s="91"/>
      <c r="E211" s="92"/>
      <c r="F211" s="93"/>
      <c r="G211" s="93"/>
      <c r="H211" s="93"/>
      <c r="I211" s="94"/>
      <c r="J211" s="92"/>
      <c r="K211" s="92"/>
      <c r="L211" s="92"/>
    </row>
    <row r="212" spans="1:19" ht="16.5" customHeight="1">
      <c r="A212" s="12"/>
      <c r="B212" s="13" t="str">
        <f>'Giá tháng'!B49</f>
        <v>N2.30</v>
      </c>
      <c r="C212" s="14" t="str">
        <f>'Giá tháng'!C49</f>
        <v>Nhân công 3,0/7 - Nhóm 2</v>
      </c>
      <c r="D212" s="13" t="str">
        <f>'Giá tháng'!D49</f>
        <v>công</v>
      </c>
      <c r="E212" s="89"/>
      <c r="F212" s="80"/>
      <c r="G212" s="80">
        <v>2.67</v>
      </c>
      <c r="H212" s="80"/>
      <c r="I212" s="81">
        <f>'Giá tháng'!G49</f>
        <v>1</v>
      </c>
      <c r="J212" s="89"/>
      <c r="K212" s="89">
        <f>ROUND(IF(E$116=0,E204*G212*I212,E$116*E204*G212*I212),4)</f>
        <v>6.3813000000000004</v>
      </c>
      <c r="L212" s="89"/>
      <c r="S212" s="34">
        <v>203</v>
      </c>
    </row>
    <row r="213" spans="1:19" ht="16.5" customHeight="1">
      <c r="A213" s="12"/>
      <c r="B213" s="13"/>
      <c r="C213" s="90" t="s">
        <v>679</v>
      </c>
      <c r="D213" s="91"/>
      <c r="E213" s="92"/>
      <c r="F213" s="93"/>
      <c r="G213" s="93"/>
      <c r="H213" s="93"/>
      <c r="I213" s="94"/>
      <c r="J213" s="92"/>
      <c r="K213" s="92"/>
      <c r="L213" s="92"/>
    </row>
    <row r="214" spans="1:19" ht="28.5" customHeight="1">
      <c r="A214" s="12"/>
      <c r="B214" s="13" t="str">
        <f>'Giá tháng'!B74</f>
        <v>M104.0102</v>
      </c>
      <c r="C214" s="14" t="str">
        <f>'Giá tháng'!C74</f>
        <v>Máy trộn bê tông - dung tích : 250,0 lít</v>
      </c>
      <c r="D214" s="13" t="str">
        <f>'Giá tháng'!D74</f>
        <v>ca</v>
      </c>
      <c r="E214" s="89"/>
      <c r="F214" s="80"/>
      <c r="G214" s="80"/>
      <c r="H214" s="80">
        <v>9.5000000000000001E-2</v>
      </c>
      <c r="I214" s="81">
        <f>'Giá tháng'!G74</f>
        <v>1</v>
      </c>
      <c r="J214" s="89"/>
      <c r="K214" s="89"/>
      <c r="L214" s="89">
        <f>ROUND(IF(E$116=0,E204*H214*I214,E$116*E204*H214*I214),4)</f>
        <v>0.2271</v>
      </c>
      <c r="S214" s="34">
        <v>3020</v>
      </c>
    </row>
    <row r="215" spans="1:19" ht="28.5" customHeight="1">
      <c r="A215" s="12"/>
      <c r="B215" s="13" t="str">
        <f>'Giá tháng'!B62</f>
        <v>M112.1301</v>
      </c>
      <c r="C215" s="14" t="str">
        <f>'Giá tháng'!C62</f>
        <v>Máy đầm bê tông, dầm dùi - công suất : 1,5 kW</v>
      </c>
      <c r="D215" s="13" t="str">
        <f>'Giá tháng'!D62</f>
        <v>ca</v>
      </c>
      <c r="E215" s="89"/>
      <c r="F215" s="80"/>
      <c r="G215" s="80"/>
      <c r="H215" s="80">
        <v>0.18</v>
      </c>
      <c r="I215" s="81">
        <f>'Giá tháng'!G62</f>
        <v>1</v>
      </c>
      <c r="J215" s="89"/>
      <c r="K215" s="89"/>
      <c r="L215" s="89">
        <f>ROUND(IF(E$116=0,E204*H215*I215,E$116*E204*H215*I215),4)</f>
        <v>0.43020000000000003</v>
      </c>
      <c r="S215" s="34">
        <v>308</v>
      </c>
    </row>
    <row r="216" spans="1:19" ht="16.5" customHeight="1">
      <c r="A216" s="12">
        <f>'Công trình'!A70</f>
        <v>12</v>
      </c>
      <c r="B216" s="13" t="str">
        <f>'Công trình'!E70</f>
        <v>AF.61521</v>
      </c>
      <c r="C216" s="14" t="str">
        <f>'Công trình'!F70</f>
        <v>Thép cổ ga</v>
      </c>
      <c r="D216" s="13" t="str">
        <f>'Công trình'!G70</f>
        <v>tấn</v>
      </c>
      <c r="E216" s="89">
        <f>ROUND('Công trình'!P70,4)</f>
        <v>2.4E-2</v>
      </c>
      <c r="F216" s="80"/>
      <c r="G216" s="80"/>
      <c r="H216" s="80"/>
      <c r="I216" s="81"/>
      <c r="J216" s="89"/>
      <c r="K216" s="89"/>
      <c r="L216" s="89"/>
    </row>
    <row r="217" spans="1:19" ht="16.5" customHeight="1">
      <c r="A217" s="12"/>
      <c r="B217" s="13"/>
      <c r="C217" s="90" t="s">
        <v>683</v>
      </c>
      <c r="D217" s="91"/>
      <c r="E217" s="92"/>
      <c r="F217" s="93"/>
      <c r="G217" s="93"/>
      <c r="H217" s="93"/>
      <c r="I217" s="94"/>
      <c r="J217" s="92"/>
      <c r="K217" s="92"/>
      <c r="L217" s="92"/>
    </row>
    <row r="218" spans="1:19" ht="16.5" customHeight="1">
      <c r="A218" s="12"/>
      <c r="B218" s="13" t="str">
        <f>'Giá tháng'!B43</f>
        <v>A24.0739</v>
      </c>
      <c r="C218" s="14" t="str">
        <f>'Giá tháng'!C43</f>
        <v>Thép tròn D&lt;=18mm</v>
      </c>
      <c r="D218" s="13" t="str">
        <f>'Giá tháng'!D43</f>
        <v>kg</v>
      </c>
      <c r="E218" s="89"/>
      <c r="F218" s="80">
        <v>1020</v>
      </c>
      <c r="G218" s="80"/>
      <c r="H218" s="80"/>
      <c r="I218" s="81">
        <f>'Giá tháng'!G43</f>
        <v>1</v>
      </c>
      <c r="J218" s="89">
        <f>ROUND(IF(E$116=0,E216*F218*I218,E$116*E216*F218*I218),4)</f>
        <v>24.48</v>
      </c>
      <c r="K218" s="89"/>
      <c r="L218" s="89"/>
      <c r="S218" s="34">
        <v>1042</v>
      </c>
    </row>
    <row r="219" spans="1:19" ht="16.5" customHeight="1">
      <c r="A219" s="12"/>
      <c r="B219" s="13" t="str">
        <f>'Giá tháng'!B14</f>
        <v>A24.0293</v>
      </c>
      <c r="C219" s="14" t="str">
        <f>'Giá tháng'!C14</f>
        <v>Dây thép</v>
      </c>
      <c r="D219" s="13" t="str">
        <f>'Giá tháng'!D14</f>
        <v>kg</v>
      </c>
      <c r="E219" s="89"/>
      <c r="F219" s="80">
        <v>9.2799999999999994</v>
      </c>
      <c r="G219" s="80"/>
      <c r="H219" s="80"/>
      <c r="I219" s="81">
        <f>'Giá tháng'!G14</f>
        <v>1</v>
      </c>
      <c r="J219" s="89">
        <f>ROUND(IF(E$116=0,E216*F219*I219,E$116*E216*F219*I219),4)</f>
        <v>0.22270000000000001</v>
      </c>
      <c r="K219" s="89"/>
      <c r="L219" s="89"/>
      <c r="S219" s="34">
        <v>1013</v>
      </c>
    </row>
    <row r="220" spans="1:19" ht="16.5" customHeight="1">
      <c r="A220" s="12"/>
      <c r="B220" s="13" t="str">
        <f>'Giá tháng'!B37</f>
        <v>A24.0543</v>
      </c>
      <c r="C220" s="14" t="str">
        <f>'Giá tháng'!C37</f>
        <v>Que hàn</v>
      </c>
      <c r="D220" s="13" t="str">
        <f>'Giá tháng'!D37</f>
        <v>kg</v>
      </c>
      <c r="E220" s="89"/>
      <c r="F220" s="80">
        <v>4.7</v>
      </c>
      <c r="G220" s="80"/>
      <c r="H220" s="80"/>
      <c r="I220" s="81">
        <f>'Giá tháng'!G37</f>
        <v>1</v>
      </c>
      <c r="J220" s="89">
        <f>ROUND(IF(E$116=0,E216*F220*I220,E$116*E216*F220*I220),4)</f>
        <v>0.1128</v>
      </c>
      <c r="K220" s="89"/>
      <c r="L220" s="89"/>
      <c r="S220" s="34">
        <v>1036</v>
      </c>
    </row>
    <row r="221" spans="1:19" ht="16.5" customHeight="1">
      <c r="A221" s="12"/>
      <c r="B221" s="13"/>
      <c r="C221" s="90" t="s">
        <v>678</v>
      </c>
      <c r="D221" s="91"/>
      <c r="E221" s="92"/>
      <c r="F221" s="93"/>
      <c r="G221" s="93"/>
      <c r="H221" s="93"/>
      <c r="I221" s="94"/>
      <c r="J221" s="92"/>
      <c r="K221" s="92"/>
      <c r="L221" s="92"/>
    </row>
    <row r="222" spans="1:19" ht="16.5" customHeight="1">
      <c r="A222" s="12"/>
      <c r="B222" s="13" t="str">
        <f>'Giá tháng'!B51</f>
        <v>N2.35</v>
      </c>
      <c r="C222" s="14" t="str">
        <f>'Giá tháng'!C51</f>
        <v>Nhân công 3,5/7 - Nhóm 2</v>
      </c>
      <c r="D222" s="13" t="str">
        <f>'Giá tháng'!D51</f>
        <v>công</v>
      </c>
      <c r="E222" s="89"/>
      <c r="F222" s="80"/>
      <c r="G222" s="80">
        <v>9.24</v>
      </c>
      <c r="H222" s="80"/>
      <c r="I222" s="81">
        <f>'Giá tháng'!G51</f>
        <v>1</v>
      </c>
      <c r="J222" s="89"/>
      <c r="K222" s="89">
        <f>ROUND(IF(E$116=0,E216*G222*I222,E$116*E216*G222*I222),4)</f>
        <v>0.2218</v>
      </c>
      <c r="L222" s="89"/>
      <c r="S222" s="34">
        <v>205</v>
      </c>
    </row>
    <row r="223" spans="1:19" ht="16.5" customHeight="1">
      <c r="A223" s="12"/>
      <c r="B223" s="13"/>
      <c r="C223" s="90" t="s">
        <v>679</v>
      </c>
      <c r="D223" s="91"/>
      <c r="E223" s="92"/>
      <c r="F223" s="93"/>
      <c r="G223" s="93"/>
      <c r="H223" s="93"/>
      <c r="I223" s="94"/>
      <c r="J223" s="92"/>
      <c r="K223" s="92"/>
      <c r="L223" s="92"/>
    </row>
    <row r="224" spans="1:19" ht="28.5" customHeight="1">
      <c r="A224" s="12"/>
      <c r="B224" s="13" t="str">
        <f>'Giá tháng'!B64</f>
        <v>M112.4003</v>
      </c>
      <c r="C224" s="14" t="str">
        <f>'Giá tháng'!C64</f>
        <v>Máy hàn xoay chiều - công suất : 23,0 kW</v>
      </c>
      <c r="D224" s="13" t="str">
        <f>'Giá tháng'!D64</f>
        <v>ca</v>
      </c>
      <c r="E224" s="89"/>
      <c r="F224" s="80"/>
      <c r="G224" s="80"/>
      <c r="H224" s="80">
        <v>1.133</v>
      </c>
      <c r="I224" s="81">
        <f>'Giá tháng'!G64</f>
        <v>1</v>
      </c>
      <c r="J224" s="89"/>
      <c r="K224" s="89"/>
      <c r="L224" s="89">
        <f>ROUND(IF(E$116=0,E216*H224*I224,E$116*E216*H224*I224),4)</f>
        <v>2.7199999999999998E-2</v>
      </c>
      <c r="S224" s="34">
        <v>3010</v>
      </c>
    </row>
    <row r="225" spans="1:19" ht="28.5" customHeight="1">
      <c r="A225" s="12"/>
      <c r="B225" s="13" t="str">
        <f>'Giá tháng'!B56</f>
        <v>M112.2601</v>
      </c>
      <c r="C225" s="14" t="str">
        <f>'Giá tháng'!C56</f>
        <v>Máy cắt uốn cốt thép - công suất : 5,0 kW</v>
      </c>
      <c r="D225" s="13" t="str">
        <f>'Giá tháng'!D56</f>
        <v>ca</v>
      </c>
      <c r="E225" s="89"/>
      <c r="F225" s="80"/>
      <c r="G225" s="80"/>
      <c r="H225" s="80">
        <v>0.32</v>
      </c>
      <c r="I225" s="81">
        <f>'Giá tháng'!G56</f>
        <v>1</v>
      </c>
      <c r="J225" s="89"/>
      <c r="K225" s="89"/>
      <c r="L225" s="89">
        <f>ROUND(IF(E$116=0,E216*H225*I225,E$116*E216*H225*I225),4)</f>
        <v>7.7000000000000002E-3</v>
      </c>
      <c r="S225" s="34">
        <v>302</v>
      </c>
    </row>
    <row r="226" spans="1:19" ht="16.5" customHeight="1">
      <c r="A226" s="12">
        <f>'Công trình'!A72</f>
        <v>13</v>
      </c>
      <c r="B226" s="13" t="str">
        <f>'Công trình'!E72</f>
        <v>AI.13131</v>
      </c>
      <c r="C226" s="14" t="str">
        <f>'Công trình'!F72</f>
        <v>Thép góc viền cổ ga</v>
      </c>
      <c r="D226" s="13" t="str">
        <f>'Công trình'!G72</f>
        <v>tấn</v>
      </c>
      <c r="E226" s="89">
        <f>ROUND('Công trình'!P72,4)</f>
        <v>0.4698</v>
      </c>
      <c r="F226" s="80"/>
      <c r="G226" s="80"/>
      <c r="H226" s="80"/>
      <c r="I226" s="81"/>
      <c r="J226" s="89"/>
      <c r="K226" s="89"/>
      <c r="L226" s="89"/>
    </row>
    <row r="227" spans="1:19" ht="16.5" customHeight="1">
      <c r="A227" s="12"/>
      <c r="B227" s="13"/>
      <c r="C227" s="90" t="s">
        <v>683</v>
      </c>
      <c r="D227" s="91"/>
      <c r="E227" s="92"/>
      <c r="F227" s="93"/>
      <c r="G227" s="93"/>
      <c r="H227" s="93"/>
      <c r="I227" s="94"/>
      <c r="J227" s="92"/>
      <c r="K227" s="92"/>
      <c r="L227" s="92"/>
    </row>
    <row r="228" spans="1:19" ht="16.5" customHeight="1">
      <c r="A228" s="12"/>
      <c r="B228" s="13" t="str">
        <f>'Giá tháng'!B40</f>
        <v>A24.0726</v>
      </c>
      <c r="C228" s="14" t="str">
        <f>'Giá tháng'!C40</f>
        <v>Thép tấm</v>
      </c>
      <c r="D228" s="13" t="str">
        <f>'Giá tháng'!D40</f>
        <v>kg</v>
      </c>
      <c r="E228" s="89"/>
      <c r="F228" s="80">
        <v>787</v>
      </c>
      <c r="G228" s="80"/>
      <c r="H228" s="80"/>
      <c r="I228" s="81">
        <f>'Giá tháng'!G40</f>
        <v>1</v>
      </c>
      <c r="J228" s="89">
        <f>ROUND(IF(E$116=0,E226*F228*I228,E$116*E226*F228*I228),4)</f>
        <v>369.73259999999999</v>
      </c>
      <c r="K228" s="89"/>
      <c r="L228" s="89"/>
      <c r="Q228" s="34">
        <f>'Cước VC'!AU39</f>
        <v>0</v>
      </c>
      <c r="R228" s="34">
        <f>'Cước bộ'!W39</f>
        <v>0</v>
      </c>
      <c r="S228" s="34">
        <v>1039</v>
      </c>
    </row>
    <row r="229" spans="1:19" ht="16.5" customHeight="1">
      <c r="A229" s="12"/>
      <c r="B229" s="13" t="str">
        <f>'Giá tháng'!B41</f>
        <v>A24.0735</v>
      </c>
      <c r="C229" s="14" t="str">
        <f>'Giá tháng'!C41</f>
        <v>Thép tròn</v>
      </c>
      <c r="D229" s="13" t="str">
        <f>'Giá tháng'!D41</f>
        <v>kg</v>
      </c>
      <c r="E229" s="89"/>
      <c r="F229" s="80">
        <v>263</v>
      </c>
      <c r="G229" s="80"/>
      <c r="H229" s="80"/>
      <c r="I229" s="81">
        <f>'Giá tháng'!G41</f>
        <v>1</v>
      </c>
      <c r="J229" s="89">
        <f>ROUND(IF(E$116=0,E226*F229*I229,E$116*E226*F229*I229),4)</f>
        <v>123.5574</v>
      </c>
      <c r="K229" s="89"/>
      <c r="L229" s="89"/>
      <c r="Q229" s="34">
        <f>'Cước VC'!AU40</f>
        <v>0</v>
      </c>
      <c r="R229" s="34">
        <f>'Cước bộ'!W40</f>
        <v>0</v>
      </c>
      <c r="S229" s="34">
        <v>1040</v>
      </c>
    </row>
    <row r="230" spans="1:19" ht="16.5" customHeight="1">
      <c r="A230" s="12"/>
      <c r="B230" s="13" t="str">
        <f>'Giá tháng'!B34</f>
        <v>A24.0001</v>
      </c>
      <c r="C230" s="14" t="str">
        <f>'Giá tháng'!C34</f>
        <v>Ô xy</v>
      </c>
      <c r="D230" s="13" t="str">
        <f>'Giá tháng'!D34</f>
        <v>chai</v>
      </c>
      <c r="E230" s="89"/>
      <c r="F230" s="80">
        <v>2.69</v>
      </c>
      <c r="G230" s="80"/>
      <c r="H230" s="80"/>
      <c r="I230" s="81">
        <f>'Giá tháng'!G34</f>
        <v>1</v>
      </c>
      <c r="J230" s="89">
        <f>ROUND(IF(E$116=0,E226*F230*I230,E$116*E226*F230*I230),4)</f>
        <v>1.2638</v>
      </c>
      <c r="K230" s="89"/>
      <c r="L230" s="89"/>
      <c r="Q230" s="34">
        <f>'Cước VC'!AU33</f>
        <v>0</v>
      </c>
      <c r="R230" s="34">
        <f>'Cước bộ'!W33</f>
        <v>0</v>
      </c>
      <c r="S230" s="34">
        <v>1033</v>
      </c>
    </row>
    <row r="231" spans="1:19" ht="16.5" customHeight="1">
      <c r="A231" s="12"/>
      <c r="B231" s="13" t="str">
        <f>'Giá tháng'!B26</f>
        <v>A24.0931</v>
      </c>
      <c r="C231" s="14" t="str">
        <f>'Giá tháng'!C26</f>
        <v>Khí gas</v>
      </c>
      <c r="D231" s="13" t="str">
        <f>'Giá tháng'!D26</f>
        <v>kg</v>
      </c>
      <c r="E231" s="89"/>
      <c r="F231" s="80">
        <v>5.38</v>
      </c>
      <c r="G231" s="80"/>
      <c r="H231" s="80"/>
      <c r="I231" s="81">
        <f>'Giá tháng'!G26</f>
        <v>1</v>
      </c>
      <c r="J231" s="89">
        <f>ROUND(IF(E$116=0,E226*F231*I231,E$116*E226*F231*I231),4)</f>
        <v>2.5274999999999999</v>
      </c>
      <c r="K231" s="89"/>
      <c r="L231" s="89"/>
      <c r="Q231" s="34">
        <f>'Cước VC'!AU26</f>
        <v>0</v>
      </c>
      <c r="R231" s="34">
        <f>'Cước bộ'!W26</f>
        <v>0</v>
      </c>
      <c r="S231" s="34">
        <v>1025</v>
      </c>
    </row>
    <row r="232" spans="1:19" ht="16.5" customHeight="1">
      <c r="A232" s="12"/>
      <c r="B232" s="13" t="str">
        <f>'Giá tháng'!B18</f>
        <v>A24.0032</v>
      </c>
      <c r="C232" s="14" t="str">
        <f>'Giá tháng'!C18</f>
        <v>Đá mài</v>
      </c>
      <c r="D232" s="13" t="str">
        <f>'Giá tháng'!D18</f>
        <v>viên</v>
      </c>
      <c r="E232" s="89"/>
      <c r="F232" s="80">
        <v>0.6</v>
      </c>
      <c r="G232" s="80"/>
      <c r="H232" s="80"/>
      <c r="I232" s="81">
        <f>'Giá tháng'!G18</f>
        <v>1</v>
      </c>
      <c r="J232" s="89">
        <f>ROUND(IF(E$116=0,E226*F232*I232,E$116*E226*F232*I232),4)</f>
        <v>0.28189999999999998</v>
      </c>
      <c r="K232" s="89"/>
      <c r="L232" s="89"/>
      <c r="Q232" s="34">
        <f>'Cước VC'!AU18</f>
        <v>0</v>
      </c>
      <c r="R232" s="34">
        <f>'Cước bộ'!W18</f>
        <v>0</v>
      </c>
      <c r="S232" s="34">
        <v>1017</v>
      </c>
    </row>
    <row r="233" spans="1:19" ht="16.5" customHeight="1">
      <c r="A233" s="12"/>
      <c r="B233" s="13" t="str">
        <f>'Giá tháng'!B37</f>
        <v>A24.0543</v>
      </c>
      <c r="C233" s="14" t="str">
        <f>'Giá tháng'!C37</f>
        <v>Que hàn</v>
      </c>
      <c r="D233" s="13" t="str">
        <f>'Giá tháng'!D37</f>
        <v>kg</v>
      </c>
      <c r="E233" s="89"/>
      <c r="F233" s="80">
        <v>11</v>
      </c>
      <c r="G233" s="80"/>
      <c r="H233" s="80"/>
      <c r="I233" s="81">
        <f>'Giá tháng'!G37</f>
        <v>1</v>
      </c>
      <c r="J233" s="89">
        <f>ROUND(IF(E$116=0,E226*F233*I233,E$116*E226*F233*I233),4)</f>
        <v>5.1677999999999997</v>
      </c>
      <c r="K233" s="89"/>
      <c r="L233" s="89"/>
      <c r="Q233" s="34">
        <f>'Cước VC'!AU36</f>
        <v>0</v>
      </c>
      <c r="R233" s="34">
        <f>'Cước bộ'!W36</f>
        <v>0</v>
      </c>
      <c r="S233" s="34">
        <v>1036</v>
      </c>
    </row>
    <row r="234" spans="1:19" ht="16.5" customHeight="1">
      <c r="A234" s="12"/>
      <c r="B234" s="13" t="s">
        <v>684</v>
      </c>
      <c r="C234" s="14" t="s">
        <v>685</v>
      </c>
      <c r="D234" s="13" t="s">
        <v>682</v>
      </c>
      <c r="E234" s="89"/>
      <c r="F234" s="80">
        <v>0.5</v>
      </c>
      <c r="G234" s="80"/>
      <c r="H234" s="80"/>
      <c r="I234" s="81"/>
      <c r="J234" s="89"/>
      <c r="K234" s="89"/>
      <c r="L234" s="89"/>
      <c r="M234" s="34">
        <f>ROUND(IF(E$116=0,E226*F234*(F228*'Giá tháng'!E40*'Giá tháng'!G40+F229*'Giá tháng'!E41*'Giá tháng'!G41+F230*'Giá tháng'!E34*'Giá tháng'!G34+F231*'Giá tháng'!E26*'Giá tháng'!G26+F232*'Giá tháng'!E18*'Giá tháng'!G18+F233*'Giá tháng'!E37*'Giá tháng'!G37)/100,E$116*E226*F234*(F228*'Giá tháng'!E40*'Giá tháng'!G40+F229*'Giá tháng'!E41*'Giá tháng'!G41+F230*'Giá tháng'!E34*'Giá tháng'!G34+F231*'Giá tháng'!E26*'Giá tháng'!G26+F232*'Giá tháng'!E18*'Giá tháng'!G18+F233*'Giá tháng'!E37*'Giá tháng'!G37)/100),1)</f>
        <v>48704</v>
      </c>
      <c r="O234" s="34">
        <f>ROUND(IF(E$116=0,E226*F234*(F228*('Giá tháng'!F40+Q228+R228)*'Giá tháng'!G40+F229*('Giá tháng'!F41+Q229+R229)*'Giá tháng'!G41+F230*('Giá tháng'!F34+Q230+R230)*'Giá tháng'!G34+F231*('Giá tháng'!F26+Q231+R231)*'Giá tháng'!G26+F232*('Giá tháng'!F18+Q232+R232)*'Giá tháng'!G18+F233*('Giá tháng'!F37+Q233+R233)*'Giá tháng'!G37)/100,E$116*E226*F234*(F228*('Giá tháng'!F40+Q228+R228)*'Giá tháng'!G40+F229*('Giá tháng'!F41+Q229+R229)*'Giá tháng'!G41+F230*('Giá tháng'!F34+Q230+R230)*'Giá tháng'!G34+F231*('Giá tháng'!F26+Q231+R231)*'Giá tháng'!G26+F232*('Giá tháng'!F18+Q232+R232)*'Giá tháng'!G18+F233*('Giá tháng'!F37+Q233+R233)*'Giá tháng'!G37)/100),1)</f>
        <v>47904.5</v>
      </c>
    </row>
    <row r="235" spans="1:19" ht="16.5" customHeight="1">
      <c r="A235" s="12"/>
      <c r="B235" s="13"/>
      <c r="C235" s="90" t="s">
        <v>678</v>
      </c>
      <c r="D235" s="91"/>
      <c r="E235" s="92"/>
      <c r="F235" s="93"/>
      <c r="G235" s="93"/>
      <c r="H235" s="93"/>
      <c r="I235" s="94"/>
      <c r="J235" s="92"/>
      <c r="K235" s="92"/>
      <c r="L235" s="92"/>
    </row>
    <row r="236" spans="1:19" ht="16.5" customHeight="1">
      <c r="A236" s="12"/>
      <c r="B236" s="13" t="str">
        <f>'Giá tháng'!B53</f>
        <v>N2.40</v>
      </c>
      <c r="C236" s="14" t="str">
        <f>'Giá tháng'!C53</f>
        <v>Nhân công 4,0/7 - Nhóm 2</v>
      </c>
      <c r="D236" s="13" t="str">
        <f>'Giá tháng'!D53</f>
        <v>công</v>
      </c>
      <c r="E236" s="89"/>
      <c r="F236" s="80"/>
      <c r="G236" s="80">
        <v>19.54</v>
      </c>
      <c r="H236" s="80"/>
      <c r="I236" s="81">
        <f>'Giá tháng'!G53</f>
        <v>1</v>
      </c>
      <c r="J236" s="89"/>
      <c r="K236" s="89">
        <f>ROUND(IF(E$116=0,E226*G236*I236,E$116*E226*G236*I236),4)</f>
        <v>9.1798999999999999</v>
      </c>
      <c r="L236" s="89"/>
      <c r="S236" s="34">
        <v>206</v>
      </c>
    </row>
    <row r="237" spans="1:19" ht="16.5" customHeight="1">
      <c r="A237" s="12"/>
      <c r="B237" s="13"/>
      <c r="C237" s="90" t="s">
        <v>679</v>
      </c>
      <c r="D237" s="91"/>
      <c r="E237" s="92"/>
      <c r="F237" s="93"/>
      <c r="G237" s="93"/>
      <c r="H237" s="93"/>
      <c r="I237" s="94"/>
      <c r="J237" s="92"/>
      <c r="K237" s="92"/>
      <c r="L237" s="92"/>
    </row>
    <row r="238" spans="1:19" ht="28.5" customHeight="1">
      <c r="A238" s="12"/>
      <c r="B238" s="13" t="str">
        <f>'Giá tháng'!B64</f>
        <v>M112.4003</v>
      </c>
      <c r="C238" s="14" t="str">
        <f>'Giá tháng'!C64</f>
        <v>Máy hàn xoay chiều - công suất : 23,0 kW</v>
      </c>
      <c r="D238" s="13" t="str">
        <f>'Giá tháng'!D64</f>
        <v>ca</v>
      </c>
      <c r="E238" s="89"/>
      <c r="F238" s="80"/>
      <c r="G238" s="80"/>
      <c r="H238" s="80">
        <v>2.62</v>
      </c>
      <c r="I238" s="81">
        <f>'Giá tháng'!G64</f>
        <v>1</v>
      </c>
      <c r="J238" s="89"/>
      <c r="K238" s="89"/>
      <c r="L238" s="89">
        <f>ROUND(IF(E$116=0,E226*H238*I238,E$116*E226*H238*I238),4)</f>
        <v>1.2309000000000001</v>
      </c>
      <c r="S238" s="34">
        <v>3010</v>
      </c>
    </row>
    <row r="239" spans="1:19" ht="16.5" customHeight="1">
      <c r="A239" s="12"/>
      <c r="B239" s="13" t="str">
        <f>'Giá tháng'!B71</f>
        <v>M112.3703</v>
      </c>
      <c r="C239" s="14" t="str">
        <f>'Giá tháng'!C71</f>
        <v>Máy mài - công suất : 2,7 kW</v>
      </c>
      <c r="D239" s="13" t="str">
        <f>'Giá tháng'!D71</f>
        <v>ca</v>
      </c>
      <c r="E239" s="89"/>
      <c r="F239" s="80"/>
      <c r="G239" s="80"/>
      <c r="H239" s="80">
        <v>1.29</v>
      </c>
      <c r="I239" s="81">
        <f>'Giá tháng'!G71</f>
        <v>1</v>
      </c>
      <c r="J239" s="89"/>
      <c r="K239" s="89"/>
      <c r="L239" s="89">
        <f>ROUND(IF(E$116=0,E226*H239*I239,E$116*E226*H239*I239),4)</f>
        <v>0.60599999999999998</v>
      </c>
      <c r="S239" s="34">
        <v>3017</v>
      </c>
    </row>
    <row r="240" spans="1:19" ht="28.5" customHeight="1">
      <c r="A240" s="12"/>
      <c r="B240" s="13" t="str">
        <f>'Giá tháng'!B65</f>
        <v>M112.1501</v>
      </c>
      <c r="C240" s="14" t="str">
        <f>'Giá tháng'!C65</f>
        <v>Máy khoan đứng - công suất : 2,5 kW</v>
      </c>
      <c r="D240" s="13" t="str">
        <f>'Giá tháng'!D65</f>
        <v>ca</v>
      </c>
      <c r="E240" s="89"/>
      <c r="F240" s="80"/>
      <c r="G240" s="80"/>
      <c r="H240" s="80">
        <v>1.29</v>
      </c>
      <c r="I240" s="81">
        <f>'Giá tháng'!G65</f>
        <v>1</v>
      </c>
      <c r="J240" s="89"/>
      <c r="K240" s="89"/>
      <c r="L240" s="89">
        <f>ROUND(IF(E$116=0,E226*H240*I240,E$116*E226*H240*I240),4)</f>
        <v>0.60599999999999998</v>
      </c>
      <c r="S240" s="34">
        <v>3011</v>
      </c>
    </row>
    <row r="241" spans="1:19" ht="16.5" customHeight="1">
      <c r="A241" s="12"/>
      <c r="B241" s="13" t="s">
        <v>680</v>
      </c>
      <c r="C241" s="14" t="s">
        <v>681</v>
      </c>
      <c r="D241" s="13" t="s">
        <v>682</v>
      </c>
      <c r="E241" s="89"/>
      <c r="F241" s="80"/>
      <c r="G241" s="80"/>
      <c r="H241" s="80">
        <v>1</v>
      </c>
      <c r="I241" s="81"/>
      <c r="J241" s="89"/>
      <c r="K241" s="89"/>
      <c r="L241" s="89"/>
      <c r="N241" s="34">
        <f>ROUND(IF(E$116=0,E226*H241*(H238*'Giá tháng'!E64*'Giá tháng'!G64+H239*'Giá tháng'!E71*'Giá tháng'!G71+H240*'Giá tháng'!E65*'Giá tháng'!G65)/100,E$116*E226*H241*(H238*'Giá tháng'!E64*'Giá tháng'!G64+H239*'Giá tháng'!E71*'Giá tháng'!G71+H240*'Giá tháng'!E65*'Giá tháng'!G65)/100),1)</f>
        <v>5470.6</v>
      </c>
      <c r="P241" s="34">
        <f>ROUND(IF(E$116=0,E226*H241*(H238*'Giá tháng'!F64*'Giá tháng'!G64+H239*'Giá tháng'!F71*'Giá tháng'!G71+H240*'Giá tháng'!F65*'Giá tháng'!G65)/100,E$116*E226*H241*(H238*'Giá tháng'!F64*'Giá tháng'!G64+H239*'Giá tháng'!F71*'Giá tháng'!G71+H240*'Giá tháng'!F65*'Giá tháng'!G65)/100),1)</f>
        <v>5349</v>
      </c>
    </row>
    <row r="242" spans="1:19" ht="28.5" customHeight="1">
      <c r="A242" s="12">
        <f>'Công trình'!A75</f>
        <v>14</v>
      </c>
      <c r="B242" s="13" t="str">
        <f>'Công trình'!E75</f>
        <v>AG.13231</v>
      </c>
      <c r="C242" s="14" t="str">
        <f>'Công trình'!F75</f>
        <v>Công tác gia công, lắp đặt cốt thép bê tông đúc sẵn. Cốt thép tấm đan</v>
      </c>
      <c r="D242" s="13" t="str">
        <f>'Công trình'!G75</f>
        <v>tấn</v>
      </c>
      <c r="E242" s="89">
        <f>ROUND('Công trình'!P75,4)</f>
        <v>0.88080000000000003</v>
      </c>
      <c r="F242" s="80"/>
      <c r="G242" s="80"/>
      <c r="H242" s="80"/>
      <c r="I242" s="81"/>
      <c r="J242" s="89"/>
      <c r="K242" s="89"/>
      <c r="L242" s="89"/>
    </row>
    <row r="243" spans="1:19" ht="16.5" customHeight="1">
      <c r="A243" s="12"/>
      <c r="B243" s="13"/>
      <c r="C243" s="90" t="s">
        <v>683</v>
      </c>
      <c r="D243" s="91"/>
      <c r="E243" s="92"/>
      <c r="F243" s="93"/>
      <c r="G243" s="93"/>
      <c r="H243" s="93"/>
      <c r="I243" s="94"/>
      <c r="J243" s="92"/>
      <c r="K243" s="92"/>
      <c r="L243" s="92"/>
    </row>
    <row r="244" spans="1:19" ht="16.5" customHeight="1">
      <c r="A244" s="12"/>
      <c r="B244" s="13" t="str">
        <f>'Giá tháng'!B41</f>
        <v>A24.0735</v>
      </c>
      <c r="C244" s="14" t="str">
        <f>'Giá tháng'!C41</f>
        <v>Thép tròn</v>
      </c>
      <c r="D244" s="13" t="str">
        <f>'Giá tháng'!D41</f>
        <v>kg</v>
      </c>
      <c r="E244" s="89"/>
      <c r="F244" s="80">
        <v>1020</v>
      </c>
      <c r="G244" s="80"/>
      <c r="H244" s="80"/>
      <c r="I244" s="81">
        <f>'Giá tháng'!G41</f>
        <v>1</v>
      </c>
      <c r="J244" s="89">
        <f>ROUND(IF(E$116=0,E242*F244*I244,E$116*E242*F244*I244),4)</f>
        <v>898.41600000000005</v>
      </c>
      <c r="K244" s="89"/>
      <c r="L244" s="89"/>
      <c r="S244" s="34">
        <v>1040</v>
      </c>
    </row>
    <row r="245" spans="1:19" ht="16.5" customHeight="1">
      <c r="A245" s="12"/>
      <c r="B245" s="13" t="str">
        <f>'Giá tháng'!B14</f>
        <v>A24.0293</v>
      </c>
      <c r="C245" s="14" t="str">
        <f>'Giá tháng'!C14</f>
        <v>Dây thép</v>
      </c>
      <c r="D245" s="13" t="str">
        <f>'Giá tháng'!D14</f>
        <v>kg</v>
      </c>
      <c r="E245" s="89"/>
      <c r="F245" s="80">
        <v>16.07</v>
      </c>
      <c r="G245" s="80"/>
      <c r="H245" s="80"/>
      <c r="I245" s="81">
        <f>'Giá tháng'!G14</f>
        <v>1</v>
      </c>
      <c r="J245" s="89">
        <f>ROUND(IF(E$116=0,E242*F245*I245,E$116*E242*F245*I245),4)</f>
        <v>14.154500000000001</v>
      </c>
      <c r="K245" s="89"/>
      <c r="L245" s="89"/>
      <c r="S245" s="34">
        <v>1013</v>
      </c>
    </row>
    <row r="246" spans="1:19" ht="16.5" customHeight="1">
      <c r="A246" s="12"/>
      <c r="B246" s="13"/>
      <c r="C246" s="90" t="s">
        <v>678</v>
      </c>
      <c r="D246" s="91"/>
      <c r="E246" s="92"/>
      <c r="F246" s="93"/>
      <c r="G246" s="93"/>
      <c r="H246" s="93"/>
      <c r="I246" s="94"/>
      <c r="J246" s="92"/>
      <c r="K246" s="92"/>
      <c r="L246" s="92"/>
    </row>
    <row r="247" spans="1:19" ht="16.5" customHeight="1">
      <c r="A247" s="12"/>
      <c r="B247" s="13" t="str">
        <f>'Giá tháng'!B51</f>
        <v>N2.35</v>
      </c>
      <c r="C247" s="14" t="str">
        <f>'Giá tháng'!C51</f>
        <v>Nhân công 3,5/7 - Nhóm 2</v>
      </c>
      <c r="D247" s="13" t="str">
        <f>'Giá tháng'!D51</f>
        <v>công</v>
      </c>
      <c r="E247" s="89"/>
      <c r="F247" s="80"/>
      <c r="G247" s="80">
        <v>16.25</v>
      </c>
      <c r="H247" s="80"/>
      <c r="I247" s="81">
        <f>'Giá tháng'!G51</f>
        <v>1</v>
      </c>
      <c r="J247" s="89"/>
      <c r="K247" s="89">
        <f>ROUND(IF(E$116=0,E242*G247*I247,E$116*E242*G247*I247),4)</f>
        <v>14.313000000000001</v>
      </c>
      <c r="L247" s="89"/>
      <c r="S247" s="34">
        <v>205</v>
      </c>
    </row>
    <row r="248" spans="1:19" ht="16.5" customHeight="1">
      <c r="A248" s="12"/>
      <c r="B248" s="13"/>
      <c r="C248" s="90" t="s">
        <v>679</v>
      </c>
      <c r="D248" s="91"/>
      <c r="E248" s="92"/>
      <c r="F248" s="93"/>
      <c r="G248" s="93"/>
      <c r="H248" s="93"/>
      <c r="I248" s="94"/>
      <c r="J248" s="92"/>
      <c r="K248" s="92"/>
      <c r="L248" s="92"/>
    </row>
    <row r="249" spans="1:19" ht="28.5" customHeight="1">
      <c r="A249" s="12"/>
      <c r="B249" s="13" t="str">
        <f>'Giá tháng'!B56</f>
        <v>M112.2601</v>
      </c>
      <c r="C249" s="14" t="str">
        <f>'Giá tháng'!C56</f>
        <v>Máy cắt uốn cốt thép - công suất : 5,0 kW</v>
      </c>
      <c r="D249" s="13" t="str">
        <f>'Giá tháng'!D56</f>
        <v>ca</v>
      </c>
      <c r="E249" s="89"/>
      <c r="F249" s="80"/>
      <c r="G249" s="80"/>
      <c r="H249" s="80">
        <v>0.4</v>
      </c>
      <c r="I249" s="81">
        <f>'Giá tháng'!G56</f>
        <v>1</v>
      </c>
      <c r="J249" s="89"/>
      <c r="K249" s="89"/>
      <c r="L249" s="89">
        <f>ROUND(IF(E$116=0,E242*H249*I249,E$116*E242*H249*I249),4)</f>
        <v>0.3523</v>
      </c>
      <c r="S249" s="34">
        <v>302</v>
      </c>
    </row>
    <row r="250" spans="1:19" ht="16.5" customHeight="1">
      <c r="A250" s="12">
        <f>'Công trình'!A78</f>
        <v>15</v>
      </c>
      <c r="B250" s="13" t="str">
        <f>'Công trình'!E78</f>
        <v>AG.11414A</v>
      </c>
      <c r="C250" s="14" t="str">
        <f>'Công trình'!F78</f>
        <v>Bê tông tấm đan, đá 1x2 mác 250</v>
      </c>
      <c r="D250" s="13" t="str">
        <f>'Công trình'!G78</f>
        <v>m3</v>
      </c>
      <c r="E250" s="89">
        <f>ROUND('Công trình'!P78,4)</f>
        <v>1.5</v>
      </c>
      <c r="F250" s="80"/>
      <c r="G250" s="80"/>
      <c r="H250" s="80"/>
      <c r="I250" s="81"/>
      <c r="J250" s="89"/>
      <c r="K250" s="89"/>
      <c r="L250" s="89"/>
    </row>
    <row r="251" spans="1:19" ht="16.5" customHeight="1">
      <c r="A251" s="12"/>
      <c r="B251" s="13"/>
      <c r="C251" s="90" t="s">
        <v>683</v>
      </c>
      <c r="D251" s="91"/>
      <c r="E251" s="92"/>
      <c r="F251" s="93"/>
      <c r="G251" s="93"/>
      <c r="H251" s="93"/>
      <c r="I251" s="94"/>
      <c r="J251" s="92"/>
      <c r="K251" s="92"/>
      <c r="L251" s="92"/>
    </row>
    <row r="252" spans="1:19" ht="16.5" customHeight="1">
      <c r="A252" s="12"/>
      <c r="B252" s="13" t="str">
        <f>'Giá tháng'!B45</f>
        <v>A24.0797A</v>
      </c>
      <c r="C252" s="14" t="str">
        <f>'Giá tháng'!C45</f>
        <v>Xi măng PCB30</v>
      </c>
      <c r="D252" s="13" t="str">
        <f>'Giá tháng'!D45</f>
        <v>kg</v>
      </c>
      <c r="E252" s="89"/>
      <c r="F252" s="80">
        <v>365.4</v>
      </c>
      <c r="G252" s="80"/>
      <c r="H252" s="80"/>
      <c r="I252" s="81">
        <f>'Giá tháng'!G45</f>
        <v>1</v>
      </c>
      <c r="J252" s="89">
        <f>ROUND(IF(E$116=0,E250*F252*I252,E$116*E250*F252*I252),4)</f>
        <v>548.1</v>
      </c>
      <c r="K252" s="89"/>
      <c r="L252" s="89"/>
      <c r="Q252" s="34">
        <f>'Cước VC'!AU43</f>
        <v>0</v>
      </c>
      <c r="R252" s="34">
        <f>'Cước bộ'!W43</f>
        <v>0</v>
      </c>
      <c r="S252" s="34">
        <v>1043</v>
      </c>
    </row>
    <row r="253" spans="1:19" ht="16.5" customHeight="1">
      <c r="A253" s="12"/>
      <c r="B253" s="13" t="str">
        <f>'Giá tháng'!B10</f>
        <v>A24.0180</v>
      </c>
      <c r="C253" s="14" t="str">
        <f>'Giá tháng'!C10</f>
        <v>Cát vàng</v>
      </c>
      <c r="D253" s="13" t="str">
        <f>'Giá tháng'!D10</f>
        <v>m3</v>
      </c>
      <c r="E253" s="89"/>
      <c r="F253" s="80">
        <v>0.512575</v>
      </c>
      <c r="G253" s="80"/>
      <c r="H253" s="80"/>
      <c r="I253" s="81">
        <f>'Giá tháng'!G10</f>
        <v>1</v>
      </c>
      <c r="J253" s="89">
        <f>ROUND(IF(E$116=0,E250*F253*I253,E$116*E250*F253*I253),4)</f>
        <v>0.76890000000000003</v>
      </c>
      <c r="K253" s="89"/>
      <c r="L253" s="89"/>
      <c r="Q253" s="34">
        <f>'Cước VC'!AU10</f>
        <v>0</v>
      </c>
      <c r="R253" s="34">
        <f>'Cước bộ'!W10</f>
        <v>0</v>
      </c>
      <c r="S253" s="34">
        <v>109</v>
      </c>
    </row>
    <row r="254" spans="1:19" ht="16.5" customHeight="1">
      <c r="A254" s="12"/>
      <c r="B254" s="13" t="str">
        <f>'Giá tháng'!B15</f>
        <v>A24.0008</v>
      </c>
      <c r="C254" s="14" t="str">
        <f>'Giá tháng'!C15</f>
        <v>Đá 1x2</v>
      </c>
      <c r="D254" s="13" t="str">
        <f>'Giá tháng'!D15</f>
        <v>m3</v>
      </c>
      <c r="E254" s="89"/>
      <c r="F254" s="80">
        <v>0.84448000000000001</v>
      </c>
      <c r="G254" s="80"/>
      <c r="H254" s="80"/>
      <c r="I254" s="81">
        <f>'Giá tháng'!G15</f>
        <v>1</v>
      </c>
      <c r="J254" s="89">
        <f>ROUND(IF(E$116=0,E250*F254*I254,E$116*E250*F254*I254),4)</f>
        <v>1.2666999999999999</v>
      </c>
      <c r="K254" s="89"/>
      <c r="L254" s="89"/>
      <c r="Q254" s="34">
        <f>'Cước VC'!AU15</f>
        <v>0</v>
      </c>
      <c r="R254" s="34">
        <f>'Cước bộ'!W15</f>
        <v>0</v>
      </c>
      <c r="S254" s="34">
        <v>1014</v>
      </c>
    </row>
    <row r="255" spans="1:19" ht="16.5" customHeight="1">
      <c r="A255" s="12"/>
      <c r="B255" s="13" t="str">
        <f>'Giá tháng'!B32</f>
        <v>A24.0524</v>
      </c>
      <c r="C255" s="14" t="str">
        <f>'Giá tháng'!C32</f>
        <v>Nước</v>
      </c>
      <c r="D255" s="13" t="str">
        <f>'Giá tháng'!D32</f>
        <v>lít</v>
      </c>
      <c r="E255" s="89"/>
      <c r="F255" s="80">
        <v>185.745</v>
      </c>
      <c r="G255" s="80"/>
      <c r="H255" s="80"/>
      <c r="I255" s="81">
        <f>'Giá tháng'!G32</f>
        <v>1</v>
      </c>
      <c r="J255" s="89">
        <f>ROUND(IF(E$116=0,E250*F255*I255,E$116*E250*F255*I255),4)</f>
        <v>278.61750000000001</v>
      </c>
      <c r="K255" s="89"/>
      <c r="L255" s="89"/>
      <c r="Q255" s="34">
        <f>'Cước VC'!AU31</f>
        <v>0</v>
      </c>
      <c r="R255" s="34">
        <f>'Cước bộ'!W31</f>
        <v>0</v>
      </c>
      <c r="S255" s="34">
        <v>1031</v>
      </c>
    </row>
    <row r="256" spans="1:19" ht="16.5" customHeight="1">
      <c r="A256" s="12"/>
      <c r="B256" s="13" t="s">
        <v>684</v>
      </c>
      <c r="C256" s="14" t="s">
        <v>685</v>
      </c>
      <c r="D256" s="13" t="s">
        <v>682</v>
      </c>
      <c r="E256" s="89"/>
      <c r="F256" s="80">
        <v>0.5</v>
      </c>
      <c r="G256" s="80"/>
      <c r="H256" s="80"/>
      <c r="I256" s="81"/>
      <c r="J256" s="89"/>
      <c r="K256" s="89"/>
      <c r="L256" s="89"/>
      <c r="M256" s="34">
        <f>ROUND(IF(E$116=0,E250*F256*(F252*'Giá tháng'!E45*'Giá tháng'!G45+F253*'Giá tháng'!E10*'Giá tháng'!G10+F254*'Giá tháng'!E15*'Giá tháng'!G15+F255*'Giá tháng'!E32*'Giá tháng'!G32)/100,E$116*E250*F256*(F252*'Giá tháng'!E45*'Giá tháng'!G45+F253*'Giá tháng'!E10*'Giá tháng'!G10+F254*'Giá tháng'!E15*'Giá tháng'!G15+F255*'Giá tháng'!E32*'Giá tháng'!G32)/100),1)</f>
        <v>7555.3</v>
      </c>
      <c r="O256" s="34">
        <f>ROUND(IF(E$116=0,E250*F256*(F252*('Giá tháng'!F45+Q252+R252)*'Giá tháng'!G45+F253*('Giá tháng'!F10+Q253+R253)*'Giá tháng'!G10+F254*('Giá tháng'!F15+Q254+R254)*'Giá tháng'!G15+F255*('Giá tháng'!F32+Q255+R255)*'Giá tháng'!G32)/100,E$116*E250*F256*(F252*('Giá tháng'!F45+Q252+R252)*'Giá tháng'!G45+F253*('Giá tháng'!F10+Q253+R253)*'Giá tháng'!G10+F254*('Giá tháng'!F15+Q254+R254)*'Giá tháng'!G15+F255*('Giá tháng'!F32+Q255+R255)*'Giá tháng'!G32)/100),1)</f>
        <v>8085.2</v>
      </c>
    </row>
    <row r="257" spans="1:19" ht="16.5" customHeight="1">
      <c r="A257" s="12"/>
      <c r="B257" s="13"/>
      <c r="C257" s="90" t="s">
        <v>678</v>
      </c>
      <c r="D257" s="91"/>
      <c r="E257" s="92"/>
      <c r="F257" s="93"/>
      <c r="G257" s="93"/>
      <c r="H257" s="93"/>
      <c r="I257" s="94"/>
      <c r="J257" s="92"/>
      <c r="K257" s="92"/>
      <c r="L257" s="92"/>
    </row>
    <row r="258" spans="1:19" ht="16.5" customHeight="1">
      <c r="A258" s="12"/>
      <c r="B258" s="13" t="str">
        <f>'Giá tháng'!B49</f>
        <v>N2.30</v>
      </c>
      <c r="C258" s="14" t="str">
        <f>'Giá tháng'!C49</f>
        <v>Nhân công 3,0/7 - Nhóm 2</v>
      </c>
      <c r="D258" s="13" t="str">
        <f>'Giá tháng'!D49</f>
        <v>công</v>
      </c>
      <c r="E258" s="89"/>
      <c r="F258" s="80"/>
      <c r="G258" s="80">
        <v>1.93</v>
      </c>
      <c r="H258" s="80"/>
      <c r="I258" s="81">
        <f>'Giá tháng'!G49</f>
        <v>1</v>
      </c>
      <c r="J258" s="89"/>
      <c r="K258" s="89">
        <f>ROUND(IF(E$116=0,E250*G258*I258,E$116*E250*G258*I258),4)</f>
        <v>2.895</v>
      </c>
      <c r="L258" s="89"/>
      <c r="S258" s="34">
        <v>203</v>
      </c>
    </row>
    <row r="259" spans="1:19" ht="16.5" customHeight="1">
      <c r="A259" s="12"/>
      <c r="B259" s="13"/>
      <c r="C259" s="90" t="s">
        <v>679</v>
      </c>
      <c r="D259" s="91"/>
      <c r="E259" s="92"/>
      <c r="F259" s="93"/>
      <c r="G259" s="93"/>
      <c r="H259" s="93"/>
      <c r="I259" s="94"/>
      <c r="J259" s="92"/>
      <c r="K259" s="92"/>
      <c r="L259" s="92"/>
    </row>
    <row r="260" spans="1:19" ht="28.5" customHeight="1">
      <c r="A260" s="12"/>
      <c r="B260" s="13" t="str">
        <f>'Giá tháng'!B74</f>
        <v>M104.0102</v>
      </c>
      <c r="C260" s="14" t="str">
        <f>'Giá tháng'!C74</f>
        <v>Máy trộn bê tông - dung tích : 250,0 lít</v>
      </c>
      <c r="D260" s="13" t="str">
        <f>'Giá tháng'!D74</f>
        <v>ca</v>
      </c>
      <c r="E260" s="89"/>
      <c r="F260" s="80"/>
      <c r="G260" s="80"/>
      <c r="H260" s="80">
        <v>9.5000000000000001E-2</v>
      </c>
      <c r="I260" s="81">
        <f>'Giá tháng'!G74</f>
        <v>1</v>
      </c>
      <c r="J260" s="89"/>
      <c r="K260" s="89"/>
      <c r="L260" s="89">
        <f>ROUND(IF(E$116=0,E250*H260*I260,E$116*E250*H260*I260),4)</f>
        <v>0.14249999999999999</v>
      </c>
      <c r="S260" s="34">
        <v>3020</v>
      </c>
    </row>
    <row r="261" spans="1:19" ht="16.5" customHeight="1">
      <c r="A261" s="12">
        <f>'Công trình'!A80</f>
        <v>16</v>
      </c>
      <c r="B261" s="13" t="str">
        <f>'Công trình'!E80</f>
        <v>AG.41610</v>
      </c>
      <c r="C261" s="14" t="str">
        <f>'Công trình'!F80</f>
        <v>Lăp đặt tấm đan 110kg/tấm</v>
      </c>
      <c r="D261" s="13" t="str">
        <f>'Công trình'!G80</f>
        <v>1 cấu kiện</v>
      </c>
      <c r="E261" s="89">
        <f>ROUND('Công trình'!P80,4)</f>
        <v>30</v>
      </c>
      <c r="F261" s="80"/>
      <c r="G261" s="80"/>
      <c r="H261" s="80"/>
      <c r="I261" s="81"/>
      <c r="J261" s="89"/>
      <c r="K261" s="89"/>
      <c r="L261" s="89"/>
    </row>
    <row r="262" spans="1:19" ht="16.5" customHeight="1">
      <c r="A262" s="12"/>
      <c r="B262" s="13"/>
      <c r="C262" s="90" t="s">
        <v>678</v>
      </c>
      <c r="D262" s="91"/>
      <c r="E262" s="92"/>
      <c r="F262" s="93"/>
      <c r="G262" s="93"/>
      <c r="H262" s="93"/>
      <c r="I262" s="94"/>
      <c r="J262" s="92"/>
      <c r="K262" s="92"/>
      <c r="L262" s="92"/>
    </row>
    <row r="263" spans="1:19" ht="16.5" customHeight="1">
      <c r="A263" s="12"/>
      <c r="B263" s="13" t="str">
        <f>'Giá tháng'!B49</f>
        <v>N2.30</v>
      </c>
      <c r="C263" s="14" t="str">
        <f>'Giá tháng'!C49</f>
        <v>Nhân công 3,0/7 - Nhóm 2</v>
      </c>
      <c r="D263" s="13" t="str">
        <f>'Giá tháng'!D49</f>
        <v>công</v>
      </c>
      <c r="E263" s="89"/>
      <c r="F263" s="80"/>
      <c r="G263" s="80">
        <v>0.03</v>
      </c>
      <c r="H263" s="80"/>
      <c r="I263" s="81">
        <f>'Giá tháng'!G49</f>
        <v>1</v>
      </c>
      <c r="J263" s="89"/>
      <c r="K263" s="89">
        <f>ROUND(IF(E$116=0,E261*G263*I263,E$116*E261*G263*I263),4)</f>
        <v>0.9</v>
      </c>
      <c r="L263" s="89"/>
      <c r="S263" s="34">
        <v>203</v>
      </c>
    </row>
    <row r="264" spans="1:19" ht="16.5" customHeight="1">
      <c r="A264" s="12"/>
      <c r="B264" s="13"/>
      <c r="C264" s="90" t="s">
        <v>679</v>
      </c>
      <c r="D264" s="91"/>
      <c r="E264" s="92"/>
      <c r="F264" s="93"/>
      <c r="G264" s="93"/>
      <c r="H264" s="93"/>
      <c r="I264" s="94"/>
      <c r="J264" s="92"/>
      <c r="K264" s="92"/>
      <c r="L264" s="92"/>
    </row>
    <row r="265" spans="1:19" ht="16.5" customHeight="1">
      <c r="A265" s="12"/>
      <c r="B265" s="13" t="str">
        <f>'Giá tháng'!B55</f>
        <v>M102.0201</v>
      </c>
      <c r="C265" s="14" t="str">
        <f>'Giá tháng'!C55</f>
        <v>Cần cẩu bánh hơi 6 T</v>
      </c>
      <c r="D265" s="13" t="str">
        <f>'Giá tháng'!D55</f>
        <v>ca</v>
      </c>
      <c r="E265" s="89"/>
      <c r="F265" s="80"/>
      <c r="G265" s="80"/>
      <c r="H265" s="80">
        <v>1.4999999999999999E-2</v>
      </c>
      <c r="I265" s="81">
        <f>'Giá tháng'!G55</f>
        <v>1</v>
      </c>
      <c r="J265" s="89"/>
      <c r="K265" s="89"/>
      <c r="L265" s="89">
        <f>ROUND(IF(E$116=0,E261*H265*I265,E$116*E261*H265*I265),4)</f>
        <v>0.45</v>
      </c>
      <c r="S265" s="34">
        <v>301</v>
      </c>
    </row>
    <row r="266" spans="1:19" ht="41.25" customHeight="1">
      <c r="A266" s="12">
        <f>'Công trình'!A84</f>
        <v>17</v>
      </c>
      <c r="B266" s="13" t="str">
        <f>'Công trình'!E84</f>
        <v>AG.31311</v>
      </c>
      <c r="C266" s="14" t="str">
        <f>'Công trình'!F84</f>
        <v>Công tác gia công, lắp dựng, tháo dỡ ván khuôn. Ván khuôn gỗ, ván khuôn tấm đan hố tụ</v>
      </c>
      <c r="D266" s="13" t="str">
        <f>'Công trình'!G84</f>
        <v>100m2</v>
      </c>
      <c r="E266" s="89">
        <f>ROUND('Công trình'!P84,4)</f>
        <v>5.8500000000000003E-2</v>
      </c>
      <c r="F266" s="80"/>
      <c r="G266" s="80"/>
      <c r="H266" s="80"/>
      <c r="I266" s="81"/>
      <c r="J266" s="89"/>
      <c r="K266" s="89"/>
      <c r="L266" s="89"/>
    </row>
    <row r="267" spans="1:19" ht="16.5" customHeight="1">
      <c r="A267" s="12"/>
      <c r="B267" s="13"/>
      <c r="C267" s="90" t="s">
        <v>683</v>
      </c>
      <c r="D267" s="91"/>
      <c r="E267" s="92"/>
      <c r="F267" s="93"/>
      <c r="G267" s="93"/>
      <c r="H267" s="93"/>
      <c r="I267" s="94"/>
      <c r="J267" s="92"/>
      <c r="K267" s="92"/>
      <c r="L267" s="92"/>
    </row>
    <row r="268" spans="1:19" ht="16.5" customHeight="1">
      <c r="A268" s="12"/>
      <c r="B268" s="13" t="str">
        <f>'Giá tháng'!B24</f>
        <v>A24.0420</v>
      </c>
      <c r="C268" s="14" t="str">
        <f>'Giá tháng'!C24</f>
        <v>Gỗ ván ( cả nẹp)</v>
      </c>
      <c r="D268" s="13" t="str">
        <f>'Giá tháng'!D24</f>
        <v>m3</v>
      </c>
      <c r="E268" s="89"/>
      <c r="F268" s="80">
        <v>0.123</v>
      </c>
      <c r="G268" s="80"/>
      <c r="H268" s="80"/>
      <c r="I268" s="81">
        <f>'Giá tháng'!G24</f>
        <v>1</v>
      </c>
      <c r="J268" s="89">
        <f>ROUND(IF(E$116=0,E266*F268*I268,E$116*E266*F268*I268),4)</f>
        <v>7.1999999999999998E-3</v>
      </c>
      <c r="K268" s="89"/>
      <c r="L268" s="89"/>
      <c r="Q268" s="34">
        <f>'Cước VC'!AU24</f>
        <v>0</v>
      </c>
      <c r="R268" s="34">
        <f>'Cước bộ'!W24</f>
        <v>0</v>
      </c>
      <c r="S268" s="34">
        <v>1023</v>
      </c>
    </row>
    <row r="269" spans="1:19" ht="16.5" customHeight="1">
      <c r="A269" s="12"/>
      <c r="B269" s="13" t="str">
        <f>'Giá tháng'!B19</f>
        <v>A24.0054</v>
      </c>
      <c r="C269" s="14" t="str">
        <f>'Giá tháng'!C19</f>
        <v>Đinh</v>
      </c>
      <c r="D269" s="13" t="str">
        <f>'Giá tháng'!D19</f>
        <v>kg</v>
      </c>
      <c r="E269" s="89"/>
      <c r="F269" s="80">
        <v>16</v>
      </c>
      <c r="G269" s="80"/>
      <c r="H269" s="80"/>
      <c r="I269" s="81">
        <f>'Giá tháng'!G19</f>
        <v>1</v>
      </c>
      <c r="J269" s="89">
        <f>ROUND(IF(E$116=0,E266*F269*I269,E$116*E266*F269*I269),4)</f>
        <v>0.93600000000000005</v>
      </c>
      <c r="K269" s="89"/>
      <c r="L269" s="89"/>
      <c r="Q269" s="34">
        <f>'Cước VC'!AU19</f>
        <v>0</v>
      </c>
      <c r="R269" s="34">
        <f>'Cước bộ'!W19</f>
        <v>0</v>
      </c>
      <c r="S269" s="34">
        <v>1018</v>
      </c>
    </row>
    <row r="270" spans="1:19" ht="16.5" customHeight="1">
      <c r="A270" s="12"/>
      <c r="B270" s="13" t="s">
        <v>684</v>
      </c>
      <c r="C270" s="14" t="s">
        <v>685</v>
      </c>
      <c r="D270" s="13" t="s">
        <v>682</v>
      </c>
      <c r="E270" s="89"/>
      <c r="F270" s="80">
        <v>1</v>
      </c>
      <c r="G270" s="80"/>
      <c r="H270" s="80"/>
      <c r="I270" s="81"/>
      <c r="J270" s="89"/>
      <c r="K270" s="89"/>
      <c r="L270" s="89"/>
      <c r="M270" s="34">
        <f>ROUND(IF(E$116=0,E266*F270*(F268*'Giá tháng'!E24*'Giá tháng'!G24+F269*'Giá tháng'!E19*'Giá tháng'!G19)/100,E$116*E266*F270*(F268*'Giá tháng'!E24*'Giá tháng'!G24+F269*'Giá tháng'!E19*'Giá tháng'!G19)/100),1)</f>
        <v>460.6</v>
      </c>
      <c r="O270" s="34">
        <f>ROUND(IF(E$116=0,E266*F270*(F268*('Giá tháng'!F24+Q268+R268)*'Giá tháng'!G24+F269*('Giá tháng'!F19+Q269+R269)*'Giá tháng'!G19)/100,E$116*E266*F270*(F268*('Giá tháng'!F24+Q268+R268)*'Giá tháng'!G24+F269*('Giá tháng'!F19+Q269+R269)*'Giá tháng'!G19)/100),1)</f>
        <v>526</v>
      </c>
    </row>
    <row r="271" spans="1:19" ht="16.5" customHeight="1">
      <c r="A271" s="12"/>
      <c r="B271" s="13"/>
      <c r="C271" s="90" t="s">
        <v>678</v>
      </c>
      <c r="D271" s="91"/>
      <c r="E271" s="92"/>
      <c r="F271" s="93"/>
      <c r="G271" s="93"/>
      <c r="H271" s="93"/>
      <c r="I271" s="94"/>
      <c r="J271" s="92"/>
      <c r="K271" s="92"/>
      <c r="L271" s="92"/>
    </row>
    <row r="272" spans="1:19" ht="16.5" customHeight="1">
      <c r="A272" s="12"/>
      <c r="B272" s="13" t="str">
        <f>'Giá tháng'!B50</f>
        <v>N1.35</v>
      </c>
      <c r="C272" s="14" t="str">
        <f>'Giá tháng'!C50</f>
        <v>Nhân công 3,5/7 - Nhóm 1</v>
      </c>
      <c r="D272" s="13" t="str">
        <f>'Giá tháng'!D50</f>
        <v>công</v>
      </c>
      <c r="E272" s="89"/>
      <c r="F272" s="80"/>
      <c r="G272" s="80">
        <v>25.62</v>
      </c>
      <c r="H272" s="80"/>
      <c r="I272" s="81">
        <f>'Giá tháng'!G50</f>
        <v>1</v>
      </c>
      <c r="J272" s="89"/>
      <c r="K272" s="89">
        <f>ROUND(IF(E$116=0,E266*G272*I272,E$116*E266*G272*I272),4)</f>
        <v>1.4987999999999999</v>
      </c>
      <c r="L272" s="89"/>
      <c r="S272" s="34">
        <v>204</v>
      </c>
    </row>
    <row r="273" spans="1:19" ht="28.5" customHeight="1">
      <c r="A273" s="12">
        <f>'Công trình'!A86</f>
        <v>18</v>
      </c>
      <c r="B273" s="13" t="str">
        <f>'Công trình'!E86</f>
        <v>AG.13231</v>
      </c>
      <c r="C273" s="14" t="str">
        <f>'Công trình'!F86</f>
        <v>Công tác gia công, lắp đặt cốt thép bê tông đúc sẵn. Cốt thép tấm đan</v>
      </c>
      <c r="D273" s="13" t="str">
        <f>'Công trình'!G86</f>
        <v>tấn</v>
      </c>
      <c r="E273" s="89">
        <f>ROUND('Công trình'!P86,4)</f>
        <v>0.16520000000000001</v>
      </c>
      <c r="F273" s="80"/>
      <c r="G273" s="80"/>
      <c r="H273" s="80"/>
      <c r="I273" s="81"/>
      <c r="J273" s="89"/>
      <c r="K273" s="89"/>
      <c r="L273" s="89"/>
    </row>
    <row r="274" spans="1:19" ht="16.5" customHeight="1">
      <c r="A274" s="12"/>
      <c r="B274" s="13"/>
      <c r="C274" s="90" t="s">
        <v>683</v>
      </c>
      <c r="D274" s="91"/>
      <c r="E274" s="92"/>
      <c r="F274" s="93"/>
      <c r="G274" s="93"/>
      <c r="H274" s="93"/>
      <c r="I274" s="94"/>
      <c r="J274" s="92"/>
      <c r="K274" s="92"/>
      <c r="L274" s="92"/>
    </row>
    <row r="275" spans="1:19" ht="16.5" customHeight="1">
      <c r="A275" s="12"/>
      <c r="B275" s="13" t="str">
        <f>'Giá tháng'!B41</f>
        <v>A24.0735</v>
      </c>
      <c r="C275" s="14" t="str">
        <f>'Giá tháng'!C41</f>
        <v>Thép tròn</v>
      </c>
      <c r="D275" s="13" t="str">
        <f>'Giá tháng'!D41</f>
        <v>kg</v>
      </c>
      <c r="E275" s="89"/>
      <c r="F275" s="80">
        <v>1020</v>
      </c>
      <c r="G275" s="80"/>
      <c r="H275" s="80"/>
      <c r="I275" s="81">
        <f>'Giá tháng'!G41</f>
        <v>1</v>
      </c>
      <c r="J275" s="89">
        <f>ROUND(IF(E$116=0,E273*F275*I275,E$116*E273*F275*I275),4)</f>
        <v>168.50399999999999</v>
      </c>
      <c r="K275" s="89"/>
      <c r="L275" s="89"/>
      <c r="S275" s="34">
        <v>1040</v>
      </c>
    </row>
    <row r="276" spans="1:19" ht="16.5" customHeight="1">
      <c r="A276" s="12"/>
      <c r="B276" s="13" t="str">
        <f>'Giá tháng'!B14</f>
        <v>A24.0293</v>
      </c>
      <c r="C276" s="14" t="str">
        <f>'Giá tháng'!C14</f>
        <v>Dây thép</v>
      </c>
      <c r="D276" s="13" t="str">
        <f>'Giá tháng'!D14</f>
        <v>kg</v>
      </c>
      <c r="E276" s="89"/>
      <c r="F276" s="80">
        <v>16.07</v>
      </c>
      <c r="G276" s="80"/>
      <c r="H276" s="80"/>
      <c r="I276" s="81">
        <f>'Giá tháng'!G14</f>
        <v>1</v>
      </c>
      <c r="J276" s="89">
        <f>ROUND(IF(E$116=0,E273*F276*I276,E$116*E273*F276*I276),4)</f>
        <v>2.6547999999999998</v>
      </c>
      <c r="K276" s="89"/>
      <c r="L276" s="89"/>
      <c r="S276" s="34">
        <v>1013</v>
      </c>
    </row>
    <row r="277" spans="1:19" ht="16.5" customHeight="1">
      <c r="A277" s="12"/>
      <c r="B277" s="13"/>
      <c r="C277" s="90" t="s">
        <v>678</v>
      </c>
      <c r="D277" s="91"/>
      <c r="E277" s="92"/>
      <c r="F277" s="93"/>
      <c r="G277" s="93"/>
      <c r="H277" s="93"/>
      <c r="I277" s="94"/>
      <c r="J277" s="92"/>
      <c r="K277" s="92"/>
      <c r="L277" s="92"/>
    </row>
    <row r="278" spans="1:19" ht="16.5" customHeight="1">
      <c r="A278" s="12"/>
      <c r="B278" s="13" t="str">
        <f>'Giá tháng'!B51</f>
        <v>N2.35</v>
      </c>
      <c r="C278" s="14" t="str">
        <f>'Giá tháng'!C51</f>
        <v>Nhân công 3,5/7 - Nhóm 2</v>
      </c>
      <c r="D278" s="13" t="str">
        <f>'Giá tháng'!D51</f>
        <v>công</v>
      </c>
      <c r="E278" s="89"/>
      <c r="F278" s="80"/>
      <c r="G278" s="80">
        <v>16.25</v>
      </c>
      <c r="H278" s="80"/>
      <c r="I278" s="81">
        <f>'Giá tháng'!G51</f>
        <v>1</v>
      </c>
      <c r="J278" s="89"/>
      <c r="K278" s="89">
        <f>ROUND(IF(E$116=0,E273*G278*I278,E$116*E273*G278*I278),4)</f>
        <v>2.6844999999999999</v>
      </c>
      <c r="L278" s="89"/>
      <c r="S278" s="34">
        <v>205</v>
      </c>
    </row>
    <row r="279" spans="1:19" ht="16.5" customHeight="1">
      <c r="A279" s="12"/>
      <c r="B279" s="13"/>
      <c r="C279" s="90" t="s">
        <v>679</v>
      </c>
      <c r="D279" s="91"/>
      <c r="E279" s="92"/>
      <c r="F279" s="93"/>
      <c r="G279" s="93"/>
      <c r="H279" s="93"/>
      <c r="I279" s="94"/>
      <c r="J279" s="92"/>
      <c r="K279" s="92"/>
      <c r="L279" s="92"/>
    </row>
    <row r="280" spans="1:19" ht="28.5" customHeight="1">
      <c r="A280" s="12"/>
      <c r="B280" s="13" t="str">
        <f>'Giá tháng'!B56</f>
        <v>M112.2601</v>
      </c>
      <c r="C280" s="14" t="str">
        <f>'Giá tháng'!C56</f>
        <v>Máy cắt uốn cốt thép - công suất : 5,0 kW</v>
      </c>
      <c r="D280" s="13" t="str">
        <f>'Giá tháng'!D56</f>
        <v>ca</v>
      </c>
      <c r="E280" s="89"/>
      <c r="F280" s="80"/>
      <c r="G280" s="80"/>
      <c r="H280" s="80">
        <v>0.4</v>
      </c>
      <c r="I280" s="81">
        <f>'Giá tháng'!G56</f>
        <v>1</v>
      </c>
      <c r="J280" s="89"/>
      <c r="K280" s="89"/>
      <c r="L280" s="89">
        <f>ROUND(IF(E$116=0,E273*H280*I280,E$116*E273*H280*I280),4)</f>
        <v>6.6100000000000006E-2</v>
      </c>
      <c r="S280" s="34">
        <v>302</v>
      </c>
    </row>
    <row r="281" spans="1:19" ht="28.5" customHeight="1">
      <c r="A281" s="12">
        <f>'Công trình'!A88</f>
        <v>19</v>
      </c>
      <c r="B281" s="13" t="str">
        <f>'Công trình'!E88</f>
        <v>AG.11414A</v>
      </c>
      <c r="C281" s="14" t="str">
        <f>'Công trình'!F88</f>
        <v>Bê tông tấm đan hố tụ, đá 1x2 mác 250</v>
      </c>
      <c r="D281" s="13" t="str">
        <f>'Công trình'!G88</f>
        <v>m3</v>
      </c>
      <c r="E281" s="89">
        <f>ROUND('Công trình'!P88,4)</f>
        <v>1.29</v>
      </c>
      <c r="F281" s="80"/>
      <c r="G281" s="80"/>
      <c r="H281" s="80"/>
      <c r="I281" s="81"/>
      <c r="J281" s="89"/>
      <c r="K281" s="89"/>
      <c r="L281" s="89"/>
    </row>
    <row r="282" spans="1:19" ht="16.5" customHeight="1">
      <c r="A282" s="12"/>
      <c r="B282" s="13"/>
      <c r="C282" s="90" t="s">
        <v>683</v>
      </c>
      <c r="D282" s="91"/>
      <c r="E282" s="92"/>
      <c r="F282" s="93"/>
      <c r="G282" s="93"/>
      <c r="H282" s="93"/>
      <c r="I282" s="94"/>
      <c r="J282" s="92"/>
      <c r="K282" s="92"/>
      <c r="L282" s="92"/>
    </row>
    <row r="283" spans="1:19" ht="16.5" customHeight="1">
      <c r="A283" s="12"/>
      <c r="B283" s="13" t="str">
        <f>'Giá tháng'!B45</f>
        <v>A24.0797A</v>
      </c>
      <c r="C283" s="14" t="str">
        <f>'Giá tháng'!C45</f>
        <v>Xi măng PCB30</v>
      </c>
      <c r="D283" s="13" t="str">
        <f>'Giá tháng'!D45</f>
        <v>kg</v>
      </c>
      <c r="E283" s="89"/>
      <c r="F283" s="80">
        <v>365.4</v>
      </c>
      <c r="G283" s="80"/>
      <c r="H283" s="80"/>
      <c r="I283" s="81">
        <f>'Giá tháng'!G45</f>
        <v>1</v>
      </c>
      <c r="J283" s="89">
        <f>ROUND(IF(E$116=0,E281*F283*I283,E$116*E281*F283*I283),4)</f>
        <v>471.36599999999999</v>
      </c>
      <c r="K283" s="89"/>
      <c r="L283" s="89"/>
      <c r="Q283" s="34">
        <f>'Cước VC'!AU43</f>
        <v>0</v>
      </c>
      <c r="R283" s="34">
        <f>'Cước bộ'!W43</f>
        <v>0</v>
      </c>
      <c r="S283" s="34">
        <v>1043</v>
      </c>
    </row>
    <row r="284" spans="1:19" ht="16.5" customHeight="1">
      <c r="A284" s="12"/>
      <c r="B284" s="13" t="str">
        <f>'Giá tháng'!B10</f>
        <v>A24.0180</v>
      </c>
      <c r="C284" s="14" t="str">
        <f>'Giá tháng'!C10</f>
        <v>Cát vàng</v>
      </c>
      <c r="D284" s="13" t="str">
        <f>'Giá tháng'!D10</f>
        <v>m3</v>
      </c>
      <c r="E284" s="89"/>
      <c r="F284" s="80">
        <v>0.512575</v>
      </c>
      <c r="G284" s="80"/>
      <c r="H284" s="80"/>
      <c r="I284" s="81">
        <f>'Giá tháng'!G10</f>
        <v>1</v>
      </c>
      <c r="J284" s="89">
        <f>ROUND(IF(E$116=0,E281*F284*I284,E$116*E281*F284*I284),4)</f>
        <v>0.66120000000000001</v>
      </c>
      <c r="K284" s="89"/>
      <c r="L284" s="89"/>
      <c r="Q284" s="34">
        <f>'Cước VC'!AU10</f>
        <v>0</v>
      </c>
      <c r="R284" s="34">
        <f>'Cước bộ'!W10</f>
        <v>0</v>
      </c>
      <c r="S284" s="34">
        <v>109</v>
      </c>
    </row>
    <row r="285" spans="1:19" ht="16.5" customHeight="1">
      <c r="A285" s="12"/>
      <c r="B285" s="13" t="str">
        <f>'Giá tháng'!B15</f>
        <v>A24.0008</v>
      </c>
      <c r="C285" s="14" t="str">
        <f>'Giá tháng'!C15</f>
        <v>Đá 1x2</v>
      </c>
      <c r="D285" s="13" t="str">
        <f>'Giá tháng'!D15</f>
        <v>m3</v>
      </c>
      <c r="E285" s="89"/>
      <c r="F285" s="80">
        <v>0.84448000000000001</v>
      </c>
      <c r="G285" s="80"/>
      <c r="H285" s="80"/>
      <c r="I285" s="81">
        <f>'Giá tháng'!G15</f>
        <v>1</v>
      </c>
      <c r="J285" s="89">
        <f>ROUND(IF(E$116=0,E281*F285*I285,E$116*E281*F285*I285),4)</f>
        <v>1.0893999999999999</v>
      </c>
      <c r="K285" s="89"/>
      <c r="L285" s="89"/>
      <c r="Q285" s="34">
        <f>'Cước VC'!AU15</f>
        <v>0</v>
      </c>
      <c r="R285" s="34">
        <f>'Cước bộ'!W15</f>
        <v>0</v>
      </c>
      <c r="S285" s="34">
        <v>1014</v>
      </c>
    </row>
    <row r="286" spans="1:19" ht="16.5" customHeight="1">
      <c r="A286" s="12"/>
      <c r="B286" s="13" t="str">
        <f>'Giá tháng'!B32</f>
        <v>A24.0524</v>
      </c>
      <c r="C286" s="14" t="str">
        <f>'Giá tháng'!C32</f>
        <v>Nước</v>
      </c>
      <c r="D286" s="13" t="str">
        <f>'Giá tháng'!D32</f>
        <v>lít</v>
      </c>
      <c r="E286" s="89"/>
      <c r="F286" s="80">
        <v>185.745</v>
      </c>
      <c r="G286" s="80"/>
      <c r="H286" s="80"/>
      <c r="I286" s="81">
        <f>'Giá tháng'!G32</f>
        <v>1</v>
      </c>
      <c r="J286" s="89">
        <f>ROUND(IF(E$116=0,E281*F286*I286,E$116*E281*F286*I286),4)</f>
        <v>239.61109999999999</v>
      </c>
      <c r="K286" s="89"/>
      <c r="L286" s="89"/>
      <c r="Q286" s="34">
        <f>'Cước VC'!AU31</f>
        <v>0</v>
      </c>
      <c r="R286" s="34">
        <f>'Cước bộ'!W31</f>
        <v>0</v>
      </c>
      <c r="S286" s="34">
        <v>1031</v>
      </c>
    </row>
    <row r="287" spans="1:19" ht="16.5" customHeight="1">
      <c r="A287" s="12"/>
      <c r="B287" s="13" t="s">
        <v>684</v>
      </c>
      <c r="C287" s="14" t="s">
        <v>685</v>
      </c>
      <c r="D287" s="13" t="s">
        <v>682</v>
      </c>
      <c r="E287" s="89"/>
      <c r="F287" s="80">
        <v>0.5</v>
      </c>
      <c r="G287" s="80"/>
      <c r="H287" s="80"/>
      <c r="I287" s="81"/>
      <c r="J287" s="89"/>
      <c r="K287" s="89"/>
      <c r="L287" s="89"/>
      <c r="M287" s="34">
        <f>ROUND(IF(E$116=0,E281*F287*(F283*'Giá tháng'!E45*'Giá tháng'!G45+F284*'Giá tháng'!E10*'Giá tháng'!G10+F285*'Giá tháng'!E15*'Giá tháng'!G15+F286*'Giá tháng'!E32*'Giá tháng'!G32)/100,E$116*E281*F287*(F283*'Giá tháng'!E45*'Giá tháng'!G45+F284*'Giá tháng'!E10*'Giá tháng'!G10+F285*'Giá tháng'!E15*'Giá tháng'!G15+F286*'Giá tháng'!E32*'Giá tháng'!G32)/100),1)</f>
        <v>6497.6</v>
      </c>
      <c r="O287" s="34">
        <f>ROUND(IF(E$116=0,E281*F287*(F283*('Giá tháng'!F45+Q283+R283)*'Giá tháng'!G45+F284*('Giá tháng'!F10+Q284+R284)*'Giá tháng'!G10+F285*('Giá tháng'!F15+Q285+R285)*'Giá tháng'!G15+F286*('Giá tháng'!F32+Q286+R286)*'Giá tháng'!G32)/100,E$116*E281*F287*(F283*('Giá tháng'!F45+Q283+R283)*'Giá tháng'!G45+F284*('Giá tháng'!F10+Q284+R284)*'Giá tháng'!G10+F285*('Giá tháng'!F15+Q285+R285)*'Giá tháng'!G15+F286*('Giá tháng'!F32+Q286+R286)*'Giá tháng'!G32)/100),1)</f>
        <v>6953.3</v>
      </c>
    </row>
    <row r="288" spans="1:19" ht="16.5" customHeight="1">
      <c r="A288" s="12"/>
      <c r="B288" s="13"/>
      <c r="C288" s="90" t="s">
        <v>678</v>
      </c>
      <c r="D288" s="91"/>
      <c r="E288" s="92"/>
      <c r="F288" s="93"/>
      <c r="G288" s="93"/>
      <c r="H288" s="93"/>
      <c r="I288" s="94"/>
      <c r="J288" s="92"/>
      <c r="K288" s="92"/>
      <c r="L288" s="92"/>
    </row>
    <row r="289" spans="1:19" ht="16.5" customHeight="1">
      <c r="A289" s="12"/>
      <c r="B289" s="13" t="str">
        <f>'Giá tháng'!B49</f>
        <v>N2.30</v>
      </c>
      <c r="C289" s="14" t="str">
        <f>'Giá tháng'!C49</f>
        <v>Nhân công 3,0/7 - Nhóm 2</v>
      </c>
      <c r="D289" s="13" t="str">
        <f>'Giá tháng'!D49</f>
        <v>công</v>
      </c>
      <c r="E289" s="89"/>
      <c r="F289" s="80"/>
      <c r="G289" s="80">
        <v>1.93</v>
      </c>
      <c r="H289" s="80"/>
      <c r="I289" s="81">
        <f>'Giá tháng'!G49</f>
        <v>1</v>
      </c>
      <c r="J289" s="89"/>
      <c r="K289" s="89">
        <f>ROUND(IF(E$116=0,E281*G289*I289,E$116*E281*G289*I289),4)</f>
        <v>2.4897</v>
      </c>
      <c r="L289" s="89"/>
      <c r="S289" s="34">
        <v>203</v>
      </c>
    </row>
    <row r="290" spans="1:19" ht="16.5" customHeight="1">
      <c r="A290" s="12"/>
      <c r="B290" s="13"/>
      <c r="C290" s="90" t="s">
        <v>679</v>
      </c>
      <c r="D290" s="91"/>
      <c r="E290" s="92"/>
      <c r="F290" s="93"/>
      <c r="G290" s="93"/>
      <c r="H290" s="93"/>
      <c r="I290" s="94"/>
      <c r="J290" s="92"/>
      <c r="K290" s="92"/>
      <c r="L290" s="92"/>
    </row>
    <row r="291" spans="1:19" ht="28.5" customHeight="1">
      <c r="A291" s="12"/>
      <c r="B291" s="13" t="str">
        <f>'Giá tháng'!B74</f>
        <v>M104.0102</v>
      </c>
      <c r="C291" s="14" t="str">
        <f>'Giá tháng'!C74</f>
        <v>Máy trộn bê tông - dung tích : 250,0 lít</v>
      </c>
      <c r="D291" s="13" t="str">
        <f>'Giá tháng'!D74</f>
        <v>ca</v>
      </c>
      <c r="E291" s="89"/>
      <c r="F291" s="80"/>
      <c r="G291" s="80"/>
      <c r="H291" s="80">
        <v>9.5000000000000001E-2</v>
      </c>
      <c r="I291" s="81">
        <f>'Giá tháng'!G74</f>
        <v>1</v>
      </c>
      <c r="J291" s="89"/>
      <c r="K291" s="89"/>
      <c r="L291" s="89">
        <f>ROUND(IF(E$116=0,E281*H291*I291,E$116*E281*H291*I291),4)</f>
        <v>0.1226</v>
      </c>
      <c r="S291" s="34">
        <v>3020</v>
      </c>
    </row>
    <row r="292" spans="1:19" ht="16.5" customHeight="1">
      <c r="A292" s="12">
        <f>'Công trình'!A90</f>
        <v>20</v>
      </c>
      <c r="B292" s="13" t="str">
        <f>'Công trình'!E90</f>
        <v>AG.41610</v>
      </c>
      <c r="C292" s="14" t="str">
        <f>'Công trình'!F90</f>
        <v>Lăp đặt tấm đan 200kg/tấm</v>
      </c>
      <c r="D292" s="13" t="str">
        <f>'Công trình'!G90</f>
        <v>1 cấu kiện</v>
      </c>
      <c r="E292" s="89">
        <f>ROUND('Công trình'!P90,4)</f>
        <v>15</v>
      </c>
      <c r="F292" s="80"/>
      <c r="G292" s="80"/>
      <c r="H292" s="80"/>
      <c r="I292" s="81"/>
      <c r="J292" s="89"/>
      <c r="K292" s="89"/>
      <c r="L292" s="89"/>
    </row>
    <row r="293" spans="1:19" ht="16.5" customHeight="1">
      <c r="A293" s="12"/>
      <c r="B293" s="13"/>
      <c r="C293" s="90" t="s">
        <v>678</v>
      </c>
      <c r="D293" s="91"/>
      <c r="E293" s="92"/>
      <c r="F293" s="93"/>
      <c r="G293" s="93"/>
      <c r="H293" s="93"/>
      <c r="I293" s="94"/>
      <c r="J293" s="92"/>
      <c r="K293" s="92"/>
      <c r="L293" s="92"/>
    </row>
    <row r="294" spans="1:19" ht="16.5" customHeight="1">
      <c r="A294" s="12"/>
      <c r="B294" s="13" t="str">
        <f>'Giá tháng'!B49</f>
        <v>N2.30</v>
      </c>
      <c r="C294" s="14" t="str">
        <f>'Giá tháng'!C49</f>
        <v>Nhân công 3,0/7 - Nhóm 2</v>
      </c>
      <c r="D294" s="13" t="str">
        <f>'Giá tháng'!D49</f>
        <v>công</v>
      </c>
      <c r="E294" s="89"/>
      <c r="F294" s="80"/>
      <c r="G294" s="80">
        <v>0.03</v>
      </c>
      <c r="H294" s="80"/>
      <c r="I294" s="81">
        <f>'Giá tháng'!G49</f>
        <v>1</v>
      </c>
      <c r="J294" s="89"/>
      <c r="K294" s="89">
        <f>ROUND(IF(E$116=0,E292*G294*I294,E$116*E292*G294*I294),4)</f>
        <v>0.45</v>
      </c>
      <c r="L294" s="89"/>
      <c r="S294" s="34">
        <v>203</v>
      </c>
    </row>
    <row r="295" spans="1:19" ht="16.5" customHeight="1">
      <c r="A295" s="12"/>
      <c r="B295" s="13"/>
      <c r="C295" s="90" t="s">
        <v>679</v>
      </c>
      <c r="D295" s="91"/>
      <c r="E295" s="92"/>
      <c r="F295" s="93"/>
      <c r="G295" s="93"/>
      <c r="H295" s="93"/>
      <c r="I295" s="94"/>
      <c r="J295" s="92"/>
      <c r="K295" s="92"/>
      <c r="L295" s="92"/>
    </row>
    <row r="296" spans="1:19" ht="16.5" customHeight="1">
      <c r="A296" s="12"/>
      <c r="B296" s="13" t="str">
        <f>'Giá tháng'!B55</f>
        <v>M102.0201</v>
      </c>
      <c r="C296" s="14" t="str">
        <f>'Giá tháng'!C55</f>
        <v>Cần cẩu bánh hơi 6 T</v>
      </c>
      <c r="D296" s="13" t="str">
        <f>'Giá tháng'!D55</f>
        <v>ca</v>
      </c>
      <c r="E296" s="89"/>
      <c r="F296" s="80"/>
      <c r="G296" s="80"/>
      <c r="H296" s="80">
        <v>1.4999999999999999E-2</v>
      </c>
      <c r="I296" s="81">
        <f>'Giá tháng'!G55</f>
        <v>1</v>
      </c>
      <c r="J296" s="89"/>
      <c r="K296" s="89"/>
      <c r="L296" s="89">
        <f>ROUND(IF(E$116=0,E292*H296*I296,E$116*E292*H296*I296),4)</f>
        <v>0.22500000000000001</v>
      </c>
      <c r="S296" s="34">
        <v>301</v>
      </c>
    </row>
    <row r="297" spans="1:19" ht="28.5" customHeight="1">
      <c r="A297" s="12">
        <f>'Công trình'!A93</f>
        <v>21</v>
      </c>
      <c r="B297" s="13" t="str">
        <f>'Công trình'!E93</f>
        <v>AE.26213A</v>
      </c>
      <c r="C297" s="14" t="str">
        <f>'Công trình'!F93</f>
        <v>Xây gạch không nung 6,5x10,5x22, xây hố tụ nước, vữa XM mác 75</v>
      </c>
      <c r="D297" s="13" t="str">
        <f>'Công trình'!G93</f>
        <v>m3</v>
      </c>
      <c r="E297" s="89">
        <f>ROUND('Công trình'!P93,4)</f>
        <v>0.77</v>
      </c>
      <c r="F297" s="80"/>
      <c r="G297" s="80"/>
      <c r="H297" s="80"/>
      <c r="I297" s="81"/>
      <c r="J297" s="89"/>
      <c r="K297" s="89"/>
      <c r="L297" s="89"/>
    </row>
    <row r="298" spans="1:19" ht="16.5" customHeight="1">
      <c r="A298" s="12"/>
      <c r="B298" s="13"/>
      <c r="C298" s="90" t="s">
        <v>683</v>
      </c>
      <c r="D298" s="91"/>
      <c r="E298" s="92"/>
      <c r="F298" s="93"/>
      <c r="G298" s="93"/>
      <c r="H298" s="93"/>
      <c r="I298" s="94"/>
      <c r="J298" s="92"/>
      <c r="K298" s="92"/>
      <c r="L298" s="92"/>
    </row>
    <row r="299" spans="1:19" ht="16.5" customHeight="1">
      <c r="A299" s="12"/>
      <c r="B299" s="13" t="str">
        <f>'Giá tháng'!B20</f>
        <v>A24.0383A</v>
      </c>
      <c r="C299" s="14" t="str">
        <f>'Giá tháng'!C20</f>
        <v>Gạch không nung 6,5x10,5x22</v>
      </c>
      <c r="D299" s="13" t="str">
        <f>'Giá tháng'!D20</f>
        <v>viên</v>
      </c>
      <c r="E299" s="89"/>
      <c r="F299" s="80">
        <v>550</v>
      </c>
      <c r="G299" s="80"/>
      <c r="H299" s="80"/>
      <c r="I299" s="81">
        <f>'Giá tháng'!G20</f>
        <v>1</v>
      </c>
      <c r="J299" s="89">
        <f>ROUND(IF(E$116=0,E297*F299*I299,E$116*E297*F299*I299),4)</f>
        <v>423.5</v>
      </c>
      <c r="K299" s="89"/>
      <c r="L299" s="89"/>
      <c r="Q299" s="34">
        <f>'Cước VC'!AU20</f>
        <v>0</v>
      </c>
      <c r="R299" s="34">
        <f>'Cước bộ'!W20</f>
        <v>0</v>
      </c>
      <c r="S299" s="34">
        <v>1019</v>
      </c>
    </row>
    <row r="300" spans="1:19" ht="16.5" customHeight="1">
      <c r="A300" s="12"/>
      <c r="B300" s="13" t="str">
        <f>'Giá tháng'!B45</f>
        <v>A24.0797A</v>
      </c>
      <c r="C300" s="14" t="str">
        <f>'Giá tháng'!C45</f>
        <v>Xi măng PCB30</v>
      </c>
      <c r="D300" s="13" t="str">
        <f>'Giá tháng'!D45</f>
        <v>kg</v>
      </c>
      <c r="E300" s="89"/>
      <c r="F300" s="80">
        <v>111.54</v>
      </c>
      <c r="G300" s="80"/>
      <c r="H300" s="80"/>
      <c r="I300" s="81">
        <f>'Giá tháng'!G45</f>
        <v>1</v>
      </c>
      <c r="J300" s="89">
        <f>ROUND(IF(E$116=0,E297*F300*I300,E$116*E297*F300*I300),4)</f>
        <v>85.885800000000003</v>
      </c>
      <c r="K300" s="89"/>
      <c r="L300" s="89"/>
      <c r="Q300" s="34">
        <f>'Cước VC'!AU43</f>
        <v>0</v>
      </c>
      <c r="R300" s="34">
        <f>'Cước bộ'!W43</f>
        <v>0</v>
      </c>
      <c r="S300" s="34">
        <v>1043</v>
      </c>
    </row>
    <row r="301" spans="1:19" ht="16.5" customHeight="1">
      <c r="A301" s="12"/>
      <c r="B301" s="13" t="str">
        <f>'Giá tháng'!B9</f>
        <v>A24.0176</v>
      </c>
      <c r="C301" s="14" t="str">
        <f>'Giá tháng'!C9</f>
        <v>Cát mịn ML=1,5-2,0</v>
      </c>
      <c r="D301" s="13" t="str">
        <f>'Giá tháng'!D9</f>
        <v>m3</v>
      </c>
      <c r="E301" s="89"/>
      <c r="F301" s="80">
        <v>0.37917000000000001</v>
      </c>
      <c r="G301" s="80"/>
      <c r="H301" s="80"/>
      <c r="I301" s="81">
        <f>'Giá tháng'!G9</f>
        <v>1</v>
      </c>
      <c r="J301" s="89">
        <f>ROUND(IF(E$116=0,E297*F301*I301,E$116*E297*F301*I301),4)</f>
        <v>0.29199999999999998</v>
      </c>
      <c r="K301" s="89"/>
      <c r="L301" s="89"/>
      <c r="Q301" s="34">
        <f>'Cước VC'!AU9</f>
        <v>0</v>
      </c>
      <c r="R301" s="34">
        <f>'Cước bộ'!W9</f>
        <v>0</v>
      </c>
      <c r="S301" s="34">
        <v>108</v>
      </c>
    </row>
    <row r="302" spans="1:19" ht="16.5" customHeight="1">
      <c r="A302" s="12"/>
      <c r="B302" s="13" t="str">
        <f>'Giá tháng'!B32</f>
        <v>A24.0524</v>
      </c>
      <c r="C302" s="14" t="str">
        <f>'Giá tháng'!C32</f>
        <v>Nước</v>
      </c>
      <c r="D302" s="13" t="str">
        <f>'Giá tháng'!D32</f>
        <v>lít</v>
      </c>
      <c r="E302" s="89"/>
      <c r="F302" s="80">
        <v>89.76</v>
      </c>
      <c r="G302" s="80"/>
      <c r="H302" s="80"/>
      <c r="I302" s="81">
        <f>'Giá tháng'!G32</f>
        <v>1</v>
      </c>
      <c r="J302" s="89">
        <f>ROUND(IF(E$116=0,E297*F302*I302,E$116*E297*F302*I302),4)</f>
        <v>69.115200000000002</v>
      </c>
      <c r="K302" s="89"/>
      <c r="L302" s="89"/>
      <c r="Q302" s="34">
        <f>'Cước VC'!AU31</f>
        <v>0</v>
      </c>
      <c r="R302" s="34">
        <f>'Cước bộ'!W31</f>
        <v>0</v>
      </c>
      <c r="S302" s="34">
        <v>1031</v>
      </c>
    </row>
    <row r="303" spans="1:19" ht="16.5" customHeight="1">
      <c r="A303" s="12"/>
      <c r="B303" s="13" t="s">
        <v>684</v>
      </c>
      <c r="C303" s="14" t="s">
        <v>685</v>
      </c>
      <c r="D303" s="13" t="s">
        <v>682</v>
      </c>
      <c r="E303" s="89"/>
      <c r="F303" s="80">
        <v>5.5</v>
      </c>
      <c r="G303" s="80"/>
      <c r="H303" s="80"/>
      <c r="I303" s="81"/>
      <c r="J303" s="89"/>
      <c r="K303" s="89"/>
      <c r="L303" s="89"/>
      <c r="M303" s="34">
        <f>ROUND(IF(E$116=0,E297*F303*(F299*'Giá tháng'!E20*'Giá tháng'!G20+F300*'Giá tháng'!E45*'Giá tháng'!G45+F301*'Giá tháng'!E9*'Giá tháng'!G9+F302*'Giá tháng'!E32*'Giá tháng'!G32)/100,E$116*E297*F303*(F299*'Giá tháng'!E20*'Giá tháng'!G20+F300*'Giá tháng'!E45*'Giá tháng'!G45+F301*'Giá tháng'!E9*'Giá tháng'!G9+F302*'Giá tháng'!E32*'Giá tháng'!G32)/100),1)</f>
        <v>33950.699999999997</v>
      </c>
      <c r="O303" s="34">
        <f>ROUND(IF(E$116=0,E297*F303*(F299*('Giá tháng'!F20+Q299+R299)*'Giá tháng'!G20+F300*('Giá tháng'!F45+Q300+R300)*'Giá tháng'!G45+F301*('Giá tháng'!F9+Q301+R301)*'Giá tháng'!G9+F302*('Giá tháng'!F32+Q302+R302)*'Giá tháng'!G32)/100,E$116*E297*F303*(F299*('Giá tháng'!F20+Q299+R299)*'Giá tháng'!G20+F300*('Giá tháng'!F45+Q300+R300)*'Giá tháng'!G45+F301*('Giá tháng'!F9+Q301+R301)*'Giá tháng'!G9+F302*('Giá tháng'!F32+Q302+R302)*'Giá tháng'!G32)/100),1)</f>
        <v>43333.2</v>
      </c>
    </row>
    <row r="304" spans="1:19" ht="16.5" customHeight="1">
      <c r="A304" s="12"/>
      <c r="B304" s="13"/>
      <c r="C304" s="90" t="s">
        <v>678</v>
      </c>
      <c r="D304" s="91"/>
      <c r="E304" s="92"/>
      <c r="F304" s="93"/>
      <c r="G304" s="93"/>
      <c r="H304" s="93"/>
      <c r="I304" s="94"/>
      <c r="J304" s="92"/>
      <c r="K304" s="92"/>
      <c r="L304" s="92"/>
    </row>
    <row r="305" spans="1:19" ht="16.5" customHeight="1">
      <c r="A305" s="12"/>
      <c r="B305" s="13" t="str">
        <f>'Giá tháng'!B51</f>
        <v>N2.35</v>
      </c>
      <c r="C305" s="14" t="str">
        <f>'Giá tháng'!C51</f>
        <v>Nhân công 3,5/7 - Nhóm 2</v>
      </c>
      <c r="D305" s="13" t="str">
        <f>'Giá tháng'!D51</f>
        <v>công</v>
      </c>
      <c r="E305" s="89"/>
      <c r="F305" s="80"/>
      <c r="G305" s="80">
        <v>3.2</v>
      </c>
      <c r="H305" s="80"/>
      <c r="I305" s="81">
        <f>'Giá tháng'!G51</f>
        <v>1</v>
      </c>
      <c r="J305" s="89"/>
      <c r="K305" s="89">
        <f>ROUND(IF(E$116=0,E297*G305*I305,E$116*E297*G305*I305),4)</f>
        <v>2.464</v>
      </c>
      <c r="L305" s="89"/>
      <c r="S305" s="34">
        <v>205</v>
      </c>
    </row>
    <row r="306" spans="1:19" ht="16.5" customHeight="1">
      <c r="A306" s="12"/>
      <c r="B306" s="13"/>
      <c r="C306" s="90" t="s">
        <v>679</v>
      </c>
      <c r="D306" s="91"/>
      <c r="E306" s="92"/>
      <c r="F306" s="93"/>
      <c r="G306" s="93"/>
      <c r="H306" s="93"/>
      <c r="I306" s="94"/>
      <c r="J306" s="92"/>
      <c r="K306" s="92"/>
      <c r="L306" s="92"/>
    </row>
    <row r="307" spans="1:19" ht="16.5" customHeight="1">
      <c r="A307" s="12"/>
      <c r="B307" s="13" t="str">
        <f>'Giá tháng'!B75</f>
        <v>M104.0202</v>
      </c>
      <c r="C307" s="14" t="str">
        <f>'Giá tháng'!C75</f>
        <v>Máy trộn vữa 150 lít</v>
      </c>
      <c r="D307" s="13" t="str">
        <f>'Giá tháng'!D75</f>
        <v>ca</v>
      </c>
      <c r="E307" s="89"/>
      <c r="F307" s="80"/>
      <c r="G307" s="80"/>
      <c r="H307" s="80">
        <v>3.9E-2</v>
      </c>
      <c r="I307" s="81">
        <f>'Giá tháng'!G75</f>
        <v>1</v>
      </c>
      <c r="J307" s="89"/>
      <c r="K307" s="89"/>
      <c r="L307" s="89">
        <f>ROUND(IF(E$116=0,E297*H307*I307,E$116*E297*H307*I307),4)</f>
        <v>0.03</v>
      </c>
      <c r="S307" s="34">
        <v>3021</v>
      </c>
    </row>
    <row r="308" spans="1:19" ht="28.5" customHeight="1">
      <c r="A308" s="12">
        <f>'Công trình'!A95</f>
        <v>22</v>
      </c>
      <c r="B308" s="13" t="str">
        <f>'Công trình'!E95</f>
        <v>AK.21533A</v>
      </c>
      <c r="C308" s="14" t="str">
        <f>'Công trình'!F95</f>
        <v>Trát tường hố tụ, chiều dày trát 2cm, vữa XM mác 75, PCB30</v>
      </c>
      <c r="D308" s="13" t="str">
        <f>'Công trình'!G95</f>
        <v>m2</v>
      </c>
      <c r="E308" s="89">
        <f>ROUND('Công trình'!P95,4)</f>
        <v>6.49</v>
      </c>
      <c r="F308" s="80"/>
      <c r="G308" s="80"/>
      <c r="H308" s="80"/>
      <c r="I308" s="81"/>
      <c r="J308" s="89"/>
      <c r="K308" s="89"/>
      <c r="L308" s="89"/>
    </row>
    <row r="309" spans="1:19" ht="16.5" customHeight="1">
      <c r="A309" s="12"/>
      <c r="B309" s="13"/>
      <c r="C309" s="90" t="s">
        <v>683</v>
      </c>
      <c r="D309" s="91"/>
      <c r="E309" s="92"/>
      <c r="F309" s="93"/>
      <c r="G309" s="93"/>
      <c r="H309" s="93"/>
      <c r="I309" s="94"/>
      <c r="J309" s="92"/>
      <c r="K309" s="92"/>
      <c r="L309" s="92"/>
    </row>
    <row r="310" spans="1:19" ht="16.5" customHeight="1">
      <c r="A310" s="12"/>
      <c r="B310" s="13" t="str">
        <f>'Giá tháng'!B45</f>
        <v>A24.0797A</v>
      </c>
      <c r="C310" s="14" t="str">
        <f>'Giá tháng'!C45</f>
        <v>Xi măng PCB30</v>
      </c>
      <c r="D310" s="13" t="str">
        <f>'Giá tháng'!D45</f>
        <v>kg</v>
      </c>
      <c r="E310" s="89"/>
      <c r="F310" s="80">
        <v>7.774</v>
      </c>
      <c r="G310" s="80"/>
      <c r="H310" s="80"/>
      <c r="I310" s="81">
        <f>'Giá tháng'!G45</f>
        <v>1</v>
      </c>
      <c r="J310" s="89">
        <f>ROUND(IF(E$116=0,E308*F310*I310,E$116*E308*F310*I310),4)</f>
        <v>50.453299999999999</v>
      </c>
      <c r="K310" s="89"/>
      <c r="L310" s="89"/>
      <c r="Q310" s="34">
        <f>'Cước VC'!AU43</f>
        <v>0</v>
      </c>
      <c r="R310" s="34">
        <f>'Cước bộ'!W43</f>
        <v>0</v>
      </c>
      <c r="S310" s="34">
        <v>1043</v>
      </c>
    </row>
    <row r="311" spans="1:19" ht="16.5" customHeight="1">
      <c r="A311" s="12"/>
      <c r="B311" s="13" t="str">
        <f>'Giá tháng'!B9</f>
        <v>A24.0176</v>
      </c>
      <c r="C311" s="14" t="str">
        <f>'Giá tháng'!C9</f>
        <v>Cát mịn ML=1,5-2,0</v>
      </c>
      <c r="D311" s="13" t="str">
        <f>'Giá tháng'!D9</f>
        <v>m3</v>
      </c>
      <c r="E311" s="89"/>
      <c r="F311" s="80">
        <v>2.6426999999999999E-2</v>
      </c>
      <c r="G311" s="80"/>
      <c r="H311" s="80"/>
      <c r="I311" s="81">
        <f>'Giá tháng'!G9</f>
        <v>1</v>
      </c>
      <c r="J311" s="89">
        <f>ROUND(IF(E$116=0,E308*F311*I311,E$116*E308*F311*I311),4)</f>
        <v>0.17150000000000001</v>
      </c>
      <c r="K311" s="89"/>
      <c r="L311" s="89"/>
      <c r="Q311" s="34">
        <f>'Cước VC'!AU9</f>
        <v>0</v>
      </c>
      <c r="R311" s="34">
        <f>'Cước bộ'!W9</f>
        <v>0</v>
      </c>
      <c r="S311" s="34">
        <v>108</v>
      </c>
    </row>
    <row r="312" spans="1:19" ht="16.5" customHeight="1">
      <c r="A312" s="12"/>
      <c r="B312" s="13" t="str">
        <f>'Giá tháng'!B32</f>
        <v>A24.0524</v>
      </c>
      <c r="C312" s="14" t="str">
        <f>'Giá tháng'!C32</f>
        <v>Nước</v>
      </c>
      <c r="D312" s="13" t="str">
        <f>'Giá tháng'!D32</f>
        <v>lít</v>
      </c>
      <c r="E312" s="89"/>
      <c r="F312" s="80">
        <v>6.2560000000000002</v>
      </c>
      <c r="G312" s="80"/>
      <c r="H312" s="80"/>
      <c r="I312" s="81">
        <f>'Giá tháng'!G32</f>
        <v>1</v>
      </c>
      <c r="J312" s="89">
        <f>ROUND(IF(E$116=0,E308*F312*I312,E$116*E308*F312*I312),4)</f>
        <v>40.601399999999998</v>
      </c>
      <c r="K312" s="89"/>
      <c r="L312" s="89"/>
      <c r="Q312" s="34">
        <f>'Cước VC'!AU31</f>
        <v>0</v>
      </c>
      <c r="R312" s="34">
        <f>'Cước bộ'!W31</f>
        <v>0</v>
      </c>
      <c r="S312" s="34">
        <v>1031</v>
      </c>
    </row>
    <row r="313" spans="1:19" ht="16.5" customHeight="1">
      <c r="A313" s="12"/>
      <c r="B313" s="13" t="s">
        <v>684</v>
      </c>
      <c r="C313" s="14" t="s">
        <v>685</v>
      </c>
      <c r="D313" s="13" t="s">
        <v>682</v>
      </c>
      <c r="E313" s="89"/>
      <c r="F313" s="80">
        <v>0.5</v>
      </c>
      <c r="G313" s="80"/>
      <c r="H313" s="80"/>
      <c r="I313" s="81"/>
      <c r="J313" s="89"/>
      <c r="K313" s="89"/>
      <c r="L313" s="89"/>
      <c r="M313" s="34">
        <f>ROUND(IF(E$116=0,E308*F313*(F310*'Giá tháng'!E45*'Giá tháng'!G45+F311*'Giá tháng'!E9*'Giá tháng'!G9+F312*'Giá tháng'!E32*'Giá tháng'!G32)/100,E$116*E308*F313*(F310*'Giá tháng'!E45*'Giá tháng'!G45+F311*'Giá tháng'!E9*'Giá tháng'!G9+F312*'Giá tháng'!E32*'Giá tháng'!G32)/100),1)</f>
        <v>693.6</v>
      </c>
      <c r="O313" s="34">
        <f>ROUND(IF(E$116=0,E308*F313*(F310*('Giá tháng'!F45+Q310+R310)*'Giá tháng'!G45+F311*('Giá tháng'!F9+Q311+R311)*'Giá tháng'!G9+F312*('Giá tháng'!F32+Q312+R312)*'Giá tháng'!G32)/100,E$116*E308*F313*(F310*('Giá tháng'!F45+Q310+R310)*'Giá tháng'!G45+F311*('Giá tháng'!F9+Q311+R311)*'Giá tháng'!G9+F312*('Giá tháng'!F32+Q312+R312)*'Giá tháng'!G32)/100),1)</f>
        <v>759.3</v>
      </c>
    </row>
    <row r="314" spans="1:19" ht="16.5" customHeight="1">
      <c r="A314" s="12"/>
      <c r="B314" s="13"/>
      <c r="C314" s="90" t="s">
        <v>678</v>
      </c>
      <c r="D314" s="91"/>
      <c r="E314" s="92"/>
      <c r="F314" s="93"/>
      <c r="G314" s="93"/>
      <c r="H314" s="93"/>
      <c r="I314" s="94"/>
      <c r="J314" s="92"/>
      <c r="K314" s="92"/>
      <c r="L314" s="92"/>
    </row>
    <row r="315" spans="1:19" ht="16.5" customHeight="1">
      <c r="A315" s="12"/>
      <c r="B315" s="13" t="str">
        <f>'Giá tháng'!B51</f>
        <v>N2.35</v>
      </c>
      <c r="C315" s="14" t="str">
        <f>'Giá tháng'!C51</f>
        <v>Nhân công 3,5/7 - Nhóm 2</v>
      </c>
      <c r="D315" s="13" t="str">
        <f>'Giá tháng'!D51</f>
        <v>công</v>
      </c>
      <c r="E315" s="89"/>
      <c r="F315" s="80"/>
      <c r="G315" s="80">
        <v>0.35</v>
      </c>
      <c r="H315" s="80"/>
      <c r="I315" s="81">
        <f>'Giá tháng'!G51</f>
        <v>1</v>
      </c>
      <c r="J315" s="89"/>
      <c r="K315" s="89">
        <f>ROUND(IF(E$116=0,E308*G315*I315,E$116*E308*G315*I315),4)</f>
        <v>2.2715000000000001</v>
      </c>
      <c r="L315" s="89"/>
      <c r="S315" s="34">
        <v>205</v>
      </c>
    </row>
    <row r="316" spans="1:19" ht="16.5" customHeight="1">
      <c r="A316" s="12"/>
      <c r="B316" s="13"/>
      <c r="C316" s="90" t="s">
        <v>679</v>
      </c>
      <c r="D316" s="91"/>
      <c r="E316" s="92"/>
      <c r="F316" s="93"/>
      <c r="G316" s="93"/>
      <c r="H316" s="93"/>
      <c r="I316" s="94"/>
      <c r="J316" s="92"/>
      <c r="K316" s="92"/>
      <c r="L316" s="92"/>
    </row>
    <row r="317" spans="1:19" ht="16.5" customHeight="1">
      <c r="A317" s="12"/>
      <c r="B317" s="13" t="str">
        <f>'Giá tháng'!B75</f>
        <v>M104.0202</v>
      </c>
      <c r="C317" s="14" t="str">
        <f>'Giá tháng'!C75</f>
        <v>Máy trộn vữa 150 lít</v>
      </c>
      <c r="D317" s="13" t="str">
        <f>'Giá tháng'!D75</f>
        <v>ca</v>
      </c>
      <c r="E317" s="89"/>
      <c r="F317" s="80"/>
      <c r="G317" s="80"/>
      <c r="H317" s="80">
        <v>3.0000000000000001E-3</v>
      </c>
      <c r="I317" s="81">
        <f>'Giá tháng'!G75</f>
        <v>1</v>
      </c>
      <c r="J317" s="89"/>
      <c r="K317" s="89"/>
      <c r="L317" s="89">
        <f>ROUND(IF(E$116=0,E308*H317*I317,E$116*E308*H317*I317),4)</f>
        <v>1.95E-2</v>
      </c>
      <c r="S317" s="34">
        <v>3021</v>
      </c>
    </row>
    <row r="318" spans="1:19" ht="16.5" customHeight="1">
      <c r="A318" s="12">
        <f>'Công trình'!A97</f>
        <v>23</v>
      </c>
      <c r="B318" s="13" t="str">
        <f>'Công trình'!E97</f>
        <v>AF.81141</v>
      </c>
      <c r="C318" s="14" t="str">
        <f>'Công trình'!F97</f>
        <v>Ván khuôn gỗ. Ván khuôn cổ hố tụ</v>
      </c>
      <c r="D318" s="13" t="str">
        <f>'Công trình'!G97</f>
        <v>100m2</v>
      </c>
      <c r="E318" s="89">
        <f>ROUND('Công trình'!P97,4)</f>
        <v>8.0600000000000005E-2</v>
      </c>
      <c r="F318" s="80"/>
      <c r="G318" s="80"/>
      <c r="H318" s="80"/>
      <c r="I318" s="81"/>
      <c r="J318" s="89"/>
      <c r="K318" s="89"/>
      <c r="L318" s="89"/>
    </row>
    <row r="319" spans="1:19" ht="16.5" customHeight="1">
      <c r="A319" s="12"/>
      <c r="B319" s="13"/>
      <c r="C319" s="90" t="s">
        <v>683</v>
      </c>
      <c r="D319" s="91"/>
      <c r="E319" s="92"/>
      <c r="F319" s="93"/>
      <c r="G319" s="93"/>
      <c r="H319" s="93"/>
      <c r="I319" s="94"/>
      <c r="J319" s="92"/>
      <c r="K319" s="92"/>
      <c r="L319" s="92"/>
    </row>
    <row r="320" spans="1:19" ht="16.5" customHeight="1">
      <c r="A320" s="12"/>
      <c r="B320" s="13" t="str">
        <f>'Giá tháng'!B23</f>
        <v>A24.0418</v>
      </c>
      <c r="C320" s="14" t="str">
        <f>'Giá tháng'!C23</f>
        <v>Gỗ ván</v>
      </c>
      <c r="D320" s="13" t="str">
        <f>'Giá tháng'!D23</f>
        <v>m3</v>
      </c>
      <c r="E320" s="89"/>
      <c r="F320" s="80">
        <v>0.79400000000000004</v>
      </c>
      <c r="G320" s="80"/>
      <c r="H320" s="80"/>
      <c r="I320" s="81">
        <f>'Giá tháng'!G23</f>
        <v>1</v>
      </c>
      <c r="J320" s="89">
        <f>ROUND(IF(E$116=0,E318*F320*I320,E$116*E318*F320*I320),4)</f>
        <v>6.4000000000000001E-2</v>
      </c>
      <c r="K320" s="89"/>
      <c r="L320" s="89"/>
      <c r="Q320" s="34">
        <f>'Cước VC'!AU23</f>
        <v>0</v>
      </c>
      <c r="R320" s="34">
        <f>'Cước bộ'!W23</f>
        <v>0</v>
      </c>
      <c r="S320" s="34">
        <v>1022</v>
      </c>
    </row>
    <row r="321" spans="1:19" ht="16.5" customHeight="1">
      <c r="A321" s="12"/>
      <c r="B321" s="13" t="str">
        <f>'Giá tháng'!B22</f>
        <v>A24.0404</v>
      </c>
      <c r="C321" s="14" t="str">
        <f>'Giá tháng'!C22</f>
        <v>Gỗ đà nẹp</v>
      </c>
      <c r="D321" s="13" t="str">
        <f>'Giá tháng'!D22</f>
        <v>m3</v>
      </c>
      <c r="E321" s="89"/>
      <c r="F321" s="80">
        <v>0.189</v>
      </c>
      <c r="G321" s="80"/>
      <c r="H321" s="80"/>
      <c r="I321" s="81">
        <f>'Giá tháng'!G22</f>
        <v>1</v>
      </c>
      <c r="J321" s="89">
        <f>ROUND(IF(E$116=0,E318*F321*I321,E$116*E318*F321*I321),4)</f>
        <v>1.52E-2</v>
      </c>
      <c r="K321" s="89"/>
      <c r="L321" s="89"/>
      <c r="Q321" s="34">
        <f>'Cước VC'!AU22</f>
        <v>0</v>
      </c>
      <c r="R321" s="34">
        <f>'Cước bộ'!W22</f>
        <v>0</v>
      </c>
      <c r="S321" s="34">
        <v>1021</v>
      </c>
    </row>
    <row r="322" spans="1:19" ht="16.5" customHeight="1">
      <c r="A322" s="12"/>
      <c r="B322" s="13" t="str">
        <f>'Giá tháng'!B21</f>
        <v>A24.0406</v>
      </c>
      <c r="C322" s="14" t="str">
        <f>'Giá tháng'!C21</f>
        <v>Gỗ chống</v>
      </c>
      <c r="D322" s="13" t="str">
        <f>'Giá tháng'!D21</f>
        <v>m3</v>
      </c>
      <c r="E322" s="89"/>
      <c r="F322" s="80">
        <v>0.95699999999999996</v>
      </c>
      <c r="G322" s="80"/>
      <c r="H322" s="80"/>
      <c r="I322" s="81">
        <f>'Giá tháng'!G21</f>
        <v>1</v>
      </c>
      <c r="J322" s="89">
        <f>ROUND(IF(E$116=0,E318*F322*I322,E$116*E318*F322*I322),4)</f>
        <v>7.7100000000000002E-2</v>
      </c>
      <c r="K322" s="89"/>
      <c r="L322" s="89"/>
      <c r="Q322" s="34">
        <f>'Cước VC'!AU21</f>
        <v>0</v>
      </c>
      <c r="R322" s="34">
        <f>'Cước bộ'!W21</f>
        <v>0</v>
      </c>
      <c r="S322" s="34">
        <v>1020</v>
      </c>
    </row>
    <row r="323" spans="1:19" ht="16.5" customHeight="1">
      <c r="A323" s="12"/>
      <c r="B323" s="13" t="str">
        <f>'Giá tháng'!B19</f>
        <v>A24.0054</v>
      </c>
      <c r="C323" s="14" t="str">
        <f>'Giá tháng'!C19</f>
        <v>Đinh</v>
      </c>
      <c r="D323" s="13" t="str">
        <f>'Giá tháng'!D19</f>
        <v>kg</v>
      </c>
      <c r="E323" s="89"/>
      <c r="F323" s="80">
        <v>14.29</v>
      </c>
      <c r="G323" s="80"/>
      <c r="H323" s="80"/>
      <c r="I323" s="81">
        <f>'Giá tháng'!G19</f>
        <v>1</v>
      </c>
      <c r="J323" s="89">
        <f>ROUND(IF(E$116=0,E318*F323*I323,E$116*E318*F323*I323),4)</f>
        <v>1.1517999999999999</v>
      </c>
      <c r="K323" s="89"/>
      <c r="L323" s="89"/>
      <c r="Q323" s="34">
        <f>'Cước VC'!AU19</f>
        <v>0</v>
      </c>
      <c r="R323" s="34">
        <f>'Cước bộ'!W19</f>
        <v>0</v>
      </c>
      <c r="S323" s="34">
        <v>1018</v>
      </c>
    </row>
    <row r="324" spans="1:19" ht="16.5" customHeight="1">
      <c r="A324" s="12"/>
      <c r="B324" s="13" t="s">
        <v>684</v>
      </c>
      <c r="C324" s="14" t="s">
        <v>685</v>
      </c>
      <c r="D324" s="13" t="s">
        <v>682</v>
      </c>
      <c r="E324" s="89"/>
      <c r="F324" s="80">
        <v>1</v>
      </c>
      <c r="G324" s="80"/>
      <c r="H324" s="80"/>
      <c r="I324" s="81"/>
      <c r="J324" s="89"/>
      <c r="K324" s="89"/>
      <c r="L324" s="89"/>
      <c r="M324" s="34">
        <f>ROUND(IF(E$116=0,E318*F324*(F320*'Giá tháng'!E23*'Giá tháng'!G23+F321*'Giá tháng'!E22*'Giá tháng'!G22+F322*'Giá tháng'!E21*'Giá tháng'!G21+F323*'Giá tháng'!E19*'Giá tháng'!G19)/100,E$116*E318*F324*(F320*'Giá tháng'!E23*'Giá tháng'!G23+F321*'Giá tháng'!E22*'Giá tháng'!G22+F322*'Giá tháng'!E21*'Giá tháng'!G21+F323*'Giá tháng'!E19*'Giá tháng'!G19)/100),1)</f>
        <v>5595.5</v>
      </c>
      <c r="O324" s="34">
        <f>ROUND(IF(E$116=0,E318*F324*(F320*('Giá tháng'!F23+Q320+R320)*'Giá tháng'!G23+F321*('Giá tháng'!F22+Q321+R321)*'Giá tháng'!G22+F322*('Giá tháng'!F21+Q322+R322)*'Giá tháng'!G21+F323*('Giá tháng'!F19+Q323+R323)*'Giá tháng'!G19)/100,E$116*E318*F324*(F320*('Giá tháng'!F23+Q320+R320)*'Giá tháng'!G23+F321*('Giá tháng'!F22+Q321+R321)*'Giá tháng'!G22+F322*('Giá tháng'!F21+Q322+R322)*'Giá tháng'!G21+F323*('Giá tháng'!F19+Q323+R323)*'Giá tháng'!G19)/100),1)</f>
        <v>7017</v>
      </c>
    </row>
    <row r="325" spans="1:19" ht="16.5" customHeight="1">
      <c r="A325" s="12"/>
      <c r="B325" s="13"/>
      <c r="C325" s="90" t="s">
        <v>678</v>
      </c>
      <c r="D325" s="91"/>
      <c r="E325" s="92"/>
      <c r="F325" s="93"/>
      <c r="G325" s="93"/>
      <c r="H325" s="93"/>
      <c r="I325" s="94"/>
      <c r="J325" s="92"/>
      <c r="K325" s="92"/>
      <c r="L325" s="92"/>
    </row>
    <row r="326" spans="1:19" ht="16.5" customHeight="1">
      <c r="A326" s="12"/>
      <c r="B326" s="13" t="str">
        <f>'Giá tháng'!B51</f>
        <v>N2.35</v>
      </c>
      <c r="C326" s="14" t="str">
        <f>'Giá tháng'!C51</f>
        <v>Nhân công 3,5/7 - Nhóm 2</v>
      </c>
      <c r="D326" s="13" t="str">
        <f>'Giá tháng'!D51</f>
        <v>công</v>
      </c>
      <c r="E326" s="89"/>
      <c r="F326" s="80"/>
      <c r="G326" s="80">
        <v>27.5</v>
      </c>
      <c r="H326" s="80"/>
      <c r="I326" s="81">
        <f>'Giá tháng'!G51</f>
        <v>1</v>
      </c>
      <c r="J326" s="89"/>
      <c r="K326" s="89">
        <f>ROUND(IF(E$116=0,E318*G326*I326,E$116*E318*G326*I326),4)</f>
        <v>2.2164999999999999</v>
      </c>
      <c r="L326" s="89"/>
      <c r="S326" s="34">
        <v>205</v>
      </c>
    </row>
    <row r="327" spans="1:19" ht="28.5" customHeight="1">
      <c r="A327" s="12">
        <f>'Công trình'!A99</f>
        <v>24</v>
      </c>
      <c r="B327" s="13" t="str">
        <f>'Công trình'!E99</f>
        <v>AF.12314A</v>
      </c>
      <c r="C327" s="14" t="str">
        <f>'Công trình'!F99</f>
        <v>Đổ bê tông cổ hố tụ, đá 1x2, mác 250</v>
      </c>
      <c r="D327" s="13" t="str">
        <f>'Công trình'!G99</f>
        <v>m3</v>
      </c>
      <c r="E327" s="89">
        <f>ROUND('Công trình'!P99,4)</f>
        <v>4.03</v>
      </c>
      <c r="F327" s="80"/>
      <c r="G327" s="80"/>
      <c r="H327" s="80"/>
      <c r="I327" s="81"/>
      <c r="J327" s="89"/>
      <c r="K327" s="89"/>
      <c r="L327" s="89"/>
    </row>
    <row r="328" spans="1:19" ht="16.5" customHeight="1">
      <c r="A328" s="12"/>
      <c r="B328" s="13"/>
      <c r="C328" s="90" t="s">
        <v>683</v>
      </c>
      <c r="D328" s="91"/>
      <c r="E328" s="92"/>
      <c r="F328" s="93"/>
      <c r="G328" s="93"/>
      <c r="H328" s="93"/>
      <c r="I328" s="94"/>
      <c r="J328" s="92"/>
      <c r="K328" s="92"/>
      <c r="L328" s="92"/>
    </row>
    <row r="329" spans="1:19" ht="16.5" customHeight="1">
      <c r="A329" s="12"/>
      <c r="B329" s="13" t="str">
        <f>'Giá tháng'!B45</f>
        <v>A24.0797A</v>
      </c>
      <c r="C329" s="14" t="str">
        <f>'Giá tháng'!C45</f>
        <v>Xi măng PCB30</v>
      </c>
      <c r="D329" s="13" t="str">
        <f>'Giá tháng'!D45</f>
        <v>kg</v>
      </c>
      <c r="E329" s="89"/>
      <c r="F329" s="80">
        <v>369</v>
      </c>
      <c r="G329" s="80"/>
      <c r="H329" s="80"/>
      <c r="I329" s="81">
        <f>'Giá tháng'!G45</f>
        <v>1</v>
      </c>
      <c r="J329" s="89">
        <f>ROUND(IF(E$116=0,E327*F329*I329,E$116*E327*F329*I329),4)</f>
        <v>1487.07</v>
      </c>
      <c r="K329" s="89"/>
      <c r="L329" s="89"/>
      <c r="Q329" s="34">
        <f>'Cước VC'!AU43</f>
        <v>0</v>
      </c>
      <c r="R329" s="34">
        <f>'Cước bộ'!W43</f>
        <v>0</v>
      </c>
      <c r="S329" s="34">
        <v>1043</v>
      </c>
    </row>
    <row r="330" spans="1:19" ht="16.5" customHeight="1">
      <c r="A330" s="12"/>
      <c r="B330" s="13" t="str">
        <f>'Giá tháng'!B10</f>
        <v>A24.0180</v>
      </c>
      <c r="C330" s="14" t="str">
        <f>'Giá tháng'!C10</f>
        <v>Cát vàng</v>
      </c>
      <c r="D330" s="13" t="str">
        <f>'Giá tháng'!D10</f>
        <v>m3</v>
      </c>
      <c r="E330" s="89"/>
      <c r="F330" s="80">
        <v>0.517625</v>
      </c>
      <c r="G330" s="80"/>
      <c r="H330" s="80"/>
      <c r="I330" s="81">
        <f>'Giá tháng'!G10</f>
        <v>1</v>
      </c>
      <c r="J330" s="89">
        <f>ROUND(IF(E$116=0,E327*F330*I330,E$116*E327*F330*I330),4)</f>
        <v>2.0859999999999999</v>
      </c>
      <c r="K330" s="89"/>
      <c r="L330" s="89"/>
      <c r="Q330" s="34">
        <f>'Cước VC'!AU10</f>
        <v>0</v>
      </c>
      <c r="R330" s="34">
        <f>'Cước bộ'!W10</f>
        <v>0</v>
      </c>
      <c r="S330" s="34">
        <v>109</v>
      </c>
    </row>
    <row r="331" spans="1:19" ht="16.5" customHeight="1">
      <c r="A331" s="12"/>
      <c r="B331" s="13" t="str">
        <f>'Giá tháng'!B15</f>
        <v>A24.0008</v>
      </c>
      <c r="C331" s="14" t="str">
        <f>'Giá tháng'!C15</f>
        <v>Đá 1x2</v>
      </c>
      <c r="D331" s="13" t="str">
        <f>'Giá tháng'!D15</f>
        <v>m3</v>
      </c>
      <c r="E331" s="89"/>
      <c r="F331" s="80">
        <v>0.8528</v>
      </c>
      <c r="G331" s="80"/>
      <c r="H331" s="80"/>
      <c r="I331" s="81">
        <f>'Giá tháng'!G15</f>
        <v>1</v>
      </c>
      <c r="J331" s="89">
        <f>ROUND(IF(E$116=0,E327*F331*I331,E$116*E327*F331*I331),4)</f>
        <v>3.4367999999999999</v>
      </c>
      <c r="K331" s="89"/>
      <c r="L331" s="89"/>
      <c r="Q331" s="34">
        <f>'Cước VC'!AU15</f>
        <v>0</v>
      </c>
      <c r="R331" s="34">
        <f>'Cước bộ'!W15</f>
        <v>0</v>
      </c>
      <c r="S331" s="34">
        <v>1014</v>
      </c>
    </row>
    <row r="332" spans="1:19" ht="16.5" customHeight="1">
      <c r="A332" s="12"/>
      <c r="B332" s="13" t="str">
        <f>'Giá tháng'!B32</f>
        <v>A24.0524</v>
      </c>
      <c r="C332" s="14" t="str">
        <f>'Giá tháng'!C32</f>
        <v>Nước</v>
      </c>
      <c r="D332" s="13" t="str">
        <f>'Giá tháng'!D32</f>
        <v>lít</v>
      </c>
      <c r="E332" s="89"/>
      <c r="F332" s="80">
        <v>187.57499999999999</v>
      </c>
      <c r="G332" s="80"/>
      <c r="H332" s="80"/>
      <c r="I332" s="81">
        <f>'Giá tháng'!G32</f>
        <v>1</v>
      </c>
      <c r="J332" s="89">
        <f>ROUND(IF(E$116=0,E327*F332*I332,E$116*E327*F332*I332),4)</f>
        <v>755.92729999999995</v>
      </c>
      <c r="K332" s="89"/>
      <c r="L332" s="89"/>
      <c r="Q332" s="34">
        <f>'Cước VC'!AU31</f>
        <v>0</v>
      </c>
      <c r="R332" s="34">
        <f>'Cước bộ'!W31</f>
        <v>0</v>
      </c>
      <c r="S332" s="34">
        <v>1031</v>
      </c>
    </row>
    <row r="333" spans="1:19" ht="16.5" customHeight="1">
      <c r="A333" s="12"/>
      <c r="B333" s="13" t="s">
        <v>684</v>
      </c>
      <c r="C333" s="14" t="s">
        <v>685</v>
      </c>
      <c r="D333" s="13" t="s">
        <v>682</v>
      </c>
      <c r="E333" s="89"/>
      <c r="F333" s="80">
        <v>1</v>
      </c>
      <c r="G333" s="80"/>
      <c r="H333" s="80"/>
      <c r="I333" s="81"/>
      <c r="J333" s="89"/>
      <c r="K333" s="89"/>
      <c r="L333" s="89"/>
      <c r="M333" s="34">
        <f>ROUND(IF(E$116=0,E327*F333*(F329*'Giá tháng'!E45*'Giá tháng'!G45+F330*'Giá tháng'!E10*'Giá tháng'!G10+F331*'Giá tháng'!E15*'Giá tháng'!G15+F332*'Giá tháng'!E32*'Giá tháng'!G32)/100,E$116*E327*F333*(F329*'Giá tháng'!E45*'Giá tháng'!G45+F330*'Giá tháng'!E10*'Giá tháng'!G10+F331*'Giá tháng'!E15*'Giá tháng'!G15+F332*'Giá tháng'!E32*'Giá tháng'!G32)/100),1)</f>
        <v>40997.1</v>
      </c>
      <c r="O333" s="34">
        <f>ROUND(IF(E$116=0,E327*F333*(F329*('Giá tháng'!F45+Q329+R329)*'Giá tháng'!G45+F330*('Giá tháng'!F10+Q330+R330)*'Giá tháng'!G10+F331*('Giá tháng'!F15+Q331+R331)*'Giá tháng'!G15+F332*('Giá tháng'!F32+Q332+R332)*'Giá tháng'!G32)/100,E$116*E327*F333*(F329*('Giá tháng'!F45+Q329+R329)*'Giá tháng'!G45+F330*('Giá tháng'!F10+Q330+R330)*'Giá tháng'!G10+F331*('Giá tháng'!F15+Q331+R331)*'Giá tháng'!G15+F332*('Giá tháng'!F32+Q332+R332)*'Giá tháng'!G32)/100),1)</f>
        <v>43872.7</v>
      </c>
    </row>
    <row r="334" spans="1:19" ht="16.5" customHeight="1">
      <c r="A334" s="12"/>
      <c r="B334" s="13"/>
      <c r="C334" s="90" t="s">
        <v>678</v>
      </c>
      <c r="D334" s="91"/>
      <c r="E334" s="92"/>
      <c r="F334" s="93"/>
      <c r="G334" s="93"/>
      <c r="H334" s="93"/>
      <c r="I334" s="94"/>
      <c r="J334" s="92"/>
      <c r="K334" s="92"/>
      <c r="L334" s="92"/>
    </row>
    <row r="335" spans="1:19" ht="16.5" customHeight="1">
      <c r="A335" s="12"/>
      <c r="B335" s="13" t="str">
        <f>'Giá tháng'!B49</f>
        <v>N2.30</v>
      </c>
      <c r="C335" s="14" t="str">
        <f>'Giá tháng'!C49</f>
        <v>Nhân công 3,0/7 - Nhóm 2</v>
      </c>
      <c r="D335" s="13" t="str">
        <f>'Giá tháng'!D49</f>
        <v>công</v>
      </c>
      <c r="E335" s="89"/>
      <c r="F335" s="80"/>
      <c r="G335" s="80">
        <v>2.67</v>
      </c>
      <c r="H335" s="80"/>
      <c r="I335" s="81">
        <f>'Giá tháng'!G49</f>
        <v>1</v>
      </c>
      <c r="J335" s="89"/>
      <c r="K335" s="89">
        <f>ROUND(IF(E$116=0,E327*G335*I335,E$116*E327*G335*I335),4)</f>
        <v>10.7601</v>
      </c>
      <c r="L335" s="89"/>
      <c r="S335" s="34">
        <v>203</v>
      </c>
    </row>
    <row r="336" spans="1:19" ht="16.5" customHeight="1">
      <c r="A336" s="12"/>
      <c r="B336" s="13"/>
      <c r="C336" s="90" t="s">
        <v>679</v>
      </c>
      <c r="D336" s="91"/>
      <c r="E336" s="92"/>
      <c r="F336" s="93"/>
      <c r="G336" s="93"/>
      <c r="H336" s="93"/>
      <c r="I336" s="94"/>
      <c r="J336" s="92"/>
      <c r="K336" s="92"/>
      <c r="L336" s="92"/>
    </row>
    <row r="337" spans="1:19" ht="28.5" customHeight="1">
      <c r="A337" s="12"/>
      <c r="B337" s="13" t="str">
        <f>'Giá tháng'!B74</f>
        <v>M104.0102</v>
      </c>
      <c r="C337" s="14" t="str">
        <f>'Giá tháng'!C74</f>
        <v>Máy trộn bê tông - dung tích : 250,0 lít</v>
      </c>
      <c r="D337" s="13" t="str">
        <f>'Giá tháng'!D74</f>
        <v>ca</v>
      </c>
      <c r="E337" s="89"/>
      <c r="F337" s="80"/>
      <c r="G337" s="80"/>
      <c r="H337" s="80">
        <v>9.5000000000000001E-2</v>
      </c>
      <c r="I337" s="81">
        <f>'Giá tháng'!G74</f>
        <v>1</v>
      </c>
      <c r="J337" s="89"/>
      <c r="K337" s="89"/>
      <c r="L337" s="89">
        <f>ROUND(IF(E$116=0,E327*H337*I337,E$116*E327*H337*I337),4)</f>
        <v>0.38290000000000002</v>
      </c>
      <c r="S337" s="34">
        <v>3020</v>
      </c>
    </row>
    <row r="338" spans="1:19" ht="28.5" customHeight="1">
      <c r="A338" s="12"/>
      <c r="B338" s="13" t="str">
        <f>'Giá tháng'!B62</f>
        <v>M112.1301</v>
      </c>
      <c r="C338" s="14" t="str">
        <f>'Giá tháng'!C62</f>
        <v>Máy đầm bê tông, dầm dùi - công suất : 1,5 kW</v>
      </c>
      <c r="D338" s="13" t="str">
        <f>'Giá tháng'!D62</f>
        <v>ca</v>
      </c>
      <c r="E338" s="89"/>
      <c r="F338" s="80"/>
      <c r="G338" s="80"/>
      <c r="H338" s="80">
        <v>0.18</v>
      </c>
      <c r="I338" s="81">
        <f>'Giá tháng'!G62</f>
        <v>1</v>
      </c>
      <c r="J338" s="89"/>
      <c r="K338" s="89"/>
      <c r="L338" s="89">
        <f>ROUND(IF(E$116=0,E327*H338*I338,E$116*E327*H338*I338),4)</f>
        <v>0.72540000000000004</v>
      </c>
      <c r="S338" s="34">
        <v>308</v>
      </c>
    </row>
    <row r="339" spans="1:19" ht="28.5" customHeight="1">
      <c r="A339" s="12">
        <f>'Công trình'!A104</f>
        <v>26</v>
      </c>
      <c r="B339" s="13" t="str">
        <f>'Công trình'!E104</f>
        <v>AB.25102</v>
      </c>
      <c r="C339" s="14" t="str">
        <f>'Công trình'!F104</f>
        <v>Đào móng cống</v>
      </c>
      <c r="D339" s="13" t="str">
        <f>'Công trình'!G104</f>
        <v>100m3</v>
      </c>
      <c r="E339" s="89">
        <f>ROUND('Công trình'!P104,4)</f>
        <v>6.2493999999999996</v>
      </c>
      <c r="F339" s="80"/>
      <c r="G339" s="80"/>
      <c r="H339" s="80"/>
      <c r="I339" s="81"/>
      <c r="J339" s="89"/>
      <c r="K339" s="89"/>
      <c r="L339" s="89"/>
    </row>
    <row r="340" spans="1:19" ht="16.5" customHeight="1">
      <c r="A340" s="12"/>
      <c r="B340" s="13"/>
      <c r="C340" s="90" t="s">
        <v>678</v>
      </c>
      <c r="D340" s="91"/>
      <c r="E340" s="92"/>
      <c r="F340" s="93"/>
      <c r="G340" s="93"/>
      <c r="H340" s="93"/>
      <c r="I340" s="94"/>
      <c r="J340" s="92"/>
      <c r="K340" s="92"/>
      <c r="L340" s="92"/>
    </row>
    <row r="341" spans="1:19" ht="16.5" customHeight="1">
      <c r="A341" s="12"/>
      <c r="B341" s="13" t="str">
        <f>'Giá tháng'!B48</f>
        <v>N1.30</v>
      </c>
      <c r="C341" s="14" t="str">
        <f>'Giá tháng'!C48</f>
        <v>Nhân công 3,0/7 - Nhóm 1</v>
      </c>
      <c r="D341" s="13" t="str">
        <f>'Giá tháng'!D48</f>
        <v>công</v>
      </c>
      <c r="E341" s="89"/>
      <c r="F341" s="80"/>
      <c r="G341" s="80">
        <v>3.9</v>
      </c>
      <c r="H341" s="80"/>
      <c r="I341" s="81">
        <f>'Giá tháng'!G48</f>
        <v>1</v>
      </c>
      <c r="J341" s="89"/>
      <c r="K341" s="89">
        <f>ROUND(IF(E$116=0,E339*G341*I341,E$116*E339*G341*I341),4)</f>
        <v>24.372699999999998</v>
      </c>
      <c r="L341" s="89"/>
      <c r="S341" s="34">
        <v>202</v>
      </c>
    </row>
    <row r="342" spans="1:19" ht="16.5" customHeight="1">
      <c r="A342" s="12"/>
      <c r="B342" s="13"/>
      <c r="C342" s="90" t="s">
        <v>679</v>
      </c>
      <c r="D342" s="91"/>
      <c r="E342" s="92"/>
      <c r="F342" s="93"/>
      <c r="G342" s="93"/>
      <c r="H342" s="93"/>
      <c r="I342" s="94"/>
      <c r="J342" s="92"/>
      <c r="K342" s="92"/>
      <c r="L342" s="92"/>
    </row>
    <row r="343" spans="1:19" ht="28.5" customHeight="1">
      <c r="A343" s="12"/>
      <c r="B343" s="13" t="str">
        <f>'Giá tháng'!B58</f>
        <v>M101.0101</v>
      </c>
      <c r="C343" s="14" t="str">
        <f>'Giá tháng'!C58</f>
        <v>Máy đào một gầu, bánh xích - dung tích gầu : 0,40 m3</v>
      </c>
      <c r="D343" s="13" t="str">
        <f>'Giá tháng'!D58</f>
        <v>ca</v>
      </c>
      <c r="E343" s="89"/>
      <c r="F343" s="80"/>
      <c r="G343" s="80"/>
      <c r="H343" s="80">
        <v>0.63100000000000001</v>
      </c>
      <c r="I343" s="81">
        <f>'Giá tháng'!G58</f>
        <v>1</v>
      </c>
      <c r="J343" s="89"/>
      <c r="K343" s="89"/>
      <c r="L343" s="89">
        <f>ROUND(IF(E$116=0,E339*H343*I343,E$116*E339*H343*I343),4)</f>
        <v>3.9434</v>
      </c>
      <c r="S343" s="34">
        <v>304</v>
      </c>
    </row>
    <row r="344" spans="1:19" ht="16.5" customHeight="1">
      <c r="A344" s="12">
        <f>'Công trình'!A106</f>
        <v>44</v>
      </c>
      <c r="B344" s="13" t="str">
        <f>'Công trình'!E106</f>
        <v>AB.11312</v>
      </c>
      <c r="C344" s="14" t="str">
        <f>'Công trình'!F106</f>
        <v>Đào móng bằng thủ công 10%</v>
      </c>
      <c r="D344" s="13" t="str">
        <f>'Công trình'!G106</f>
        <v>m3</v>
      </c>
      <c r="E344" s="89">
        <f>ROUND('Công trình'!P106,4)</f>
        <v>62.494</v>
      </c>
      <c r="F344" s="80"/>
      <c r="G344" s="80"/>
      <c r="H344" s="80"/>
      <c r="I344" s="81"/>
      <c r="J344" s="89"/>
      <c r="K344" s="89"/>
      <c r="L344" s="89"/>
    </row>
    <row r="345" spans="1:19" ht="16.5" customHeight="1">
      <c r="A345" s="12"/>
      <c r="B345" s="13"/>
      <c r="C345" s="90" t="s">
        <v>678</v>
      </c>
      <c r="D345" s="91"/>
      <c r="E345" s="92"/>
      <c r="F345" s="93"/>
      <c r="G345" s="93"/>
      <c r="H345" s="93"/>
      <c r="I345" s="94"/>
      <c r="J345" s="92"/>
      <c r="K345" s="92"/>
      <c r="L345" s="92"/>
    </row>
    <row r="346" spans="1:19" ht="16.5" customHeight="1">
      <c r="A346" s="12"/>
      <c r="B346" s="13" t="str">
        <f>'Giá tháng'!B48</f>
        <v>N1.30</v>
      </c>
      <c r="C346" s="14" t="str">
        <f>'Giá tháng'!C48</f>
        <v>Nhân công 3,0/7 - Nhóm 1</v>
      </c>
      <c r="D346" s="13" t="str">
        <f>'Giá tháng'!D48</f>
        <v>công</v>
      </c>
      <c r="E346" s="89"/>
      <c r="F346" s="80"/>
      <c r="G346" s="80">
        <v>0.82</v>
      </c>
      <c r="H346" s="80"/>
      <c r="I346" s="81">
        <f>'Giá tháng'!G48</f>
        <v>1</v>
      </c>
      <c r="J346" s="89"/>
      <c r="K346" s="89">
        <f>ROUND(IF(E$116=0,E344*G346*I346,E$116*E344*G346*I346),4)</f>
        <v>51.245100000000001</v>
      </c>
      <c r="L346" s="89"/>
      <c r="S346" s="34">
        <v>202</v>
      </c>
    </row>
    <row r="347" spans="1:19" ht="16.5" customHeight="1">
      <c r="A347" s="12">
        <f>'Công trình'!A108</f>
        <v>27</v>
      </c>
      <c r="B347" s="13" t="str">
        <f>'Công trình'!E108</f>
        <v>AB.64112</v>
      </c>
      <c r="C347" s="14" t="str">
        <f>'Công trình'!F108</f>
        <v>Đắp đất thân cống K95</v>
      </c>
      <c r="D347" s="13" t="str">
        <f>'Công trình'!G108</f>
        <v>100m3</v>
      </c>
      <c r="E347" s="89">
        <f>ROUND('Công trình'!P108,4)</f>
        <v>4.3194999999999997</v>
      </c>
      <c r="F347" s="80"/>
      <c r="G347" s="80"/>
      <c r="H347" s="80"/>
      <c r="I347" s="81"/>
      <c r="J347" s="89"/>
      <c r="K347" s="89"/>
      <c r="L347" s="89"/>
    </row>
    <row r="348" spans="1:19" ht="16.5" customHeight="1">
      <c r="A348" s="12"/>
      <c r="B348" s="13"/>
      <c r="C348" s="90" t="s">
        <v>678</v>
      </c>
      <c r="D348" s="91"/>
      <c r="E348" s="92"/>
      <c r="F348" s="93"/>
      <c r="G348" s="93"/>
      <c r="H348" s="93"/>
      <c r="I348" s="94"/>
      <c r="J348" s="92"/>
      <c r="K348" s="92"/>
      <c r="L348" s="92"/>
    </row>
    <row r="349" spans="1:19" ht="16.5" customHeight="1">
      <c r="A349" s="12"/>
      <c r="B349" s="13" t="str">
        <f>'Giá tháng'!B48</f>
        <v>N1.30</v>
      </c>
      <c r="C349" s="14" t="str">
        <f>'Giá tháng'!C48</f>
        <v>Nhân công 3,0/7 - Nhóm 1</v>
      </c>
      <c r="D349" s="13" t="str">
        <f>'Giá tháng'!D48</f>
        <v>công</v>
      </c>
      <c r="E349" s="89"/>
      <c r="F349" s="80"/>
      <c r="G349" s="80">
        <v>1.3</v>
      </c>
      <c r="H349" s="80"/>
      <c r="I349" s="81">
        <f>'Giá tháng'!G48</f>
        <v>1</v>
      </c>
      <c r="J349" s="89"/>
      <c r="K349" s="89">
        <f>ROUND(IF(E$116=0,E347*G349*I349,E$116*E347*G349*I349),4)</f>
        <v>5.6154000000000002</v>
      </c>
      <c r="L349" s="89"/>
      <c r="S349" s="34">
        <v>202</v>
      </c>
    </row>
    <row r="350" spans="1:19" ht="16.5" customHeight="1">
      <c r="A350" s="12"/>
      <c r="B350" s="13"/>
      <c r="C350" s="90" t="s">
        <v>679</v>
      </c>
      <c r="D350" s="91"/>
      <c r="E350" s="92"/>
      <c r="F350" s="93"/>
      <c r="G350" s="93"/>
      <c r="H350" s="93"/>
      <c r="I350" s="94"/>
      <c r="J350" s="92"/>
      <c r="K350" s="92"/>
      <c r="L350" s="92"/>
    </row>
    <row r="351" spans="1:19" ht="28.5" customHeight="1">
      <c r="A351" s="12"/>
      <c r="B351" s="13" t="str">
        <f>'Giá tháng'!B69</f>
        <v>M101.1102</v>
      </c>
      <c r="C351" s="14" t="str">
        <f>'Giá tháng'!C69</f>
        <v>Máy lu bánh thép tự hành - trọng lượng tĩnh : 8,5 T - 9 T</v>
      </c>
      <c r="D351" s="13" t="str">
        <f>'Giá tháng'!D69</f>
        <v>ca</v>
      </c>
      <c r="E351" s="89"/>
      <c r="F351" s="80"/>
      <c r="G351" s="80"/>
      <c r="H351" s="80">
        <v>0.3</v>
      </c>
      <c r="I351" s="81">
        <f>'Giá tháng'!G69</f>
        <v>1</v>
      </c>
      <c r="J351" s="89"/>
      <c r="K351" s="89"/>
      <c r="L351" s="89">
        <f>ROUND(IF(E$116=0,E347*H351*I351,E$116*E347*H351*I351),4)</f>
        <v>1.2959000000000001</v>
      </c>
      <c r="S351" s="34">
        <v>3015</v>
      </c>
    </row>
    <row r="352" spans="1:19" ht="16.5" customHeight="1">
      <c r="A352" s="12"/>
      <c r="B352" s="13" t="str">
        <f>'Giá tháng'!B76</f>
        <v>M101.0503</v>
      </c>
      <c r="C352" s="14" t="str">
        <f>'Giá tháng'!C76</f>
        <v>Máy ủi - công suất : 110,0 CV</v>
      </c>
      <c r="D352" s="13" t="str">
        <f>'Giá tháng'!D76</f>
        <v>ca</v>
      </c>
      <c r="E352" s="89"/>
      <c r="F352" s="80"/>
      <c r="G352" s="80"/>
      <c r="H352" s="80">
        <v>0.15</v>
      </c>
      <c r="I352" s="81">
        <f>'Giá tháng'!G76</f>
        <v>1</v>
      </c>
      <c r="J352" s="89"/>
      <c r="K352" s="89"/>
      <c r="L352" s="89">
        <f>ROUND(IF(E$116=0,E347*H352*I352,E$116*E347*H352*I352),4)</f>
        <v>0.64790000000000003</v>
      </c>
      <c r="S352" s="34">
        <v>3022</v>
      </c>
    </row>
    <row r="353" spans="1:19" ht="16.5" customHeight="1">
      <c r="A353" s="12"/>
      <c r="B353" s="13" t="s">
        <v>680</v>
      </c>
      <c r="C353" s="14" t="s">
        <v>681</v>
      </c>
      <c r="D353" s="13" t="s">
        <v>682</v>
      </c>
      <c r="E353" s="89"/>
      <c r="F353" s="80"/>
      <c r="G353" s="80"/>
      <c r="H353" s="80">
        <v>1.5</v>
      </c>
      <c r="I353" s="81"/>
      <c r="J353" s="89"/>
      <c r="K353" s="89"/>
      <c r="L353" s="89"/>
      <c r="N353" s="34">
        <f>ROUND(IF(E$116=0,E347*H353*(H351*'Giá tháng'!E69*'Giá tháng'!G69+H352*'Giá tháng'!E76*'Giá tháng'!G76)/100,E$116*E347*H353*(H351*'Giá tháng'!E69*'Giá tháng'!G69+H352*'Giá tháng'!E76*'Giá tháng'!G76)/100),1)</f>
        <v>42786.2</v>
      </c>
      <c r="P353" s="34">
        <f>ROUND(IF(E$116=0,E347*H353*(H351*'Giá tháng'!F69*'Giá tháng'!G69+H352*'Giá tháng'!F76*'Giá tháng'!G76)/100,E$116*E347*H353*(H351*'Giá tháng'!F69*'Giá tháng'!G69+H352*'Giá tháng'!F76*'Giá tháng'!G76)/100),1)</f>
        <v>43068.5</v>
      </c>
    </row>
    <row r="354" spans="1:19" ht="41.25" customHeight="1">
      <c r="A354" s="12">
        <f>'Công trình'!A110</f>
        <v>28</v>
      </c>
      <c r="B354" s="13" t="str">
        <f>'Công trình'!E110</f>
        <v>AB.41412</v>
      </c>
      <c r="C354" s="14" t="str">
        <f>'Công trình'!F110</f>
        <v>Vận chuyển đất bằng ôtô tự đổ 5 tấn trong phạm vi &lt;= 1000m, đất cấp II</v>
      </c>
      <c r="D354" s="13" t="str">
        <f>'Công trình'!G110</f>
        <v>100m3</v>
      </c>
      <c r="E354" s="89">
        <f>ROUND('Công trình'!P110,4)</f>
        <v>1.9298999999999999</v>
      </c>
      <c r="F354" s="80"/>
      <c r="G354" s="80"/>
      <c r="H354" s="80"/>
      <c r="I354" s="81"/>
      <c r="J354" s="89"/>
      <c r="K354" s="89"/>
      <c r="L354" s="89"/>
    </row>
    <row r="355" spans="1:19" ht="16.5" customHeight="1">
      <c r="A355" s="12"/>
      <c r="B355" s="13"/>
      <c r="C355" s="90" t="s">
        <v>679</v>
      </c>
      <c r="D355" s="91"/>
      <c r="E355" s="92"/>
      <c r="F355" s="93"/>
      <c r="G355" s="93"/>
      <c r="H355" s="93"/>
      <c r="I355" s="94"/>
      <c r="J355" s="92"/>
      <c r="K355" s="92"/>
      <c r="L355" s="92"/>
    </row>
    <row r="356" spans="1:19" ht="16.5" customHeight="1">
      <c r="A356" s="12"/>
      <c r="B356" s="13" t="str">
        <f>'Giá tháng'!B78</f>
        <v>M106.0202</v>
      </c>
      <c r="C356" s="14" t="str">
        <f>'Giá tháng'!C78</f>
        <v>Ô tô tự đổ - trọng tải : 5,0 T</v>
      </c>
      <c r="D356" s="13" t="str">
        <f>'Giá tháng'!D78</f>
        <v>ca</v>
      </c>
      <c r="E356" s="89"/>
      <c r="F356" s="80"/>
      <c r="G356" s="80"/>
      <c r="H356" s="80">
        <v>1.329</v>
      </c>
      <c r="I356" s="81">
        <f>'Giá tháng'!G78</f>
        <v>1</v>
      </c>
      <c r="J356" s="89"/>
      <c r="K356" s="89"/>
      <c r="L356" s="89">
        <f>ROUND(IF(E$116=0,E354*H356*I356,E$116*E354*H356*I356),4)</f>
        <v>2.5648</v>
      </c>
      <c r="S356" s="34">
        <v>3024</v>
      </c>
    </row>
    <row r="357" spans="1:19" ht="16.5" customHeight="1">
      <c r="A357" s="12">
        <f>'Công trình'!A112</f>
        <v>29</v>
      </c>
      <c r="B357" s="13" t="str">
        <f>'Công trình'!E112</f>
        <v>AK.98110</v>
      </c>
      <c r="C357" s="14" t="str">
        <f>'Công trình'!F112</f>
        <v>Đá dăm 2x4 lót móng, dày 10cm</v>
      </c>
      <c r="D357" s="13" t="str">
        <f>'Công trình'!G112</f>
        <v>m3</v>
      </c>
      <c r="E357" s="89">
        <f>ROUND('Công trình'!P112,4)</f>
        <v>56.1</v>
      </c>
      <c r="F357" s="80"/>
      <c r="G357" s="80"/>
      <c r="H357" s="80"/>
      <c r="I357" s="81"/>
      <c r="J357" s="89"/>
      <c r="K357" s="89"/>
      <c r="L357" s="89"/>
    </row>
    <row r="358" spans="1:19" ht="16.5" customHeight="1">
      <c r="A358" s="12"/>
      <c r="B358" s="13"/>
      <c r="C358" s="90" t="s">
        <v>683</v>
      </c>
      <c r="D358" s="91"/>
      <c r="E358" s="92"/>
      <c r="F358" s="93"/>
      <c r="G358" s="93"/>
      <c r="H358" s="93"/>
      <c r="I358" s="94"/>
      <c r="J358" s="92"/>
      <c r="K358" s="92"/>
      <c r="L358" s="92"/>
    </row>
    <row r="359" spans="1:19" ht="16.5" customHeight="1">
      <c r="A359" s="12"/>
      <c r="B359" s="13" t="str">
        <f>'Giá tháng'!B17</f>
        <v>A24.0025</v>
      </c>
      <c r="C359" s="14" t="str">
        <f>'Giá tháng'!C17</f>
        <v>Đá dăm 2x4 lót móng</v>
      </c>
      <c r="D359" s="13" t="str">
        <f>'Giá tháng'!D17</f>
        <v>m3</v>
      </c>
      <c r="E359" s="89"/>
      <c r="F359" s="80">
        <v>1.2</v>
      </c>
      <c r="G359" s="80"/>
      <c r="H359" s="80"/>
      <c r="I359" s="81">
        <f>'Giá tháng'!G17</f>
        <v>1</v>
      </c>
      <c r="J359" s="89">
        <f>ROUND(IF(E$116=0,E357*F359*I359,E$116*E357*F359*I359),4)</f>
        <v>67.319999999999993</v>
      </c>
      <c r="K359" s="89"/>
      <c r="L359" s="89"/>
      <c r="S359" s="34">
        <v>1016</v>
      </c>
    </row>
    <row r="360" spans="1:19" ht="16.5" customHeight="1">
      <c r="A360" s="12"/>
      <c r="B360" s="13" t="str">
        <f>'Giá tháng'!B7</f>
        <v>A24.1042</v>
      </c>
      <c r="C360" s="14" t="str">
        <f>'Giá tháng'!C7</f>
        <v>Cát</v>
      </c>
      <c r="D360" s="13" t="str">
        <f>'Giá tháng'!D7</f>
        <v>m3</v>
      </c>
      <c r="E360" s="89"/>
      <c r="F360" s="80">
        <v>0.3</v>
      </c>
      <c r="G360" s="80"/>
      <c r="H360" s="80"/>
      <c r="I360" s="81">
        <f>'Giá tháng'!G7</f>
        <v>1</v>
      </c>
      <c r="J360" s="89">
        <f>ROUND(IF(E$116=0,E357*F360*I360,E$116*E357*F360*I360),4)</f>
        <v>16.829999999999998</v>
      </c>
      <c r="K360" s="89"/>
      <c r="L360" s="89"/>
      <c r="S360" s="34">
        <v>106</v>
      </c>
    </row>
    <row r="361" spans="1:19" ht="16.5" customHeight="1">
      <c r="A361" s="12"/>
      <c r="B361" s="13"/>
      <c r="C361" s="90" t="s">
        <v>678</v>
      </c>
      <c r="D361" s="91"/>
      <c r="E361" s="92"/>
      <c r="F361" s="93"/>
      <c r="G361" s="93"/>
      <c r="H361" s="93"/>
      <c r="I361" s="94"/>
      <c r="J361" s="92"/>
      <c r="K361" s="92"/>
      <c r="L361" s="92"/>
    </row>
    <row r="362" spans="1:19" ht="16.5" customHeight="1">
      <c r="A362" s="12"/>
      <c r="B362" s="13" t="str">
        <f>'Giá tháng'!B53</f>
        <v>N2.40</v>
      </c>
      <c r="C362" s="14" t="str">
        <f>'Giá tháng'!C53</f>
        <v>Nhân công 4,0/7 - Nhóm 2</v>
      </c>
      <c r="D362" s="13" t="str">
        <f>'Giá tháng'!D53</f>
        <v>công</v>
      </c>
      <c r="E362" s="89"/>
      <c r="F362" s="80"/>
      <c r="G362" s="80">
        <v>1.48</v>
      </c>
      <c r="H362" s="80"/>
      <c r="I362" s="81">
        <f>'Giá tháng'!G53</f>
        <v>1</v>
      </c>
      <c r="J362" s="89"/>
      <c r="K362" s="89">
        <f>ROUND(IF(E$116=0,E357*G362*I362,E$116*E357*G362*I362),4)</f>
        <v>83.028000000000006</v>
      </c>
      <c r="L362" s="89"/>
      <c r="S362" s="34">
        <v>206</v>
      </c>
    </row>
    <row r="363" spans="1:19" ht="28.5" customHeight="1">
      <c r="A363" s="12">
        <f>'Công trình'!A114</f>
        <v>30</v>
      </c>
      <c r="B363" s="13" t="str">
        <f>'Công trình'!E114</f>
        <v>BB.11221</v>
      </c>
      <c r="C363" s="14" t="str">
        <f>'Công trình'!F114</f>
        <v>Lắp đặt ống bê tông bằng cần cẩu, đoạn ống dài 2m, D400mm</v>
      </c>
      <c r="D363" s="13" t="str">
        <f>'Công trình'!G114</f>
        <v>đoạn ống</v>
      </c>
      <c r="E363" s="89">
        <f>ROUND('Công trình'!P114,4)</f>
        <v>213</v>
      </c>
      <c r="F363" s="80"/>
      <c r="G363" s="80"/>
      <c r="H363" s="80"/>
      <c r="I363" s="81"/>
      <c r="J363" s="89"/>
      <c r="K363" s="89"/>
      <c r="L363" s="89"/>
    </row>
    <row r="364" spans="1:19" ht="16.5" customHeight="1">
      <c r="A364" s="12"/>
      <c r="B364" s="13"/>
      <c r="C364" s="90" t="s">
        <v>683</v>
      </c>
      <c r="D364" s="91"/>
      <c r="E364" s="92"/>
      <c r="F364" s="93"/>
      <c r="G364" s="93"/>
      <c r="H364" s="93"/>
      <c r="I364" s="94"/>
      <c r="J364" s="92"/>
      <c r="K364" s="92"/>
      <c r="L364" s="92"/>
    </row>
    <row r="365" spans="1:19" ht="16.5" customHeight="1">
      <c r="A365" s="12"/>
      <c r="B365" s="13" t="str">
        <f>'Giá tháng'!B35</f>
        <v>A33.0170</v>
      </c>
      <c r="C365" s="14" t="str">
        <f>'Giá tháng'!C35</f>
        <v>Ống bê tông dài 2m D400mm</v>
      </c>
      <c r="D365" s="13" t="str">
        <f>'Giá tháng'!D35</f>
        <v>đoạn</v>
      </c>
      <c r="E365" s="89"/>
      <c r="F365" s="80">
        <v>1</v>
      </c>
      <c r="G365" s="80"/>
      <c r="H365" s="80"/>
      <c r="I365" s="81">
        <f>'Giá tháng'!G35</f>
        <v>1</v>
      </c>
      <c r="J365" s="89">
        <f>ROUND(IF(E$116=0,E363*F365*I365,E$116*E363*F365*I365),4)</f>
        <v>213</v>
      </c>
      <c r="K365" s="89"/>
      <c r="L365" s="89"/>
      <c r="Q365" s="34">
        <f>'Cước VC'!AU34</f>
        <v>0</v>
      </c>
      <c r="R365" s="34">
        <f>'Cước bộ'!W34</f>
        <v>0</v>
      </c>
      <c r="S365" s="34">
        <v>1034</v>
      </c>
    </row>
    <row r="366" spans="1:19" ht="16.5" customHeight="1">
      <c r="A366" s="12"/>
      <c r="B366" s="13" t="s">
        <v>684</v>
      </c>
      <c r="C366" s="14" t="s">
        <v>686</v>
      </c>
      <c r="D366" s="13" t="s">
        <v>682</v>
      </c>
      <c r="E366" s="89"/>
      <c r="F366" s="80">
        <v>0.05</v>
      </c>
      <c r="G366" s="80"/>
      <c r="H366" s="80"/>
      <c r="I366" s="81"/>
      <c r="J366" s="89"/>
      <c r="K366" s="89"/>
      <c r="L366" s="89"/>
      <c r="M366" s="34">
        <f>ROUND(IF(E$116=0,E363*F366*(F365*'Giá tháng'!E35*'Giá tháng'!G35)/100,E$116*E363*F366*(F365*'Giá tháng'!E35*'Giá tháng'!G35)/100),1)</f>
        <v>84348</v>
      </c>
      <c r="O366" s="34">
        <f>ROUND(IF(E$116=0,E363*F366*(F365*('Giá tháng'!F35+Q365+R365)*'Giá tháng'!G35)/100,E$116*E363*F366*(F365*('Giá tháng'!F35+Q365+R365)*'Giá tháng'!G35)/100),1)</f>
        <v>94785</v>
      </c>
    </row>
    <row r="367" spans="1:19" ht="16.5" customHeight="1">
      <c r="A367" s="12"/>
      <c r="B367" s="13"/>
      <c r="C367" s="90" t="s">
        <v>678</v>
      </c>
      <c r="D367" s="91"/>
      <c r="E367" s="92"/>
      <c r="F367" s="93"/>
      <c r="G367" s="93"/>
      <c r="H367" s="93"/>
      <c r="I367" s="94"/>
      <c r="J367" s="92"/>
      <c r="K367" s="92"/>
      <c r="L367" s="92"/>
    </row>
    <row r="368" spans="1:19" ht="16.5" customHeight="1">
      <c r="A368" s="12"/>
      <c r="B368" s="13" t="str">
        <f>'Giá tháng'!B51</f>
        <v>N2.35</v>
      </c>
      <c r="C368" s="14" t="str">
        <f>'Giá tháng'!C51</f>
        <v>Nhân công 3,5/7 - Nhóm 2</v>
      </c>
      <c r="D368" s="13" t="str">
        <f>'Giá tháng'!D51</f>
        <v>công</v>
      </c>
      <c r="E368" s="89"/>
      <c r="F368" s="80"/>
      <c r="G368" s="80">
        <v>0.35</v>
      </c>
      <c r="H368" s="80"/>
      <c r="I368" s="81">
        <f>'Giá tháng'!G51</f>
        <v>1</v>
      </c>
      <c r="J368" s="89"/>
      <c r="K368" s="89">
        <f>ROUND(IF(E$116=0,E363*G368*I368,E$116*E363*G368*I368),4)</f>
        <v>74.55</v>
      </c>
      <c r="L368" s="89"/>
      <c r="S368" s="34">
        <v>205</v>
      </c>
    </row>
    <row r="369" spans="1:19" ht="16.5" customHeight="1">
      <c r="A369" s="12"/>
      <c r="B369" s="13"/>
      <c r="C369" s="90" t="s">
        <v>679</v>
      </c>
      <c r="D369" s="91"/>
      <c r="E369" s="92"/>
      <c r="F369" s="93"/>
      <c r="G369" s="93"/>
      <c r="H369" s="93"/>
      <c r="I369" s="94"/>
      <c r="J369" s="92"/>
      <c r="K369" s="92"/>
      <c r="L369" s="92"/>
    </row>
    <row r="370" spans="1:19" ht="16.5" customHeight="1">
      <c r="A370" s="12"/>
      <c r="B370" s="13" t="str">
        <f>'Giá tháng'!B55</f>
        <v>M102.0201</v>
      </c>
      <c r="C370" s="14" t="str">
        <f>'Giá tháng'!C55</f>
        <v>Cần cẩu bánh hơi 6 T</v>
      </c>
      <c r="D370" s="13" t="str">
        <f>'Giá tháng'!D55</f>
        <v>ca</v>
      </c>
      <c r="E370" s="89"/>
      <c r="F370" s="80"/>
      <c r="G370" s="80"/>
      <c r="H370" s="80">
        <v>5.6000000000000001E-2</v>
      </c>
      <c r="I370" s="81">
        <f>'Giá tháng'!G55</f>
        <v>1</v>
      </c>
      <c r="J370" s="89"/>
      <c r="K370" s="89"/>
      <c r="L370" s="89">
        <f>ROUND(IF(E$116=0,E363*H370*I370,E$116*E363*H370*I370),4)</f>
        <v>11.928000000000001</v>
      </c>
      <c r="S370" s="34">
        <v>301</v>
      </c>
    </row>
    <row r="371" spans="1:19" ht="16.5" customHeight="1">
      <c r="A371" s="12"/>
      <c r="B371" s="13" t="s">
        <v>680</v>
      </c>
      <c r="C371" s="14" t="s">
        <v>681</v>
      </c>
      <c r="D371" s="13" t="s">
        <v>682</v>
      </c>
      <c r="E371" s="89"/>
      <c r="F371" s="80"/>
      <c r="G371" s="80"/>
      <c r="H371" s="80">
        <v>5</v>
      </c>
      <c r="I371" s="81"/>
      <c r="J371" s="89"/>
      <c r="K371" s="89"/>
      <c r="L371" s="89"/>
      <c r="N371" s="34">
        <f>ROUND(IF(E$116=0,E363*H371*(H370*'Giá tháng'!E55*'Giá tháng'!G55)/100,E$116*E363*H371*(H370*'Giá tháng'!E55*'Giá tháng'!G55)/100),1)</f>
        <v>1047663.7</v>
      </c>
      <c r="P371" s="34">
        <f>ROUND(IF(E$116=0,E363*H371*(H370*'Giá tháng'!F55*'Giá tháng'!G55)/100,E$116*E363*H371*(H370*'Giá tháng'!F55*'Giá tháng'!G55)/100),1)</f>
        <v>1052270.8999999999</v>
      </c>
    </row>
    <row r="372" spans="1:19" ht="28.5" customHeight="1">
      <c r="A372" s="12">
        <f>'Công trình'!A118</f>
        <v>32</v>
      </c>
      <c r="B372" s="13" t="str">
        <f>'Công trình'!E118</f>
        <v>BB.13605</v>
      </c>
      <c r="C372" s="14" t="str">
        <f>'Công trình'!F118</f>
        <v>Nối ống bê tông bằng gioăng cao su, đường kính 400mm</v>
      </c>
      <c r="D372" s="13" t="str">
        <f>'Công trình'!G118</f>
        <v>mối nối</v>
      </c>
      <c r="E372" s="89">
        <f>ROUND('Công trình'!P118,4)</f>
        <v>210</v>
      </c>
      <c r="F372" s="80"/>
      <c r="G372" s="80"/>
      <c r="H372" s="80"/>
      <c r="I372" s="81"/>
      <c r="J372" s="89"/>
      <c r="K372" s="89"/>
      <c r="L372" s="89"/>
    </row>
    <row r="373" spans="1:19" ht="16.5" customHeight="1">
      <c r="A373" s="12"/>
      <c r="B373" s="13"/>
      <c r="C373" s="90" t="s">
        <v>683</v>
      </c>
      <c r="D373" s="91"/>
      <c r="E373" s="92"/>
      <c r="F373" s="93"/>
      <c r="G373" s="93"/>
      <c r="H373" s="93"/>
      <c r="I373" s="94"/>
      <c r="J373" s="92"/>
      <c r="K373" s="92"/>
      <c r="L373" s="92"/>
    </row>
    <row r="374" spans="1:19" ht="16.5" customHeight="1">
      <c r="A374" s="12"/>
      <c r="B374" s="13" t="str">
        <f>'Giá tháng'!B25</f>
        <v>A33.0269</v>
      </c>
      <c r="C374" s="14" t="str">
        <f>'Giá tháng'!C25</f>
        <v>Gioăng cao su D400mm</v>
      </c>
      <c r="D374" s="13" t="str">
        <f>'Giá tháng'!D25</f>
        <v>cái</v>
      </c>
      <c r="E374" s="89"/>
      <c r="F374" s="80">
        <v>1</v>
      </c>
      <c r="G374" s="80"/>
      <c r="H374" s="80"/>
      <c r="I374" s="81">
        <f>'Giá tháng'!G25</f>
        <v>1</v>
      </c>
      <c r="J374" s="89">
        <f>ROUND(IF(E$116=0,E372*F374*I374,E$116*E372*F374*I374),4)</f>
        <v>210</v>
      </c>
      <c r="K374" s="89"/>
      <c r="L374" s="89"/>
      <c r="S374" s="34">
        <v>1024</v>
      </c>
    </row>
    <row r="375" spans="1:19" ht="16.5" customHeight="1">
      <c r="A375" s="12"/>
      <c r="B375" s="13" t="str">
        <f>'Giá tháng'!B28</f>
        <v>A33.0240</v>
      </c>
      <c r="C375" s="14" t="str">
        <f>'Giá tháng'!C28</f>
        <v>Mỡ bôi trơn</v>
      </c>
      <c r="D375" s="13" t="str">
        <f>'Giá tháng'!D28</f>
        <v>kg</v>
      </c>
      <c r="E375" s="89"/>
      <c r="F375" s="80">
        <v>6.6000000000000003E-2</v>
      </c>
      <c r="G375" s="80"/>
      <c r="H375" s="80"/>
      <c r="I375" s="81">
        <f>'Giá tháng'!G28</f>
        <v>1</v>
      </c>
      <c r="J375" s="89">
        <f>ROUND(IF(E$116=0,E372*F375*I375,E$116*E372*F375*I375),4)</f>
        <v>13.86</v>
      </c>
      <c r="K375" s="89"/>
      <c r="L375" s="89"/>
      <c r="S375" s="34">
        <v>1027</v>
      </c>
    </row>
    <row r="376" spans="1:19" ht="16.5" customHeight="1">
      <c r="A376" s="12"/>
      <c r="B376" s="13"/>
      <c r="C376" s="90" t="s">
        <v>678</v>
      </c>
      <c r="D376" s="91"/>
      <c r="E376" s="92"/>
      <c r="F376" s="93"/>
      <c r="G376" s="93"/>
      <c r="H376" s="93"/>
      <c r="I376" s="94"/>
      <c r="J376" s="92"/>
      <c r="K376" s="92"/>
      <c r="L376" s="92"/>
    </row>
    <row r="377" spans="1:19" ht="16.5" customHeight="1">
      <c r="A377" s="12"/>
      <c r="B377" s="13" t="str">
        <f>'Giá tháng'!B51</f>
        <v>N2.35</v>
      </c>
      <c r="C377" s="14" t="str">
        <f>'Giá tháng'!C51</f>
        <v>Nhân công 3,5/7 - Nhóm 2</v>
      </c>
      <c r="D377" s="13" t="str">
        <f>'Giá tháng'!D51</f>
        <v>công</v>
      </c>
      <c r="E377" s="89"/>
      <c r="F377" s="80"/>
      <c r="G377" s="80">
        <v>0.09</v>
      </c>
      <c r="H377" s="80"/>
      <c r="I377" s="81">
        <f>'Giá tháng'!G51</f>
        <v>1</v>
      </c>
      <c r="J377" s="89"/>
      <c r="K377" s="89">
        <f>ROUND(IF(E$116=0,E372*G377*I377,E$116*E372*G377*I377),4)</f>
        <v>18.899999999999999</v>
      </c>
      <c r="L377" s="89"/>
      <c r="S377" s="34">
        <v>205</v>
      </c>
    </row>
    <row r="378" spans="1:19" ht="28.5" customHeight="1">
      <c r="A378" s="12">
        <f>'Công trình'!A120</f>
        <v>33</v>
      </c>
      <c r="B378" s="13" t="str">
        <f>'Công trình'!E120</f>
        <v>BB.13503</v>
      </c>
      <c r="C378" s="14" t="str">
        <f>'Công trình'!F120</f>
        <v>Nối ống bê tông bằng phương pháp xảm, đường kính 400mm</v>
      </c>
      <c r="D378" s="13" t="str">
        <f>'Công trình'!G120</f>
        <v>mối nối</v>
      </c>
      <c r="E378" s="89">
        <f>ROUND('Công trình'!P120,4)</f>
        <v>210</v>
      </c>
      <c r="F378" s="80"/>
      <c r="G378" s="80"/>
      <c r="H378" s="80"/>
      <c r="I378" s="81"/>
      <c r="J378" s="89"/>
      <c r="K378" s="89"/>
      <c r="L378" s="89"/>
    </row>
    <row r="379" spans="1:19" ht="16.5" customHeight="1">
      <c r="A379" s="12"/>
      <c r="B379" s="13"/>
      <c r="C379" s="90" t="s">
        <v>683</v>
      </c>
      <c r="D379" s="91"/>
      <c r="E379" s="92"/>
      <c r="F379" s="93"/>
      <c r="G379" s="93"/>
      <c r="H379" s="93"/>
      <c r="I379" s="94"/>
      <c r="J379" s="92"/>
      <c r="K379" s="92"/>
      <c r="L379" s="92"/>
    </row>
    <row r="380" spans="1:19" ht="16.5" customHeight="1">
      <c r="A380" s="12"/>
      <c r="B380" s="13" t="str">
        <f>'Giá tháng'!B45</f>
        <v>A24.0797A</v>
      </c>
      <c r="C380" s="14" t="str">
        <f>'Giá tháng'!C45</f>
        <v>Xi măng PCB30</v>
      </c>
      <c r="D380" s="13" t="str">
        <f>'Giá tháng'!D45</f>
        <v>kg</v>
      </c>
      <c r="E380" s="89"/>
      <c r="F380" s="80">
        <v>3.0528</v>
      </c>
      <c r="G380" s="80"/>
      <c r="H380" s="80"/>
      <c r="I380" s="81">
        <f>'Giá tháng'!G45</f>
        <v>1</v>
      </c>
      <c r="J380" s="89">
        <f>ROUND(IF(E$116=0,E378*F380*I380,E$116*E378*F380*I380),4)</f>
        <v>641.08799999999997</v>
      </c>
      <c r="K380" s="89"/>
      <c r="L380" s="89"/>
      <c r="S380" s="34">
        <v>1043</v>
      </c>
    </row>
    <row r="381" spans="1:19" ht="16.5" customHeight="1">
      <c r="A381" s="12"/>
      <c r="B381" s="13" t="str">
        <f>'Giá tháng'!B10</f>
        <v>A24.0180</v>
      </c>
      <c r="C381" s="14" t="str">
        <f>'Giá tháng'!C10</f>
        <v>Cát vàng</v>
      </c>
      <c r="D381" s="13" t="str">
        <f>'Giá tháng'!D10</f>
        <v>m3</v>
      </c>
      <c r="E381" s="89"/>
      <c r="F381" s="80">
        <v>6.79E-3</v>
      </c>
      <c r="G381" s="80"/>
      <c r="H381" s="80"/>
      <c r="I381" s="81">
        <f>'Giá tháng'!G10</f>
        <v>1</v>
      </c>
      <c r="J381" s="89">
        <f>ROUND(IF(E$116=0,E378*F381*I381,E$116*E378*F381*I381),4)</f>
        <v>1.4258999999999999</v>
      </c>
      <c r="K381" s="89"/>
      <c r="L381" s="89"/>
      <c r="S381" s="34">
        <v>109</v>
      </c>
    </row>
    <row r="382" spans="1:19" ht="16.5" customHeight="1">
      <c r="A382" s="12"/>
      <c r="B382" s="13" t="str">
        <f>'Giá tháng'!B31</f>
        <v>A24.0524</v>
      </c>
      <c r="C382" s="14" t="str">
        <f>'Giá tháng'!C31</f>
        <v>Nước</v>
      </c>
      <c r="D382" s="13" t="str">
        <f>'Giá tháng'!D31</f>
        <v>lít</v>
      </c>
      <c r="E382" s="89"/>
      <c r="F382" s="80">
        <v>1.7023999999999999</v>
      </c>
      <c r="G382" s="80"/>
      <c r="H382" s="80"/>
      <c r="I382" s="81">
        <f>'Giá tháng'!G31</f>
        <v>1</v>
      </c>
      <c r="J382" s="89">
        <f>ROUND(IF(E$116=0,E378*F382*I382,E$116*E378*F382*I382),4)</f>
        <v>357.50400000000002</v>
      </c>
      <c r="K382" s="89"/>
      <c r="L382" s="89"/>
      <c r="S382" s="34">
        <v>1030</v>
      </c>
    </row>
    <row r="383" spans="1:19" ht="16.5" customHeight="1">
      <c r="A383" s="12"/>
      <c r="B383" s="13"/>
      <c r="C383" s="90" t="s">
        <v>678</v>
      </c>
      <c r="D383" s="91"/>
      <c r="E383" s="92"/>
      <c r="F383" s="93"/>
      <c r="G383" s="93"/>
      <c r="H383" s="93"/>
      <c r="I383" s="94"/>
      <c r="J383" s="92"/>
      <c r="K383" s="92"/>
      <c r="L383" s="92"/>
    </row>
    <row r="384" spans="1:19" ht="16.5" customHeight="1">
      <c r="A384" s="12"/>
      <c r="B384" s="13" t="str">
        <f>'Giá tháng'!B51</f>
        <v>N2.35</v>
      </c>
      <c r="C384" s="14" t="str">
        <f>'Giá tháng'!C51</f>
        <v>Nhân công 3,5/7 - Nhóm 2</v>
      </c>
      <c r="D384" s="13" t="str">
        <f>'Giá tháng'!D51</f>
        <v>công</v>
      </c>
      <c r="E384" s="89"/>
      <c r="F384" s="80"/>
      <c r="G384" s="80">
        <v>0.09</v>
      </c>
      <c r="H384" s="80"/>
      <c r="I384" s="81">
        <f>'Giá tháng'!G51</f>
        <v>1</v>
      </c>
      <c r="J384" s="89"/>
      <c r="K384" s="89">
        <f>ROUND(IF(E$116=0,E378*G384*I384,E$116*E378*G384*I384),4)</f>
        <v>18.899999999999999</v>
      </c>
      <c r="L384" s="89"/>
      <c r="S384" s="34">
        <v>205</v>
      </c>
    </row>
    <row r="385" spans="1:19" ht="28.5" customHeight="1">
      <c r="A385" s="12">
        <f>'Công trình'!A123</f>
        <v>34</v>
      </c>
      <c r="B385" s="13" t="str">
        <f>'Công trình'!E123</f>
        <v>AB.63111</v>
      </c>
      <c r="C385" s="14" t="str">
        <f>'Công trình'!F123</f>
        <v>Đắp đất núi bờ quây, dụng trọng 1.5T/m3</v>
      </c>
      <c r="D385" s="13" t="str">
        <f>'Công trình'!G123</f>
        <v>100m3</v>
      </c>
      <c r="E385" s="89">
        <f>ROUND('Công trình'!P123,4)</f>
        <v>0.06</v>
      </c>
      <c r="F385" s="80"/>
      <c r="G385" s="80"/>
      <c r="H385" s="80"/>
      <c r="I385" s="81"/>
      <c r="J385" s="89"/>
      <c r="K385" s="89"/>
      <c r="L385" s="89"/>
    </row>
    <row r="386" spans="1:19" ht="16.5" customHeight="1">
      <c r="A386" s="12"/>
      <c r="B386" s="13"/>
      <c r="C386" s="90" t="s">
        <v>678</v>
      </c>
      <c r="D386" s="91"/>
      <c r="E386" s="92"/>
      <c r="F386" s="93"/>
      <c r="G386" s="93"/>
      <c r="H386" s="93"/>
      <c r="I386" s="94"/>
      <c r="J386" s="92"/>
      <c r="K386" s="92"/>
      <c r="L386" s="92"/>
    </row>
    <row r="387" spans="1:19" ht="16.5" customHeight="1">
      <c r="A387" s="12"/>
      <c r="B387" s="13" t="str">
        <f>'Giá tháng'!B48</f>
        <v>N1.30</v>
      </c>
      <c r="C387" s="14" t="str">
        <f>'Giá tháng'!C48</f>
        <v>Nhân công 3,0/7 - Nhóm 1</v>
      </c>
      <c r="D387" s="13" t="str">
        <f>'Giá tháng'!D48</f>
        <v>công</v>
      </c>
      <c r="E387" s="89"/>
      <c r="F387" s="80"/>
      <c r="G387" s="80">
        <v>0.99</v>
      </c>
      <c r="H387" s="80"/>
      <c r="I387" s="81">
        <f>'Giá tháng'!G48</f>
        <v>1</v>
      </c>
      <c r="J387" s="89"/>
      <c r="K387" s="89">
        <f>ROUND(IF(E$116=0,E385*G387*I387,E$116*E385*G387*I387),4)</f>
        <v>5.9400000000000001E-2</v>
      </c>
      <c r="L387" s="89"/>
      <c r="S387" s="34">
        <v>202</v>
      </c>
    </row>
    <row r="388" spans="1:19" ht="16.5" customHeight="1">
      <c r="A388" s="12"/>
      <c r="B388" s="13"/>
      <c r="C388" s="90" t="s">
        <v>679</v>
      </c>
      <c r="D388" s="91"/>
      <c r="E388" s="92"/>
      <c r="F388" s="93"/>
      <c r="G388" s="93"/>
      <c r="H388" s="93"/>
      <c r="I388" s="94"/>
      <c r="J388" s="92"/>
      <c r="K388" s="92"/>
      <c r="L388" s="92"/>
    </row>
    <row r="389" spans="1:19" ht="28.5" customHeight="1">
      <c r="A389" s="12"/>
      <c r="B389" s="13" t="str">
        <f>'Giá tháng'!B69</f>
        <v>M101.1102</v>
      </c>
      <c r="C389" s="14" t="str">
        <f>'Giá tháng'!C69</f>
        <v>Máy lu bánh thép tự hành - trọng lượng tĩnh : 8,5 T - 9 T</v>
      </c>
      <c r="D389" s="13" t="str">
        <f>'Giá tháng'!D69</f>
        <v>ca</v>
      </c>
      <c r="E389" s="89"/>
      <c r="F389" s="80"/>
      <c r="G389" s="80"/>
      <c r="H389" s="80">
        <v>0.21</v>
      </c>
      <c r="I389" s="81">
        <f>'Giá tháng'!G69</f>
        <v>1</v>
      </c>
      <c r="J389" s="89"/>
      <c r="K389" s="89"/>
      <c r="L389" s="89">
        <f>ROUND(IF(E$116=0,E385*H389*I389,E$116*E385*H389*I389),4)</f>
        <v>1.26E-2</v>
      </c>
      <c r="S389" s="34">
        <v>3015</v>
      </c>
    </row>
    <row r="390" spans="1:19" ht="16.5" customHeight="1">
      <c r="A390" s="12"/>
      <c r="B390" s="13" t="str">
        <f>'Giá tháng'!B76</f>
        <v>M101.0503</v>
      </c>
      <c r="C390" s="14" t="str">
        <f>'Giá tháng'!C76</f>
        <v>Máy ủi - công suất : 110,0 CV</v>
      </c>
      <c r="D390" s="13" t="str">
        <f>'Giá tháng'!D76</f>
        <v>ca</v>
      </c>
      <c r="E390" s="89"/>
      <c r="F390" s="80"/>
      <c r="G390" s="80"/>
      <c r="H390" s="80">
        <v>0.104</v>
      </c>
      <c r="I390" s="81">
        <f>'Giá tháng'!G76</f>
        <v>1</v>
      </c>
      <c r="J390" s="89"/>
      <c r="K390" s="89"/>
      <c r="L390" s="89">
        <f>ROUND(IF(E$116=0,E385*H390*I390,E$116*E385*H390*I390),4)</f>
        <v>6.1999999999999998E-3</v>
      </c>
      <c r="S390" s="34">
        <v>3022</v>
      </c>
    </row>
    <row r="391" spans="1:19" ht="16.5" customHeight="1">
      <c r="A391" s="12">
        <f>'Công trình'!A127</f>
        <v>36</v>
      </c>
      <c r="B391" s="13" t="str">
        <f>'Công trình'!E127</f>
        <v>AC.12121</v>
      </c>
      <c r="C391" s="14" t="str">
        <f>'Công trình'!F127</f>
        <v>Cọc tre D60-80; L=2.8m</v>
      </c>
      <c r="D391" s="13" t="str">
        <f>'Công trình'!G127</f>
        <v>100m</v>
      </c>
      <c r="E391" s="89">
        <f>ROUND('Công trình'!P127,4)</f>
        <v>2.2400000000000002</v>
      </c>
      <c r="F391" s="80"/>
      <c r="G391" s="80"/>
      <c r="H391" s="80"/>
      <c r="I391" s="81"/>
      <c r="J391" s="89"/>
      <c r="K391" s="89"/>
      <c r="L391" s="89"/>
    </row>
    <row r="392" spans="1:19" ht="16.5" customHeight="1">
      <c r="A392" s="12"/>
      <c r="B392" s="13"/>
      <c r="C392" s="90" t="s">
        <v>683</v>
      </c>
      <c r="D392" s="91"/>
      <c r="E392" s="92"/>
      <c r="F392" s="93"/>
      <c r="G392" s="93"/>
      <c r="H392" s="93"/>
      <c r="I392" s="94"/>
      <c r="J392" s="92"/>
      <c r="K392" s="92"/>
      <c r="L392" s="92"/>
    </row>
    <row r="393" spans="1:19" ht="16.5" customHeight="1">
      <c r="A393" s="12"/>
      <c r="B393" s="13" t="str">
        <f>'Giá tháng'!B13</f>
        <v>A24.0227</v>
      </c>
      <c r="C393" s="14" t="str">
        <f>'Giá tháng'!C13</f>
        <v>Cọc tre &gt;2,5m</v>
      </c>
      <c r="D393" s="13" t="str">
        <f>'Giá tháng'!D13</f>
        <v>m</v>
      </c>
      <c r="E393" s="89"/>
      <c r="F393" s="80">
        <v>105</v>
      </c>
      <c r="G393" s="80"/>
      <c r="H393" s="80"/>
      <c r="I393" s="81">
        <f>'Giá tháng'!G13</f>
        <v>1</v>
      </c>
      <c r="J393" s="89">
        <f>ROUND(IF(E$116=0,E391*F393*I393,E$116*E391*F393*I393),4)</f>
        <v>235.2</v>
      </c>
      <c r="K393" s="89"/>
      <c r="L393" s="89"/>
      <c r="S393" s="34">
        <v>1012</v>
      </c>
    </row>
    <row r="394" spans="1:19" ht="16.5" customHeight="1">
      <c r="A394" s="12"/>
      <c r="B394" s="13"/>
      <c r="C394" s="90" t="s">
        <v>678</v>
      </c>
      <c r="D394" s="91"/>
      <c r="E394" s="92"/>
      <c r="F394" s="93"/>
      <c r="G394" s="93"/>
      <c r="H394" s="93"/>
      <c r="I394" s="94"/>
      <c r="J394" s="92"/>
      <c r="K394" s="92"/>
      <c r="L394" s="92"/>
    </row>
    <row r="395" spans="1:19" ht="16.5" customHeight="1">
      <c r="A395" s="12"/>
      <c r="B395" s="13" t="str">
        <f>'Giá tháng'!B49</f>
        <v>N2.30</v>
      </c>
      <c r="C395" s="14" t="str">
        <f>'Giá tháng'!C49</f>
        <v>Nhân công 3,0/7 - Nhóm 2</v>
      </c>
      <c r="D395" s="13" t="str">
        <f>'Giá tháng'!D49</f>
        <v>công</v>
      </c>
      <c r="E395" s="89"/>
      <c r="F395" s="80"/>
      <c r="G395" s="80">
        <v>0.33</v>
      </c>
      <c r="H395" s="80"/>
      <c r="I395" s="81">
        <f>'Giá tháng'!G49</f>
        <v>1</v>
      </c>
      <c r="J395" s="89"/>
      <c r="K395" s="89">
        <f>ROUND(IF(E$116=0,E391*G395*I395,E$116*E391*G395*I395),4)</f>
        <v>0.73919999999999997</v>
      </c>
      <c r="L395" s="89"/>
      <c r="S395" s="34">
        <v>203</v>
      </c>
    </row>
    <row r="396" spans="1:19" ht="16.5" customHeight="1">
      <c r="A396" s="12"/>
      <c r="B396" s="13"/>
      <c r="C396" s="90" t="s">
        <v>679</v>
      </c>
      <c r="D396" s="91"/>
      <c r="E396" s="92"/>
      <c r="F396" s="93"/>
      <c r="G396" s="93"/>
      <c r="H396" s="93"/>
      <c r="I396" s="94"/>
      <c r="J396" s="92"/>
      <c r="K396" s="92"/>
      <c r="L396" s="92"/>
    </row>
    <row r="397" spans="1:19" ht="28.5" customHeight="1">
      <c r="A397" s="12"/>
      <c r="B397" s="13" t="str">
        <f>'Giá tháng'!B59</f>
        <v>M101.0102</v>
      </c>
      <c r="C397" s="14" t="str">
        <f>'Giá tháng'!C59</f>
        <v>Máy đào một gầu, bánh xích - dung tích gầu : 0,50 m3</v>
      </c>
      <c r="D397" s="13" t="str">
        <f>'Giá tháng'!D59</f>
        <v>ca</v>
      </c>
      <c r="E397" s="89"/>
      <c r="F397" s="80"/>
      <c r="G397" s="80"/>
      <c r="H397" s="80">
        <v>9.8000000000000004E-2</v>
      </c>
      <c r="I397" s="81">
        <f>'Giá tháng'!G59</f>
        <v>1</v>
      </c>
      <c r="J397" s="89"/>
      <c r="K397" s="89"/>
      <c r="L397" s="89">
        <f>ROUND(IF(E$116=0,E391*H397*I397,E$116*E391*H397*I397),4)</f>
        <v>0.2195</v>
      </c>
      <c r="S397" s="34">
        <v>305</v>
      </c>
    </row>
    <row r="398" spans="1:19" ht="16.5" customHeight="1">
      <c r="A398" s="12">
        <f>'Công trình'!A131</f>
        <v>38</v>
      </c>
      <c r="B398" s="13" t="str">
        <f>'Công trình'!E131</f>
        <v>AB.24132</v>
      </c>
      <c r="C398" s="14" t="str">
        <f>'Công trình'!F131</f>
        <v>Đào phá bờ quây bằng máy</v>
      </c>
      <c r="D398" s="13" t="str">
        <f>'Công trình'!G131</f>
        <v>100m3</v>
      </c>
      <c r="E398" s="89">
        <f>ROUND('Công trình'!P131,4)</f>
        <v>0.06</v>
      </c>
      <c r="F398" s="80"/>
      <c r="G398" s="80"/>
      <c r="H398" s="80"/>
      <c r="I398" s="81"/>
      <c r="J398" s="89"/>
      <c r="K398" s="89"/>
      <c r="L398" s="89"/>
    </row>
    <row r="399" spans="1:19" ht="16.5" customHeight="1">
      <c r="A399" s="12"/>
      <c r="B399" s="13"/>
      <c r="C399" s="90" t="s">
        <v>678</v>
      </c>
      <c r="D399" s="91"/>
      <c r="E399" s="92"/>
      <c r="F399" s="93"/>
      <c r="G399" s="93"/>
      <c r="H399" s="93"/>
      <c r="I399" s="94"/>
      <c r="J399" s="92"/>
      <c r="K399" s="92"/>
      <c r="L399" s="92"/>
    </row>
    <row r="400" spans="1:19" ht="16.5" customHeight="1">
      <c r="A400" s="12"/>
      <c r="B400" s="13" t="str">
        <f>'Giá tháng'!B48</f>
        <v>N1.30</v>
      </c>
      <c r="C400" s="14" t="str">
        <f>'Giá tháng'!C48</f>
        <v>Nhân công 3,0/7 - Nhóm 1</v>
      </c>
      <c r="D400" s="13" t="str">
        <f>'Giá tháng'!D48</f>
        <v>công</v>
      </c>
      <c r="E400" s="89"/>
      <c r="F400" s="80"/>
      <c r="G400" s="80">
        <v>0.47</v>
      </c>
      <c r="H400" s="80"/>
      <c r="I400" s="81">
        <f>'Giá tháng'!G48</f>
        <v>1</v>
      </c>
      <c r="J400" s="89"/>
      <c r="K400" s="89">
        <f>ROUND(IF(E$116=0,E398*G400*I400,E$116*E398*G400*I400),4)</f>
        <v>2.8199999999999999E-2</v>
      </c>
      <c r="L400" s="89"/>
      <c r="S400" s="34">
        <v>202</v>
      </c>
    </row>
    <row r="401" spans="1:19" ht="16.5" customHeight="1">
      <c r="A401" s="12"/>
      <c r="B401" s="13"/>
      <c r="C401" s="90" t="s">
        <v>679</v>
      </c>
      <c r="D401" s="91"/>
      <c r="E401" s="92"/>
      <c r="F401" s="93"/>
      <c r="G401" s="93"/>
      <c r="H401" s="93"/>
      <c r="I401" s="94"/>
      <c r="J401" s="92"/>
      <c r="K401" s="92"/>
      <c r="L401" s="92"/>
    </row>
    <row r="402" spans="1:19" ht="28.5" customHeight="1">
      <c r="A402" s="12"/>
      <c r="B402" s="13" t="str">
        <f>'Giá tháng'!B61</f>
        <v>M101.0105</v>
      </c>
      <c r="C402" s="14" t="str">
        <f>'Giá tháng'!C61</f>
        <v>Máy đào một gầu, bánh xích - dung tích gầu : 1,25 m3</v>
      </c>
      <c r="D402" s="13" t="str">
        <f>'Giá tháng'!D61</f>
        <v>ca</v>
      </c>
      <c r="E402" s="89"/>
      <c r="F402" s="80"/>
      <c r="G402" s="80"/>
      <c r="H402" s="80">
        <v>0.19800000000000001</v>
      </c>
      <c r="I402" s="81">
        <f>'Giá tháng'!G61</f>
        <v>1</v>
      </c>
      <c r="J402" s="89"/>
      <c r="K402" s="89"/>
      <c r="L402" s="89">
        <f>ROUND(IF(E$116=0,E398*H402*I402,E$116*E398*H402*I402),4)</f>
        <v>1.1900000000000001E-2</v>
      </c>
      <c r="S402" s="34">
        <v>307</v>
      </c>
    </row>
    <row r="403" spans="1:19" ht="16.5" customHeight="1">
      <c r="A403" s="12"/>
      <c r="B403" s="13" t="str">
        <f>'Giá tháng'!B76</f>
        <v>M101.0503</v>
      </c>
      <c r="C403" s="14" t="str">
        <f>'Giá tháng'!C76</f>
        <v>Máy ủi - công suất : 110,0 CV</v>
      </c>
      <c r="D403" s="13" t="str">
        <f>'Giá tháng'!D76</f>
        <v>ca</v>
      </c>
      <c r="E403" s="89"/>
      <c r="F403" s="80"/>
      <c r="G403" s="80"/>
      <c r="H403" s="80">
        <v>2.7E-2</v>
      </c>
      <c r="I403" s="81">
        <f>'Giá tháng'!G76</f>
        <v>1</v>
      </c>
      <c r="J403" s="89"/>
      <c r="K403" s="89"/>
      <c r="L403" s="89">
        <f>ROUND(IF(E$116=0,E398*H403*I403,E$116*E398*H403*I403),4)</f>
        <v>1.6000000000000001E-3</v>
      </c>
      <c r="S403" s="34">
        <v>3022</v>
      </c>
    </row>
    <row r="404" spans="1:19" ht="41.25" customHeight="1">
      <c r="A404" s="12">
        <f>'Công trình'!A133</f>
        <v>39</v>
      </c>
      <c r="B404" s="13" t="str">
        <f>'Công trình'!E133</f>
        <v>AC.12121</v>
      </c>
      <c r="C404" s="14" t="str">
        <f>'Công trình'!F133</f>
        <v>Nhổ cọc tre, phên nứa (vận dụng chi phí nhân công, máy đóng cọc tre)</v>
      </c>
      <c r="D404" s="13" t="str">
        <f>'Công trình'!G133</f>
        <v>100m</v>
      </c>
      <c r="E404" s="89">
        <f>ROUND('Công trình'!P133,4)</f>
        <v>2.2400000000000002</v>
      </c>
      <c r="F404" s="80"/>
      <c r="G404" s="80"/>
      <c r="H404" s="80"/>
      <c r="I404" s="81"/>
      <c r="J404" s="89"/>
      <c r="K404" s="89"/>
      <c r="L404" s="89"/>
    </row>
    <row r="405" spans="1:19" ht="16.5" customHeight="1">
      <c r="A405" s="12"/>
      <c r="B405" s="13"/>
      <c r="C405" s="90" t="s">
        <v>683</v>
      </c>
      <c r="D405" s="91"/>
      <c r="E405" s="92"/>
      <c r="F405" s="93"/>
      <c r="G405" s="93"/>
      <c r="H405" s="93"/>
      <c r="I405" s="94"/>
      <c r="J405" s="92"/>
      <c r="K405" s="92"/>
      <c r="L405" s="92"/>
    </row>
    <row r="406" spans="1:19" ht="16.5" customHeight="1">
      <c r="A406" s="12"/>
      <c r="B406" s="13" t="str">
        <f>'Giá tháng'!B13</f>
        <v>A24.0227</v>
      </c>
      <c r="C406" s="14" t="str">
        <f>'Giá tháng'!C13</f>
        <v>Cọc tre &gt;2,5m</v>
      </c>
      <c r="D406" s="13" t="str">
        <f>'Giá tháng'!D13</f>
        <v>m</v>
      </c>
      <c r="E406" s="89"/>
      <c r="F406" s="80">
        <v>105</v>
      </c>
      <c r="G406" s="80"/>
      <c r="H406" s="80"/>
      <c r="I406" s="81">
        <f>'Giá tháng'!G13</f>
        <v>1</v>
      </c>
      <c r="J406" s="89">
        <f>ROUND(IF(E$116=0,E404*F406*I406,E$116*E404*F406*I406),4)</f>
        <v>235.2</v>
      </c>
      <c r="K406" s="89"/>
      <c r="L406" s="89"/>
      <c r="S406" s="34">
        <v>1012</v>
      </c>
    </row>
    <row r="407" spans="1:19" ht="16.5" customHeight="1">
      <c r="A407" s="12"/>
      <c r="B407" s="13"/>
      <c r="C407" s="90" t="s">
        <v>678</v>
      </c>
      <c r="D407" s="91"/>
      <c r="E407" s="92"/>
      <c r="F407" s="93"/>
      <c r="G407" s="93"/>
      <c r="H407" s="93"/>
      <c r="I407" s="94"/>
      <c r="J407" s="92"/>
      <c r="K407" s="92"/>
      <c r="L407" s="92"/>
    </row>
    <row r="408" spans="1:19" ht="16.5" customHeight="1">
      <c r="A408" s="12"/>
      <c r="B408" s="13" t="str">
        <f>'Giá tháng'!B49</f>
        <v>N2.30</v>
      </c>
      <c r="C408" s="14" t="str">
        <f>'Giá tháng'!C49</f>
        <v>Nhân công 3,0/7 - Nhóm 2</v>
      </c>
      <c r="D408" s="13" t="str">
        <f>'Giá tháng'!D49</f>
        <v>công</v>
      </c>
      <c r="E408" s="89"/>
      <c r="F408" s="80"/>
      <c r="G408" s="80">
        <v>0.33</v>
      </c>
      <c r="H408" s="80"/>
      <c r="I408" s="81">
        <f>'Giá tháng'!G49</f>
        <v>1</v>
      </c>
      <c r="J408" s="89"/>
      <c r="K408" s="89">
        <f>ROUND(IF(E$116=0,E404*G408*I408,E$116*E404*G408*I408),4)</f>
        <v>0.73919999999999997</v>
      </c>
      <c r="L408" s="89"/>
      <c r="S408" s="34">
        <v>203</v>
      </c>
    </row>
    <row r="409" spans="1:19" ht="16.5" customHeight="1">
      <c r="A409" s="12"/>
      <c r="B409" s="13"/>
      <c r="C409" s="90" t="s">
        <v>679</v>
      </c>
      <c r="D409" s="91"/>
      <c r="E409" s="92"/>
      <c r="F409" s="93"/>
      <c r="G409" s="93"/>
      <c r="H409" s="93"/>
      <c r="I409" s="94"/>
      <c r="J409" s="92"/>
      <c r="K409" s="92"/>
      <c r="L409" s="92"/>
    </row>
    <row r="410" spans="1:19" ht="28.5" customHeight="1">
      <c r="A410" s="12"/>
      <c r="B410" s="13" t="str">
        <f>'Giá tháng'!B59</f>
        <v>M101.0102</v>
      </c>
      <c r="C410" s="14" t="str">
        <f>'Giá tháng'!C59</f>
        <v>Máy đào một gầu, bánh xích - dung tích gầu : 0,50 m3</v>
      </c>
      <c r="D410" s="13" t="str">
        <f>'Giá tháng'!D59</f>
        <v>ca</v>
      </c>
      <c r="E410" s="89"/>
      <c r="F410" s="80"/>
      <c r="G410" s="80"/>
      <c r="H410" s="80">
        <v>9.8000000000000004E-2</v>
      </c>
      <c r="I410" s="81">
        <f>'Giá tháng'!G59</f>
        <v>1</v>
      </c>
      <c r="J410" s="89"/>
      <c r="K410" s="89"/>
      <c r="L410" s="89">
        <f>ROUND(IF(E$116=0,E404*H410*I410,E$116*E404*H410*I410),4)</f>
        <v>0.2195</v>
      </c>
      <c r="S410" s="34">
        <v>305</v>
      </c>
    </row>
    <row r="411" spans="1:19" ht="41.25" customHeight="1">
      <c r="A411" s="12">
        <f>'Công trình'!A135</f>
        <v>34</v>
      </c>
      <c r="B411" s="13" t="str">
        <f>'Công trình'!E135</f>
        <v>AB.41412</v>
      </c>
      <c r="C411" s="14" t="str">
        <f>'Công trình'!F135</f>
        <v>Vận chuyển đất bằng ôtô tự đổ 5 tấn trong phạm vi &lt;= 1000m, đất cấp II</v>
      </c>
      <c r="D411" s="13" t="str">
        <f>'Công trình'!G135</f>
        <v>100m3</v>
      </c>
      <c r="E411" s="89">
        <f>ROUND('Công trình'!P135,4)</f>
        <v>0.06</v>
      </c>
      <c r="F411" s="80"/>
      <c r="G411" s="80"/>
      <c r="H411" s="80"/>
      <c r="I411" s="81"/>
      <c r="J411" s="89"/>
      <c r="K411" s="89"/>
      <c r="L411" s="89"/>
    </row>
    <row r="412" spans="1:19" ht="16.5" customHeight="1">
      <c r="A412" s="12"/>
      <c r="B412" s="13"/>
      <c r="C412" s="90" t="s">
        <v>679</v>
      </c>
      <c r="D412" s="91"/>
      <c r="E412" s="92"/>
      <c r="F412" s="93"/>
      <c r="G412" s="93"/>
      <c r="H412" s="93"/>
      <c r="I412" s="94"/>
      <c r="J412" s="92"/>
      <c r="K412" s="92"/>
      <c r="L412" s="92"/>
    </row>
    <row r="413" spans="1:19" ht="16.5" customHeight="1">
      <c r="A413" s="12"/>
      <c r="B413" s="13" t="str">
        <f>'Giá tháng'!B78</f>
        <v>M106.0202</v>
      </c>
      <c r="C413" s="14" t="str">
        <f>'Giá tháng'!C78</f>
        <v>Ô tô tự đổ - trọng tải : 5,0 T</v>
      </c>
      <c r="D413" s="13" t="str">
        <f>'Giá tháng'!D78</f>
        <v>ca</v>
      </c>
      <c r="E413" s="89"/>
      <c r="F413" s="80"/>
      <c r="G413" s="80"/>
      <c r="H413" s="80">
        <v>1.329</v>
      </c>
      <c r="I413" s="81">
        <f>'Giá tháng'!G78</f>
        <v>1</v>
      </c>
      <c r="J413" s="89"/>
      <c r="K413" s="89"/>
      <c r="L413" s="89">
        <f>ROUND(IF(E$116=0,E411*H413*I413,E$116*E411*H413*I413),4)</f>
        <v>7.9699999999999993E-2</v>
      </c>
      <c r="S413" s="34">
        <v>3024</v>
      </c>
    </row>
    <row r="414" spans="1:19" ht="16.5" customHeight="1">
      <c r="A414" s="12">
        <f>'Công trình'!A140</f>
        <v>42</v>
      </c>
      <c r="B414" s="13" t="str">
        <f>'Công trình'!E140</f>
        <v>AB.25102</v>
      </c>
      <c r="C414" s="14" t="str">
        <f>'Công trình'!F140</f>
        <v>Đào đất cấp II</v>
      </c>
      <c r="D414" s="13" t="str">
        <f>'Công trình'!G140</f>
        <v>100m3</v>
      </c>
      <c r="E414" s="89">
        <f>ROUND('Công trình'!P140,4)</f>
        <v>3.0200000000000001E-2</v>
      </c>
      <c r="F414" s="80"/>
      <c r="G414" s="80"/>
      <c r="H414" s="80"/>
      <c r="I414" s="81"/>
      <c r="J414" s="89"/>
      <c r="K414" s="89"/>
      <c r="L414" s="89"/>
    </row>
    <row r="415" spans="1:19" ht="16.5" customHeight="1">
      <c r="A415" s="12"/>
      <c r="B415" s="13"/>
      <c r="C415" s="90" t="s">
        <v>678</v>
      </c>
      <c r="D415" s="91"/>
      <c r="E415" s="92"/>
      <c r="F415" s="93"/>
      <c r="G415" s="93"/>
      <c r="H415" s="93"/>
      <c r="I415" s="94"/>
      <c r="J415" s="92"/>
      <c r="K415" s="92"/>
      <c r="L415" s="92"/>
    </row>
    <row r="416" spans="1:19" ht="16.5" customHeight="1">
      <c r="A416" s="12"/>
      <c r="B416" s="13" t="str">
        <f>'Giá tháng'!B48</f>
        <v>N1.30</v>
      </c>
      <c r="C416" s="14" t="str">
        <f>'Giá tháng'!C48</f>
        <v>Nhân công 3,0/7 - Nhóm 1</v>
      </c>
      <c r="D416" s="13" t="str">
        <f>'Giá tháng'!D48</f>
        <v>công</v>
      </c>
      <c r="E416" s="89"/>
      <c r="F416" s="80"/>
      <c r="G416" s="80">
        <v>3.9</v>
      </c>
      <c r="H416" s="80"/>
      <c r="I416" s="81">
        <f>'Giá tháng'!G48</f>
        <v>1</v>
      </c>
      <c r="J416" s="89"/>
      <c r="K416" s="89">
        <f>ROUND(IF(E$116=0,E414*G416*I416,E$116*E414*G416*I416),4)</f>
        <v>0.1178</v>
      </c>
      <c r="L416" s="89"/>
      <c r="S416" s="34">
        <v>202</v>
      </c>
    </row>
    <row r="417" spans="1:19" ht="16.5" customHeight="1">
      <c r="A417" s="12"/>
      <c r="B417" s="13"/>
      <c r="C417" s="90" t="s">
        <v>679</v>
      </c>
      <c r="D417" s="91"/>
      <c r="E417" s="92"/>
      <c r="F417" s="93"/>
      <c r="G417" s="93"/>
      <c r="H417" s="93"/>
      <c r="I417" s="94"/>
      <c r="J417" s="92"/>
      <c r="K417" s="92"/>
      <c r="L417" s="92"/>
    </row>
    <row r="418" spans="1:19" ht="28.5" customHeight="1">
      <c r="A418" s="12"/>
      <c r="B418" s="13" t="str">
        <f>'Giá tháng'!B58</f>
        <v>M101.0101</v>
      </c>
      <c r="C418" s="14" t="str">
        <f>'Giá tháng'!C58</f>
        <v>Máy đào một gầu, bánh xích - dung tích gầu : 0,40 m3</v>
      </c>
      <c r="D418" s="13" t="str">
        <f>'Giá tháng'!D58</f>
        <v>ca</v>
      </c>
      <c r="E418" s="89"/>
      <c r="F418" s="80"/>
      <c r="G418" s="80"/>
      <c r="H418" s="80">
        <v>0.63100000000000001</v>
      </c>
      <c r="I418" s="81">
        <f>'Giá tháng'!G58</f>
        <v>1</v>
      </c>
      <c r="J418" s="89"/>
      <c r="K418" s="89"/>
      <c r="L418" s="89">
        <f>ROUND(IF(E$116=0,E414*H418*I418,E$116*E414*H418*I418),4)</f>
        <v>1.9099999999999999E-2</v>
      </c>
      <c r="S418" s="34">
        <v>304</v>
      </c>
    </row>
    <row r="419" spans="1:19" ht="16.5" customHeight="1">
      <c r="A419" s="12">
        <f>'Công trình'!A142</f>
        <v>43</v>
      </c>
      <c r="B419" s="13" t="str">
        <f>'Công trình'!E142</f>
        <v>AB.13111</v>
      </c>
      <c r="C419" s="14" t="str">
        <f>'Công trình'!F142</f>
        <v>Đắp đất hoàn trả móng</v>
      </c>
      <c r="D419" s="13" t="str">
        <f>'Công trình'!G142</f>
        <v>m3</v>
      </c>
      <c r="E419" s="89">
        <f>ROUND('Công trình'!P142,4)</f>
        <v>1.66</v>
      </c>
      <c r="F419" s="80"/>
      <c r="G419" s="80"/>
      <c r="H419" s="80"/>
      <c r="I419" s="81"/>
      <c r="J419" s="89"/>
      <c r="K419" s="89"/>
      <c r="L419" s="89"/>
    </row>
    <row r="420" spans="1:19" ht="16.5" customHeight="1">
      <c r="A420" s="12"/>
      <c r="B420" s="13"/>
      <c r="C420" s="90" t="s">
        <v>678</v>
      </c>
      <c r="D420" s="91"/>
      <c r="E420" s="92"/>
      <c r="F420" s="93"/>
      <c r="G420" s="93"/>
      <c r="H420" s="93"/>
      <c r="I420" s="94"/>
      <c r="J420" s="92"/>
      <c r="K420" s="92"/>
      <c r="L420" s="92"/>
    </row>
    <row r="421" spans="1:19" ht="16.5" customHeight="1">
      <c r="A421" s="12"/>
      <c r="B421" s="13" t="str">
        <f>'Giá tháng'!B48</f>
        <v>N1.30</v>
      </c>
      <c r="C421" s="14" t="str">
        <f>'Giá tháng'!C48</f>
        <v>Nhân công 3,0/7 - Nhóm 1</v>
      </c>
      <c r="D421" s="13" t="str">
        <f>'Giá tháng'!D48</f>
        <v>công</v>
      </c>
      <c r="E421" s="89"/>
      <c r="F421" s="80"/>
      <c r="G421" s="80">
        <v>0.56000000000000005</v>
      </c>
      <c r="H421" s="80"/>
      <c r="I421" s="81">
        <f>'Giá tháng'!G48</f>
        <v>1</v>
      </c>
      <c r="J421" s="89"/>
      <c r="K421" s="89">
        <f>ROUND(IF(E$116=0,E419*G421*I421,E$116*E419*G421*I421),4)</f>
        <v>0.92959999999999998</v>
      </c>
      <c r="L421" s="89"/>
      <c r="S421" s="34">
        <v>202</v>
      </c>
    </row>
    <row r="422" spans="1:19" ht="28.5" customHeight="1">
      <c r="A422" s="12">
        <f>'Công trình'!A144</f>
        <v>44</v>
      </c>
      <c r="B422" s="13" t="str">
        <f>'Công trình'!E144</f>
        <v>AC.11121</v>
      </c>
      <c r="C422" s="14" t="str">
        <f>'Công trình'!F144</f>
        <v>Đóng cọc tre D80-D1000, 25c/m2, L=2.5m</v>
      </c>
      <c r="D422" s="13" t="str">
        <f>'Công trình'!G144</f>
        <v>100m</v>
      </c>
      <c r="E422" s="89">
        <f>ROUND('Công trình'!P144,4)</f>
        <v>1.5</v>
      </c>
      <c r="F422" s="80"/>
      <c r="G422" s="80"/>
      <c r="H422" s="80"/>
      <c r="I422" s="81"/>
      <c r="J422" s="89"/>
      <c r="K422" s="89"/>
      <c r="L422" s="89"/>
    </row>
    <row r="423" spans="1:19" ht="16.5" customHeight="1">
      <c r="A423" s="12"/>
      <c r="B423" s="13"/>
      <c r="C423" s="90" t="s">
        <v>683</v>
      </c>
      <c r="D423" s="91"/>
      <c r="E423" s="92"/>
      <c r="F423" s="93"/>
      <c r="G423" s="93"/>
      <c r="H423" s="93"/>
      <c r="I423" s="94"/>
      <c r="J423" s="92"/>
      <c r="K423" s="92"/>
      <c r="L423" s="92"/>
    </row>
    <row r="424" spans="1:19" ht="16.5" customHeight="1">
      <c r="A424" s="12"/>
      <c r="B424" s="13" t="str">
        <f>'Giá tháng'!B13</f>
        <v>A24.0227</v>
      </c>
      <c r="C424" s="14" t="str">
        <f>'Giá tháng'!C13</f>
        <v>Cọc tre &gt;2,5m</v>
      </c>
      <c r="D424" s="13" t="str">
        <f>'Giá tháng'!D13</f>
        <v>m</v>
      </c>
      <c r="E424" s="89"/>
      <c r="F424" s="80">
        <v>105</v>
      </c>
      <c r="G424" s="80"/>
      <c r="H424" s="80"/>
      <c r="I424" s="81">
        <f>'Giá tháng'!G13</f>
        <v>1</v>
      </c>
      <c r="J424" s="89">
        <f>ROUND(IF(E$116=0,E422*F424*I424,E$116*E422*F424*I424),4)</f>
        <v>157.5</v>
      </c>
      <c r="K424" s="89"/>
      <c r="L424" s="89"/>
      <c r="Q424" s="34">
        <f>'Cước VC'!AU13</f>
        <v>0</v>
      </c>
      <c r="R424" s="34">
        <f>'Cước bộ'!W13</f>
        <v>0</v>
      </c>
      <c r="S424" s="34">
        <v>1012</v>
      </c>
    </row>
    <row r="425" spans="1:19" ht="16.5" customHeight="1">
      <c r="A425" s="12"/>
      <c r="B425" s="13" t="str">
        <f>'Giá tháng'!B12</f>
        <v>A24.0183</v>
      </c>
      <c r="C425" s="14" t="str">
        <f>'Giá tháng'!C12</f>
        <v>Cây chống</v>
      </c>
      <c r="D425" s="13" t="str">
        <f>'Giá tháng'!D12</f>
        <v>cây</v>
      </c>
      <c r="E425" s="89"/>
      <c r="F425" s="80">
        <v>1.65</v>
      </c>
      <c r="G425" s="80"/>
      <c r="H425" s="80"/>
      <c r="I425" s="81">
        <f>'Giá tháng'!G12</f>
        <v>1</v>
      </c>
      <c r="J425" s="89">
        <f>ROUND(IF(E$116=0,E422*F425*I425,E$116*E422*F425*I425),4)</f>
        <v>2.4750000000000001</v>
      </c>
      <c r="K425" s="89"/>
      <c r="L425" s="89"/>
      <c r="Q425" s="34">
        <f>'Cước VC'!AU12</f>
        <v>0</v>
      </c>
      <c r="R425" s="34">
        <f>'Cước bộ'!W12</f>
        <v>0</v>
      </c>
      <c r="S425" s="34">
        <v>1011</v>
      </c>
    </row>
    <row r="426" spans="1:19" ht="16.5" customHeight="1">
      <c r="A426" s="12"/>
      <c r="B426" s="13" t="str">
        <f>'Giá tháng'!B23</f>
        <v>A24.0418</v>
      </c>
      <c r="C426" s="14" t="str">
        <f>'Giá tháng'!C23</f>
        <v>Gỗ ván</v>
      </c>
      <c r="D426" s="13" t="str">
        <f>'Giá tháng'!D23</f>
        <v>m3</v>
      </c>
      <c r="E426" s="89"/>
      <c r="F426" s="80">
        <v>0.01</v>
      </c>
      <c r="G426" s="80"/>
      <c r="H426" s="80"/>
      <c r="I426" s="81">
        <f>'Giá tháng'!G23</f>
        <v>1</v>
      </c>
      <c r="J426" s="89">
        <f>ROUND(IF(E$116=0,E422*F426*I426,E$116*E422*F426*I426),4)</f>
        <v>1.4999999999999999E-2</v>
      </c>
      <c r="K426" s="89"/>
      <c r="L426" s="89"/>
      <c r="Q426" s="34">
        <f>'Cước VC'!AU23</f>
        <v>0</v>
      </c>
      <c r="R426" s="34">
        <f>'Cước bộ'!W23</f>
        <v>0</v>
      </c>
      <c r="S426" s="34">
        <v>1022</v>
      </c>
    </row>
    <row r="427" spans="1:19" ht="16.5" customHeight="1">
      <c r="A427" s="12"/>
      <c r="B427" s="13" t="s">
        <v>684</v>
      </c>
      <c r="C427" s="14" t="s">
        <v>685</v>
      </c>
      <c r="D427" s="13" t="s">
        <v>682</v>
      </c>
      <c r="E427" s="89"/>
      <c r="F427" s="80">
        <v>3</v>
      </c>
      <c r="G427" s="80"/>
      <c r="H427" s="80"/>
      <c r="I427" s="81"/>
      <c r="J427" s="89"/>
      <c r="K427" s="89"/>
      <c r="L427" s="89"/>
      <c r="M427" s="34">
        <f>ROUND(IF(E$116=0,E422*F427*(F424*'Giá tháng'!E13*'Giá tháng'!G13+F425*'Giá tháng'!E12*'Giá tháng'!G12+F426*'Giá tháng'!E23*'Giá tháng'!G23)/100,E$116*E422*F427*(F424*'Giá tháng'!E13*'Giá tháng'!G13+F425*'Giá tháng'!E12*'Giá tháng'!G12+F426*'Giá tháng'!E23*'Giá tháng'!G23)/100),1)</f>
        <v>18064.8</v>
      </c>
      <c r="O427" s="34">
        <f>ROUND(IF(E$116=0,E422*F427*(F424*('Giá tháng'!F13+Q424+R424)*'Giá tháng'!G13+F425*('Giá tháng'!F12+Q425+R425)*'Giá tháng'!G12+F426*('Giá tháng'!F23+Q426+R426)*'Giá tháng'!G23)/100,E$116*E422*F427*(F424*('Giá tháng'!F13+Q424+R424)*'Giá tháng'!G13+F425*('Giá tháng'!F12+Q425+R425)*'Giá tháng'!G12+F426*('Giá tháng'!F23+Q426+R426)*'Giá tháng'!G23)/100),1)</f>
        <v>28146.7</v>
      </c>
    </row>
    <row r="428" spans="1:19" ht="16.5" customHeight="1">
      <c r="A428" s="12"/>
      <c r="B428" s="13"/>
      <c r="C428" s="90" t="s">
        <v>678</v>
      </c>
      <c r="D428" s="91"/>
      <c r="E428" s="92"/>
      <c r="F428" s="93"/>
      <c r="G428" s="93"/>
      <c r="H428" s="93"/>
      <c r="I428" s="94"/>
      <c r="J428" s="92"/>
      <c r="K428" s="92"/>
      <c r="L428" s="92"/>
    </row>
    <row r="429" spans="1:19" ht="16.5" customHeight="1">
      <c r="A429" s="12"/>
      <c r="B429" s="13" t="str">
        <f>'Giá tháng'!B49</f>
        <v>N2.30</v>
      </c>
      <c r="C429" s="14" t="str">
        <f>'Giá tháng'!C49</f>
        <v>Nhân công 3,0/7 - Nhóm 2</v>
      </c>
      <c r="D429" s="13" t="str">
        <f>'Giá tháng'!D49</f>
        <v>công</v>
      </c>
      <c r="E429" s="89"/>
      <c r="F429" s="80"/>
      <c r="G429" s="80">
        <v>2.02</v>
      </c>
      <c r="H429" s="80"/>
      <c r="I429" s="81">
        <f>'Giá tháng'!G49</f>
        <v>1</v>
      </c>
      <c r="J429" s="89"/>
      <c r="K429" s="89">
        <f>ROUND(IF(E$116=0,E422*G429*I429,E$116*E422*G429*I429),4)</f>
        <v>3.03</v>
      </c>
      <c r="L429" s="89"/>
      <c r="S429" s="34">
        <v>203</v>
      </c>
    </row>
    <row r="430" spans="1:19" ht="16.5" customHeight="1">
      <c r="A430" s="12">
        <f>'Công trình'!A146</f>
        <v>45</v>
      </c>
      <c r="B430" s="13" t="str">
        <f>'Công trình'!E146</f>
        <v>AB.11114</v>
      </c>
      <c r="C430" s="14" t="str">
        <f>'Công trình'!F146</f>
        <v>Vét bùn đầu cọc</v>
      </c>
      <c r="D430" s="13" t="str">
        <f>'Công trình'!G146</f>
        <v>m3</v>
      </c>
      <c r="E430" s="89">
        <f>ROUND('Công trình'!P146,4)</f>
        <v>0.24</v>
      </c>
      <c r="F430" s="80"/>
      <c r="G430" s="80"/>
      <c r="H430" s="80"/>
      <c r="I430" s="81"/>
      <c r="J430" s="89"/>
      <c r="K430" s="89"/>
      <c r="L430" s="89"/>
    </row>
    <row r="431" spans="1:19" ht="16.5" customHeight="1">
      <c r="A431" s="12"/>
      <c r="B431" s="13"/>
      <c r="C431" s="90" t="s">
        <v>678</v>
      </c>
      <c r="D431" s="91"/>
      <c r="E431" s="92"/>
      <c r="F431" s="93"/>
      <c r="G431" s="93"/>
      <c r="H431" s="93"/>
      <c r="I431" s="94"/>
      <c r="J431" s="92"/>
      <c r="K431" s="92"/>
      <c r="L431" s="92"/>
    </row>
    <row r="432" spans="1:19" ht="16.5" customHeight="1">
      <c r="A432" s="12"/>
      <c r="B432" s="13" t="str">
        <f>'Giá tháng'!B48</f>
        <v>N1.30</v>
      </c>
      <c r="C432" s="14" t="str">
        <f>'Giá tháng'!C48</f>
        <v>Nhân công 3,0/7 - Nhóm 1</v>
      </c>
      <c r="D432" s="13" t="str">
        <f>'Giá tháng'!D48</f>
        <v>công</v>
      </c>
      <c r="E432" s="89"/>
      <c r="F432" s="80"/>
      <c r="G432" s="80">
        <v>1.43</v>
      </c>
      <c r="H432" s="80"/>
      <c r="I432" s="81">
        <f>'Giá tháng'!G48</f>
        <v>1</v>
      </c>
      <c r="J432" s="89"/>
      <c r="K432" s="89">
        <f>ROUND(IF(E$116=0,E430*G432*I432,E$116*E430*G432*I432),4)</f>
        <v>0.34320000000000001</v>
      </c>
      <c r="L432" s="89"/>
      <c r="S432" s="34">
        <v>202</v>
      </c>
    </row>
    <row r="433" spans="1:19" ht="16.5" customHeight="1">
      <c r="A433" s="12">
        <f>'Công trình'!A148</f>
        <v>46</v>
      </c>
      <c r="B433" s="13" t="str">
        <f>'Công trình'!E148</f>
        <v>AB.13411</v>
      </c>
      <c r="C433" s="14" t="str">
        <f>'Công trình'!F148</f>
        <v>Cát đen đệm đầu cọc</v>
      </c>
      <c r="D433" s="13" t="str">
        <f>'Công trình'!G148</f>
        <v>m3</v>
      </c>
      <c r="E433" s="89">
        <f>ROUND('Công trình'!P148,4)</f>
        <v>0.24</v>
      </c>
      <c r="F433" s="80"/>
      <c r="G433" s="80"/>
      <c r="H433" s="80"/>
      <c r="I433" s="81"/>
      <c r="J433" s="89"/>
      <c r="K433" s="89"/>
      <c r="L433" s="89"/>
    </row>
    <row r="434" spans="1:19" ht="16.5" customHeight="1">
      <c r="A434" s="12"/>
      <c r="B434" s="13"/>
      <c r="C434" s="90" t="s">
        <v>683</v>
      </c>
      <c r="D434" s="91"/>
      <c r="E434" s="92"/>
      <c r="F434" s="93"/>
      <c r="G434" s="93"/>
      <c r="H434" s="93"/>
      <c r="I434" s="94"/>
      <c r="J434" s="92"/>
      <c r="K434" s="92"/>
      <c r="L434" s="92"/>
    </row>
    <row r="435" spans="1:19" ht="16.5" customHeight="1">
      <c r="A435" s="12"/>
      <c r="B435" s="13" t="str">
        <f>'Giá tháng'!B7</f>
        <v>A24.1042</v>
      </c>
      <c r="C435" s="14" t="str">
        <f>'Giá tháng'!C7</f>
        <v>Cát</v>
      </c>
      <c r="D435" s="13" t="str">
        <f>'Giá tháng'!D7</f>
        <v>m3</v>
      </c>
      <c r="E435" s="89"/>
      <c r="F435" s="80">
        <v>1.22</v>
      </c>
      <c r="G435" s="80"/>
      <c r="H435" s="80"/>
      <c r="I435" s="81">
        <f>'Giá tháng'!G7</f>
        <v>1</v>
      </c>
      <c r="J435" s="89">
        <f>ROUND(IF(E$116=0,E433*F435*I435,E$116*E433*F435*I435),4)</f>
        <v>0.2928</v>
      </c>
      <c r="K435" s="89"/>
      <c r="L435" s="89"/>
      <c r="Q435" s="34">
        <f>'Cước VC'!AU7</f>
        <v>0</v>
      </c>
      <c r="R435" s="34">
        <f>'Cước bộ'!W7</f>
        <v>0</v>
      </c>
      <c r="S435" s="34">
        <v>106</v>
      </c>
    </row>
    <row r="436" spans="1:19" ht="16.5" customHeight="1">
      <c r="A436" s="12"/>
      <c r="B436" s="13" t="s">
        <v>684</v>
      </c>
      <c r="C436" s="14" t="s">
        <v>685</v>
      </c>
      <c r="D436" s="13" t="s">
        <v>682</v>
      </c>
      <c r="E436" s="89"/>
      <c r="F436" s="80">
        <v>2</v>
      </c>
      <c r="G436" s="80"/>
      <c r="H436" s="80"/>
      <c r="I436" s="81"/>
      <c r="J436" s="89"/>
      <c r="K436" s="89"/>
      <c r="L436" s="89"/>
      <c r="M436" s="34">
        <f>ROUND(IF(E$116=0,E433*F436*(F435*'Giá tháng'!E7*'Giá tháng'!G7)/100,E$116*E433*F436*(F435*'Giá tháng'!E7*'Giá tháng'!G7)/100),1)</f>
        <v>819.8</v>
      </c>
      <c r="O436" s="34">
        <f>ROUND(IF(E$116=0,E433*F436*(F435*('Giá tháng'!F7+Q435+R435)*'Giá tháng'!G7)/100,E$116*E433*F436*(F435*('Giá tháng'!F7+Q435+R435)*'Giá tháng'!G7)/100),1)</f>
        <v>878.4</v>
      </c>
    </row>
    <row r="437" spans="1:19" ht="16.5" customHeight="1">
      <c r="A437" s="12"/>
      <c r="B437" s="13"/>
      <c r="C437" s="90" t="s">
        <v>678</v>
      </c>
      <c r="D437" s="91"/>
      <c r="E437" s="92"/>
      <c r="F437" s="93"/>
      <c r="G437" s="93"/>
      <c r="H437" s="93"/>
      <c r="I437" s="94"/>
      <c r="J437" s="92"/>
      <c r="K437" s="92"/>
      <c r="L437" s="92"/>
    </row>
    <row r="438" spans="1:19" ht="16.5" customHeight="1">
      <c r="A438" s="12"/>
      <c r="B438" s="13" t="str">
        <f>'Giá tháng'!B48</f>
        <v>N1.30</v>
      </c>
      <c r="C438" s="14" t="str">
        <f>'Giá tháng'!C48</f>
        <v>Nhân công 3,0/7 - Nhóm 1</v>
      </c>
      <c r="D438" s="13" t="str">
        <f>'Giá tháng'!D48</f>
        <v>công</v>
      </c>
      <c r="E438" s="89"/>
      <c r="F438" s="80"/>
      <c r="G438" s="80">
        <v>0.45</v>
      </c>
      <c r="H438" s="80"/>
      <c r="I438" s="81">
        <f>'Giá tháng'!G48</f>
        <v>1</v>
      </c>
      <c r="J438" s="89"/>
      <c r="K438" s="89">
        <f>ROUND(IF(E$116=0,E433*G438*I438,E$116*E433*G438*I438),4)</f>
        <v>0.108</v>
      </c>
      <c r="L438" s="89"/>
      <c r="S438" s="34">
        <v>202</v>
      </c>
    </row>
    <row r="439" spans="1:19" ht="16.5" customHeight="1">
      <c r="A439" s="12">
        <f>'Công trình'!A150</f>
        <v>47</v>
      </c>
      <c r="B439" s="13" t="str">
        <f>'Công trình'!E150</f>
        <v>AK.98110</v>
      </c>
      <c r="C439" s="14" t="str">
        <f>'Công trình'!F150</f>
        <v>Đá dăm 2x4 lót móng, dày 10cm</v>
      </c>
      <c r="D439" s="13" t="str">
        <f>'Công trình'!G150</f>
        <v>m3</v>
      </c>
      <c r="E439" s="89">
        <f>ROUND('Công trình'!P150,4)</f>
        <v>0.24</v>
      </c>
      <c r="F439" s="80"/>
      <c r="G439" s="80"/>
      <c r="H439" s="80"/>
      <c r="I439" s="81"/>
      <c r="J439" s="89"/>
      <c r="K439" s="89"/>
      <c r="L439" s="89"/>
    </row>
    <row r="440" spans="1:19" ht="16.5" customHeight="1">
      <c r="A440" s="12"/>
      <c r="B440" s="13"/>
      <c r="C440" s="90" t="s">
        <v>683</v>
      </c>
      <c r="D440" s="91"/>
      <c r="E440" s="92"/>
      <c r="F440" s="93"/>
      <c r="G440" s="93"/>
      <c r="H440" s="93"/>
      <c r="I440" s="94"/>
      <c r="J440" s="92"/>
      <c r="K440" s="92"/>
      <c r="L440" s="92"/>
    </row>
    <row r="441" spans="1:19" ht="16.5" customHeight="1">
      <c r="A441" s="12"/>
      <c r="B441" s="13" t="str">
        <f>'Giá tháng'!B17</f>
        <v>A24.0025</v>
      </c>
      <c r="C441" s="14" t="str">
        <f>'Giá tháng'!C17</f>
        <v>Đá dăm 2x4 lót móng</v>
      </c>
      <c r="D441" s="13" t="str">
        <f>'Giá tháng'!D17</f>
        <v>m3</v>
      </c>
      <c r="E441" s="89"/>
      <c r="F441" s="80">
        <v>1.2</v>
      </c>
      <c r="G441" s="80"/>
      <c r="H441" s="80"/>
      <c r="I441" s="81">
        <f>'Giá tháng'!G17</f>
        <v>1</v>
      </c>
      <c r="J441" s="89">
        <f>ROUND(IF(E$116=0,E439*F441*I441,E$116*E439*F441*I441),4)</f>
        <v>0.28799999999999998</v>
      </c>
      <c r="K441" s="89"/>
      <c r="L441" s="89"/>
      <c r="S441" s="34">
        <v>1016</v>
      </c>
    </row>
    <row r="442" spans="1:19" ht="16.5" customHeight="1">
      <c r="A442" s="12"/>
      <c r="B442" s="13" t="str">
        <f>'Giá tháng'!B7</f>
        <v>A24.1042</v>
      </c>
      <c r="C442" s="14" t="str">
        <f>'Giá tháng'!C7</f>
        <v>Cát</v>
      </c>
      <c r="D442" s="13" t="str">
        <f>'Giá tháng'!D7</f>
        <v>m3</v>
      </c>
      <c r="E442" s="89"/>
      <c r="F442" s="80">
        <v>0.3</v>
      </c>
      <c r="G442" s="80"/>
      <c r="H442" s="80"/>
      <c r="I442" s="81">
        <f>'Giá tháng'!G7</f>
        <v>1</v>
      </c>
      <c r="J442" s="89">
        <f>ROUND(IF(E$116=0,E439*F442*I442,E$116*E439*F442*I442),4)</f>
        <v>7.1999999999999995E-2</v>
      </c>
      <c r="K442" s="89"/>
      <c r="L442" s="89"/>
      <c r="S442" s="34">
        <v>106</v>
      </c>
    </row>
    <row r="443" spans="1:19" ht="16.5" customHeight="1">
      <c r="A443" s="12"/>
      <c r="B443" s="13"/>
      <c r="C443" s="90" t="s">
        <v>678</v>
      </c>
      <c r="D443" s="91"/>
      <c r="E443" s="92"/>
      <c r="F443" s="93"/>
      <c r="G443" s="93"/>
      <c r="H443" s="93"/>
      <c r="I443" s="94"/>
      <c r="J443" s="92"/>
      <c r="K443" s="92"/>
      <c r="L443" s="92"/>
    </row>
    <row r="444" spans="1:19" ht="16.5" customHeight="1">
      <c r="A444" s="12"/>
      <c r="B444" s="13" t="str">
        <f>'Giá tháng'!B53</f>
        <v>N2.40</v>
      </c>
      <c r="C444" s="14" t="str">
        <f>'Giá tháng'!C53</f>
        <v>Nhân công 4,0/7 - Nhóm 2</v>
      </c>
      <c r="D444" s="13" t="str">
        <f>'Giá tháng'!D53</f>
        <v>công</v>
      </c>
      <c r="E444" s="89"/>
      <c r="F444" s="80"/>
      <c r="G444" s="80">
        <v>1.48</v>
      </c>
      <c r="H444" s="80"/>
      <c r="I444" s="81">
        <f>'Giá tháng'!G53</f>
        <v>1</v>
      </c>
      <c r="J444" s="89"/>
      <c r="K444" s="89">
        <f>ROUND(IF(E$116=0,E439*G444*I444,E$116*E439*G444*I444),4)</f>
        <v>0.35520000000000002</v>
      </c>
      <c r="L444" s="89"/>
      <c r="S444" s="34">
        <v>206</v>
      </c>
    </row>
    <row r="445" spans="1:19" ht="16.5" customHeight="1">
      <c r="A445" s="12">
        <f>'Công trình'!A152</f>
        <v>48</v>
      </c>
      <c r="B445" s="13" t="str">
        <f>'Công trình'!E152</f>
        <v>AF.81122</v>
      </c>
      <c r="C445" s="14" t="str">
        <f>'Công trình'!F152</f>
        <v>Ván khuôn gỗ móng</v>
      </c>
      <c r="D445" s="13" t="str">
        <f>'Công trình'!G152</f>
        <v>100m2</v>
      </c>
      <c r="E445" s="89">
        <f>ROUND('Công trình'!P152,4)</f>
        <v>1.3599999999999999E-2</v>
      </c>
      <c r="F445" s="80"/>
      <c r="G445" s="80"/>
      <c r="H445" s="80"/>
      <c r="I445" s="81"/>
      <c r="J445" s="89"/>
      <c r="K445" s="89"/>
      <c r="L445" s="89"/>
    </row>
    <row r="446" spans="1:19" ht="16.5" customHeight="1">
      <c r="A446" s="12"/>
      <c r="B446" s="13"/>
      <c r="C446" s="90" t="s">
        <v>683</v>
      </c>
      <c r="D446" s="91"/>
      <c r="E446" s="92"/>
      <c r="F446" s="93"/>
      <c r="G446" s="93"/>
      <c r="H446" s="93"/>
      <c r="I446" s="94"/>
      <c r="J446" s="92"/>
      <c r="K446" s="92"/>
      <c r="L446" s="92"/>
    </row>
    <row r="447" spans="1:19" ht="16.5" customHeight="1">
      <c r="A447" s="12"/>
      <c r="B447" s="13" t="str">
        <f>'Giá tháng'!B23</f>
        <v>A24.0418</v>
      </c>
      <c r="C447" s="14" t="str">
        <f>'Giá tháng'!C23</f>
        <v>Gỗ ván</v>
      </c>
      <c r="D447" s="13" t="str">
        <f>'Giá tháng'!D23</f>
        <v>m3</v>
      </c>
      <c r="E447" s="89"/>
      <c r="F447" s="80">
        <v>0.79400000000000004</v>
      </c>
      <c r="G447" s="80"/>
      <c r="H447" s="80"/>
      <c r="I447" s="81">
        <f>'Giá tháng'!G23</f>
        <v>1</v>
      </c>
      <c r="J447" s="89">
        <f>ROUND(IF(E$116=0,E445*F447*I447,E$116*E445*F447*I447),4)</f>
        <v>1.0800000000000001E-2</v>
      </c>
      <c r="K447" s="89"/>
      <c r="L447" s="89"/>
      <c r="Q447" s="34">
        <f>'Cước VC'!AU23</f>
        <v>0</v>
      </c>
      <c r="R447" s="34">
        <f>'Cước bộ'!W23</f>
        <v>0</v>
      </c>
      <c r="S447" s="34">
        <v>1022</v>
      </c>
    </row>
    <row r="448" spans="1:19" ht="16.5" customHeight="1">
      <c r="A448" s="12"/>
      <c r="B448" s="13" t="str">
        <f>'Giá tháng'!B22</f>
        <v>A24.0404</v>
      </c>
      <c r="C448" s="14" t="str">
        <f>'Giá tháng'!C22</f>
        <v>Gỗ đà nẹp</v>
      </c>
      <c r="D448" s="13" t="str">
        <f>'Giá tháng'!D22</f>
        <v>m3</v>
      </c>
      <c r="E448" s="89"/>
      <c r="F448" s="80">
        <v>0.21</v>
      </c>
      <c r="G448" s="80"/>
      <c r="H448" s="80"/>
      <c r="I448" s="81">
        <f>'Giá tháng'!G22</f>
        <v>1</v>
      </c>
      <c r="J448" s="89">
        <f>ROUND(IF(E$116=0,E445*F448*I448,E$116*E445*F448*I448),4)</f>
        <v>2.8999999999999998E-3</v>
      </c>
      <c r="K448" s="89"/>
      <c r="L448" s="89"/>
      <c r="Q448" s="34">
        <f>'Cước VC'!AU22</f>
        <v>0</v>
      </c>
      <c r="R448" s="34">
        <f>'Cước bộ'!W22</f>
        <v>0</v>
      </c>
      <c r="S448" s="34">
        <v>1021</v>
      </c>
    </row>
    <row r="449" spans="1:19" ht="16.5" customHeight="1">
      <c r="A449" s="12"/>
      <c r="B449" s="13" t="str">
        <f>'Giá tháng'!B21</f>
        <v>A24.0406</v>
      </c>
      <c r="C449" s="14" t="str">
        <f>'Giá tháng'!C21</f>
        <v>Gỗ chống</v>
      </c>
      <c r="D449" s="13" t="str">
        <f>'Giá tháng'!D21</f>
        <v>m3</v>
      </c>
      <c r="E449" s="89"/>
      <c r="F449" s="80">
        <v>0.33500000000000002</v>
      </c>
      <c r="G449" s="80"/>
      <c r="H449" s="80"/>
      <c r="I449" s="81">
        <f>'Giá tháng'!G21</f>
        <v>1</v>
      </c>
      <c r="J449" s="89">
        <f>ROUND(IF(E$116=0,E445*F449*I449,E$116*E445*F449*I449),4)</f>
        <v>4.5999999999999999E-3</v>
      </c>
      <c r="K449" s="89"/>
      <c r="L449" s="89"/>
      <c r="Q449" s="34">
        <f>'Cước VC'!AU21</f>
        <v>0</v>
      </c>
      <c r="R449" s="34">
        <f>'Cước bộ'!W21</f>
        <v>0</v>
      </c>
      <c r="S449" s="34">
        <v>1020</v>
      </c>
    </row>
    <row r="450" spans="1:19" ht="16.5" customHeight="1">
      <c r="A450" s="12"/>
      <c r="B450" s="13" t="str">
        <f>'Giá tháng'!B19</f>
        <v>A24.0054</v>
      </c>
      <c r="C450" s="14" t="str">
        <f>'Giá tháng'!C19</f>
        <v>Đinh</v>
      </c>
      <c r="D450" s="13" t="str">
        <f>'Giá tháng'!D19</f>
        <v>kg</v>
      </c>
      <c r="E450" s="89"/>
      <c r="F450" s="80">
        <v>15</v>
      </c>
      <c r="G450" s="80"/>
      <c r="H450" s="80"/>
      <c r="I450" s="81">
        <f>'Giá tháng'!G19</f>
        <v>1</v>
      </c>
      <c r="J450" s="89">
        <f>ROUND(IF(E$116=0,E445*F450*I450,E$116*E445*F450*I450),4)</f>
        <v>0.20399999999999999</v>
      </c>
      <c r="K450" s="89"/>
      <c r="L450" s="89"/>
      <c r="Q450" s="34">
        <f>'Cước VC'!AU19</f>
        <v>0</v>
      </c>
      <c r="R450" s="34">
        <f>'Cước bộ'!W19</f>
        <v>0</v>
      </c>
      <c r="S450" s="34">
        <v>1018</v>
      </c>
    </row>
    <row r="451" spans="1:19" ht="16.5" customHeight="1">
      <c r="A451" s="12"/>
      <c r="B451" s="13" t="s">
        <v>684</v>
      </c>
      <c r="C451" s="14" t="s">
        <v>685</v>
      </c>
      <c r="D451" s="13" t="s">
        <v>682</v>
      </c>
      <c r="E451" s="89"/>
      <c r="F451" s="80">
        <v>1</v>
      </c>
      <c r="G451" s="80"/>
      <c r="H451" s="80"/>
      <c r="I451" s="81"/>
      <c r="J451" s="89"/>
      <c r="K451" s="89"/>
      <c r="L451" s="89"/>
      <c r="M451" s="34">
        <f>ROUND(IF(E$116=0,E445*F451*(F447*'Giá tháng'!E23*'Giá tháng'!G23+F448*'Giá tháng'!E22*'Giá tháng'!G22+F449*'Giá tháng'!E21*'Giá tháng'!G21+F450*'Giá tháng'!E19*'Giá tháng'!G19)/100,E$116*E445*F451*(F447*'Giá tháng'!E23*'Giá tháng'!G23+F448*'Giá tháng'!E22*'Giá tháng'!G22+F449*'Giá tháng'!E21*'Giá tháng'!G21+F450*'Giá tháng'!E19*'Giá tháng'!G19)/100),1)</f>
        <v>667.7</v>
      </c>
      <c r="O451" s="34">
        <f>ROUND(IF(E$116=0,E445*F451*(F447*('Giá tháng'!F23+Q447+R447)*'Giá tháng'!G23+F448*('Giá tháng'!F22+Q448+R448)*'Giá tháng'!G22+F449*('Giá tháng'!F21+Q449+R449)*'Giá tháng'!G21+F450*('Giá tháng'!F19+Q450+R450)*'Giá tháng'!G19)/100,E$116*E445*F451*(F447*('Giá tháng'!F23+Q447+R447)*'Giá tháng'!G23+F448*('Giá tháng'!F22+Q448+R448)*'Giá tháng'!G22+F449*('Giá tháng'!F21+Q449+R449)*'Giá tháng'!G21+F450*('Giá tháng'!F19+Q450+R450)*'Giá tháng'!G19)/100),1)</f>
        <v>833.3</v>
      </c>
    </row>
    <row r="452" spans="1:19" ht="16.5" customHeight="1">
      <c r="A452" s="12"/>
      <c r="B452" s="13"/>
      <c r="C452" s="90" t="s">
        <v>678</v>
      </c>
      <c r="D452" s="91"/>
      <c r="E452" s="92"/>
      <c r="F452" s="93"/>
      <c r="G452" s="93"/>
      <c r="H452" s="93"/>
      <c r="I452" s="94"/>
      <c r="J452" s="92"/>
      <c r="K452" s="92"/>
      <c r="L452" s="92"/>
    </row>
    <row r="453" spans="1:19" ht="16.5" customHeight="1">
      <c r="A453" s="12"/>
      <c r="B453" s="13" t="str">
        <f>'Giá tháng'!B51</f>
        <v>N2.35</v>
      </c>
      <c r="C453" s="14" t="str">
        <f>'Giá tháng'!C51</f>
        <v>Nhân công 3,5/7 - Nhóm 2</v>
      </c>
      <c r="D453" s="13" t="str">
        <f>'Giá tháng'!D51</f>
        <v>công</v>
      </c>
      <c r="E453" s="89"/>
      <c r="F453" s="80"/>
      <c r="G453" s="80">
        <v>29.7</v>
      </c>
      <c r="H453" s="80"/>
      <c r="I453" s="81">
        <f>'Giá tháng'!G51</f>
        <v>1</v>
      </c>
      <c r="J453" s="89"/>
      <c r="K453" s="89">
        <f>ROUND(IF(E$116=0,E445*G453*I453,E$116*E445*G453*I453),4)</f>
        <v>0.40389999999999998</v>
      </c>
      <c r="L453" s="89"/>
      <c r="S453" s="34">
        <v>205</v>
      </c>
    </row>
    <row r="454" spans="1:19" ht="28.5" customHeight="1">
      <c r="A454" s="12">
        <f>'Công trình'!A154</f>
        <v>49</v>
      </c>
      <c r="B454" s="13" t="str">
        <f>'Công trình'!E154</f>
        <v>AF.11213A</v>
      </c>
      <c r="C454" s="14" t="str">
        <f>'Công trình'!F154</f>
        <v>Bê tông móng M200, đá 1x2 dày 20cm</v>
      </c>
      <c r="D454" s="13" t="str">
        <f>'Công trình'!G154</f>
        <v>m3</v>
      </c>
      <c r="E454" s="89">
        <f>ROUND('Công trình'!P154,4)</f>
        <v>0.48</v>
      </c>
      <c r="F454" s="80"/>
      <c r="G454" s="80"/>
      <c r="H454" s="80"/>
      <c r="I454" s="81"/>
      <c r="J454" s="89"/>
      <c r="K454" s="89"/>
      <c r="L454" s="89"/>
    </row>
    <row r="455" spans="1:19" ht="16.5" customHeight="1">
      <c r="A455" s="12"/>
      <c r="B455" s="13"/>
      <c r="C455" s="90" t="s">
        <v>683</v>
      </c>
      <c r="D455" s="91"/>
      <c r="E455" s="92"/>
      <c r="F455" s="93"/>
      <c r="G455" s="93"/>
      <c r="H455" s="93"/>
      <c r="I455" s="94"/>
      <c r="J455" s="92"/>
      <c r="K455" s="92"/>
      <c r="L455" s="92"/>
    </row>
    <row r="456" spans="1:19" ht="16.5" customHeight="1">
      <c r="A456" s="12"/>
      <c r="B456" s="13" t="str">
        <f>'Giá tháng'!B45</f>
        <v>A24.0797A</v>
      </c>
      <c r="C456" s="14" t="str">
        <f>'Giá tháng'!C45</f>
        <v>Xi măng PCB30</v>
      </c>
      <c r="D456" s="13" t="str">
        <f>'Giá tháng'!D45</f>
        <v>kg</v>
      </c>
      <c r="E456" s="89"/>
      <c r="F456" s="80">
        <v>321.85000000000002</v>
      </c>
      <c r="G456" s="80"/>
      <c r="H456" s="80"/>
      <c r="I456" s="81">
        <f>'Giá tháng'!G45</f>
        <v>1</v>
      </c>
      <c r="J456" s="89">
        <f>ROUND(IF(E$116=0,E454*F456*I456,E$116*E454*F456*I456),4)</f>
        <v>154.488</v>
      </c>
      <c r="K456" s="89"/>
      <c r="L456" s="89"/>
      <c r="Q456" s="34">
        <f>'Cước VC'!AU43</f>
        <v>0</v>
      </c>
      <c r="R456" s="34">
        <f>'Cước bộ'!W43</f>
        <v>0</v>
      </c>
      <c r="S456" s="34">
        <v>1043</v>
      </c>
    </row>
    <row r="457" spans="1:19" ht="16.5" customHeight="1">
      <c r="A457" s="12"/>
      <c r="B457" s="13" t="str">
        <f>'Giá tháng'!B10</f>
        <v>A24.0180</v>
      </c>
      <c r="C457" s="14" t="str">
        <f>'Giá tháng'!C10</f>
        <v>Cát vàng</v>
      </c>
      <c r="D457" s="13" t="str">
        <f>'Giá tháng'!D10</f>
        <v>m3</v>
      </c>
      <c r="E457" s="89"/>
      <c r="F457" s="80">
        <v>0.52890000000000004</v>
      </c>
      <c r="G457" s="80"/>
      <c r="H457" s="80"/>
      <c r="I457" s="81">
        <f>'Giá tháng'!G10</f>
        <v>1</v>
      </c>
      <c r="J457" s="89">
        <f>ROUND(IF(E$116=0,E454*F457*I457,E$116*E454*F457*I457),4)</f>
        <v>0.25390000000000001</v>
      </c>
      <c r="K457" s="89"/>
      <c r="L457" s="89"/>
      <c r="Q457" s="34">
        <f>'Cước VC'!AU10</f>
        <v>0</v>
      </c>
      <c r="R457" s="34">
        <f>'Cước bộ'!W10</f>
        <v>0</v>
      </c>
      <c r="S457" s="34">
        <v>109</v>
      </c>
    </row>
    <row r="458" spans="1:19" ht="16.5" customHeight="1">
      <c r="A458" s="12"/>
      <c r="B458" s="13" t="str">
        <f>'Giá tháng'!B15</f>
        <v>A24.0008</v>
      </c>
      <c r="C458" s="14" t="str">
        <f>'Giá tháng'!C15</f>
        <v>Đá 1x2</v>
      </c>
      <c r="D458" s="13" t="str">
        <f>'Giá tháng'!D15</f>
        <v>m3</v>
      </c>
      <c r="E458" s="89"/>
      <c r="F458" s="80">
        <v>0.87124999999999997</v>
      </c>
      <c r="G458" s="80"/>
      <c r="H458" s="80"/>
      <c r="I458" s="81">
        <f>'Giá tháng'!G15</f>
        <v>1</v>
      </c>
      <c r="J458" s="89">
        <f>ROUND(IF(E$116=0,E454*F458*I458,E$116*E454*F458*I458),4)</f>
        <v>0.41820000000000002</v>
      </c>
      <c r="K458" s="89"/>
      <c r="L458" s="89"/>
      <c r="Q458" s="34">
        <f>'Cước VC'!AU15</f>
        <v>0</v>
      </c>
      <c r="R458" s="34">
        <f>'Cước bộ'!W15</f>
        <v>0</v>
      </c>
      <c r="S458" s="34">
        <v>1014</v>
      </c>
    </row>
    <row r="459" spans="1:19" ht="16.5" customHeight="1">
      <c r="A459" s="12"/>
      <c r="B459" s="13" t="str">
        <f>'Giá tháng'!B32</f>
        <v>A24.0524</v>
      </c>
      <c r="C459" s="14" t="str">
        <f>'Giá tháng'!C32</f>
        <v>Nước</v>
      </c>
      <c r="D459" s="13" t="str">
        <f>'Giá tháng'!D32</f>
        <v>lít</v>
      </c>
      <c r="E459" s="89"/>
      <c r="F459" s="80">
        <v>187.57499999999999</v>
      </c>
      <c r="G459" s="80"/>
      <c r="H459" s="80"/>
      <c r="I459" s="81">
        <f>'Giá tháng'!G32</f>
        <v>1</v>
      </c>
      <c r="J459" s="89">
        <f>ROUND(IF(E$116=0,E454*F459*I459,E$116*E454*F459*I459),4)</f>
        <v>90.036000000000001</v>
      </c>
      <c r="K459" s="89"/>
      <c r="L459" s="89"/>
      <c r="Q459" s="34">
        <f>'Cước VC'!AU31</f>
        <v>0</v>
      </c>
      <c r="R459" s="34">
        <f>'Cước bộ'!W31</f>
        <v>0</v>
      </c>
      <c r="S459" s="34">
        <v>1031</v>
      </c>
    </row>
    <row r="460" spans="1:19" ht="16.5" customHeight="1">
      <c r="A460" s="12"/>
      <c r="B460" s="13" t="s">
        <v>684</v>
      </c>
      <c r="C460" s="14" t="s">
        <v>685</v>
      </c>
      <c r="D460" s="13" t="s">
        <v>682</v>
      </c>
      <c r="E460" s="89"/>
      <c r="F460" s="80">
        <v>1</v>
      </c>
      <c r="G460" s="80"/>
      <c r="H460" s="80"/>
      <c r="I460" s="81"/>
      <c r="J460" s="89"/>
      <c r="K460" s="89"/>
      <c r="L460" s="89"/>
      <c r="M460" s="34">
        <f>ROUND(IF(E$116=0,E454*F460*(F456*'Giá tháng'!E45*'Giá tháng'!G45+F457*'Giá tháng'!E10*'Giá tháng'!G10+F458*'Giá tháng'!E15*'Giá tháng'!G15+F459*'Giá tháng'!E32*'Giá tháng'!G32)/100,E$116*E454*F460*(F456*'Giá tháng'!E45*'Giá tháng'!G45+F457*'Giá tháng'!E10*'Giá tháng'!G10+F458*'Giá tháng'!E15*'Giá tháng'!G15+F459*'Giá tháng'!E32*'Giá tháng'!G32)/100),1)</f>
        <v>4623.3999999999996</v>
      </c>
      <c r="O460" s="34">
        <f>ROUND(IF(E$116=0,E454*F460*(F456*('Giá tháng'!F45+Q456+R456)*'Giá tháng'!G45+F457*('Giá tháng'!F10+Q457+R457)*'Giá tháng'!G10+F458*('Giá tháng'!F15+Q458+R458)*'Giá tháng'!G15+F459*('Giá tháng'!F32+Q459+R459)*'Giá tháng'!G32)/100,E$116*E454*F460*(F456*('Giá tháng'!F45+Q456+R456)*'Giá tháng'!G45+F457*('Giá tháng'!F10+Q457+R457)*'Giá tháng'!G10+F458*('Giá tháng'!F15+Q458+R458)*'Giá tháng'!G15+F459*('Giá tháng'!F32+Q459+R459)*'Giá tháng'!G32)/100),1)</f>
        <v>4946.3999999999996</v>
      </c>
    </row>
    <row r="461" spans="1:19" ht="16.5" customHeight="1">
      <c r="A461" s="12"/>
      <c r="B461" s="13"/>
      <c r="C461" s="90" t="s">
        <v>678</v>
      </c>
      <c r="D461" s="91"/>
      <c r="E461" s="92"/>
      <c r="F461" s="93"/>
      <c r="G461" s="93"/>
      <c r="H461" s="93"/>
      <c r="I461" s="94"/>
      <c r="J461" s="92"/>
      <c r="K461" s="92"/>
      <c r="L461" s="92"/>
    </row>
    <row r="462" spans="1:19" ht="16.5" customHeight="1">
      <c r="A462" s="12"/>
      <c r="B462" s="13" t="str">
        <f>'Giá tháng'!B49</f>
        <v>N2.30</v>
      </c>
      <c r="C462" s="14" t="str">
        <f>'Giá tháng'!C49</f>
        <v>Nhân công 3,0/7 - Nhóm 2</v>
      </c>
      <c r="D462" s="13" t="str">
        <f>'Giá tháng'!D49</f>
        <v>công</v>
      </c>
      <c r="E462" s="89"/>
      <c r="F462" s="80"/>
      <c r="G462" s="80">
        <v>1.23</v>
      </c>
      <c r="H462" s="80"/>
      <c r="I462" s="81">
        <f>'Giá tháng'!G49</f>
        <v>1</v>
      </c>
      <c r="J462" s="89"/>
      <c r="K462" s="89">
        <f>ROUND(IF(E$116=0,E454*G462*I462,E$116*E454*G462*I462),4)</f>
        <v>0.59040000000000004</v>
      </c>
      <c r="L462" s="89"/>
      <c r="S462" s="34">
        <v>203</v>
      </c>
    </row>
    <row r="463" spans="1:19" ht="16.5" customHeight="1">
      <c r="A463" s="12"/>
      <c r="B463" s="13"/>
      <c r="C463" s="90" t="s">
        <v>679</v>
      </c>
      <c r="D463" s="91"/>
      <c r="E463" s="92"/>
      <c r="F463" s="93"/>
      <c r="G463" s="93"/>
      <c r="H463" s="93"/>
      <c r="I463" s="94"/>
      <c r="J463" s="92"/>
      <c r="K463" s="92"/>
      <c r="L463" s="92"/>
    </row>
    <row r="464" spans="1:19" ht="28.5" customHeight="1">
      <c r="A464" s="12"/>
      <c r="B464" s="13" t="str">
        <f>'Giá tháng'!B74</f>
        <v>M104.0102</v>
      </c>
      <c r="C464" s="14" t="str">
        <f>'Giá tháng'!C74</f>
        <v>Máy trộn bê tông - dung tích : 250,0 lít</v>
      </c>
      <c r="D464" s="13" t="str">
        <f>'Giá tháng'!D74</f>
        <v>ca</v>
      </c>
      <c r="E464" s="89"/>
      <c r="F464" s="80"/>
      <c r="G464" s="80"/>
      <c r="H464" s="80">
        <v>9.5000000000000001E-2</v>
      </c>
      <c r="I464" s="81">
        <f>'Giá tháng'!G74</f>
        <v>1</v>
      </c>
      <c r="J464" s="89"/>
      <c r="K464" s="89"/>
      <c r="L464" s="89">
        <f>ROUND(IF(E$116=0,E454*H464*I464,E$116*E454*H464*I464),4)</f>
        <v>4.5600000000000002E-2</v>
      </c>
      <c r="S464" s="34">
        <v>3020</v>
      </c>
    </row>
    <row r="465" spans="1:19" ht="28.5" customHeight="1">
      <c r="A465" s="12"/>
      <c r="B465" s="13" t="str">
        <f>'Giá tháng'!B62</f>
        <v>M112.1301</v>
      </c>
      <c r="C465" s="14" t="str">
        <f>'Giá tháng'!C62</f>
        <v>Máy đầm bê tông, dầm dùi - công suất : 1,5 kW</v>
      </c>
      <c r="D465" s="13" t="str">
        <f>'Giá tháng'!D62</f>
        <v>ca</v>
      </c>
      <c r="E465" s="89"/>
      <c r="F465" s="80"/>
      <c r="G465" s="80"/>
      <c r="H465" s="80">
        <v>8.8999999999999996E-2</v>
      </c>
      <c r="I465" s="81">
        <f>'Giá tháng'!G62</f>
        <v>1</v>
      </c>
      <c r="J465" s="89"/>
      <c r="K465" s="89"/>
      <c r="L465" s="89">
        <f>ROUND(IF(E$116=0,E454*H465*I465,E$116*E454*H465*I465),4)</f>
        <v>4.2700000000000002E-2</v>
      </c>
      <c r="S465" s="34">
        <v>308</v>
      </c>
    </row>
    <row r="466" spans="1:19" ht="28.5" customHeight="1">
      <c r="A466" s="12">
        <f>'Công trình'!A156</f>
        <v>50</v>
      </c>
      <c r="B466" s="13" t="str">
        <f>'Công trình'!E156</f>
        <v>AK.21133A</v>
      </c>
      <c r="C466" s="14" t="str">
        <f>'Công trình'!F156</f>
        <v>Trát tường ngoài, chiều dày trát 2cm, vữa XM mác 75, PCB30</v>
      </c>
      <c r="D466" s="13" t="str">
        <f>'Công trình'!G156</f>
        <v>m2</v>
      </c>
      <c r="E466" s="89">
        <f>ROUND('Công trình'!P156,4)</f>
        <v>10.62</v>
      </c>
      <c r="F466" s="80"/>
      <c r="G466" s="80"/>
      <c r="H466" s="80"/>
      <c r="I466" s="81"/>
      <c r="J466" s="89"/>
      <c r="K466" s="89"/>
      <c r="L466" s="89"/>
    </row>
    <row r="467" spans="1:19" ht="16.5" customHeight="1">
      <c r="A467" s="12"/>
      <c r="B467" s="13"/>
      <c r="C467" s="90" t="s">
        <v>683</v>
      </c>
      <c r="D467" s="91"/>
      <c r="E467" s="92"/>
      <c r="F467" s="93"/>
      <c r="G467" s="93"/>
      <c r="H467" s="93"/>
      <c r="I467" s="94"/>
      <c r="J467" s="92"/>
      <c r="K467" s="92"/>
      <c r="L467" s="92"/>
    </row>
    <row r="468" spans="1:19" ht="16.5" customHeight="1">
      <c r="A468" s="12"/>
      <c r="B468" s="13" t="str">
        <f>'Giá tháng'!B45</f>
        <v>A24.0797A</v>
      </c>
      <c r="C468" s="14" t="str">
        <f>'Giá tháng'!C45</f>
        <v>Xi măng PCB30</v>
      </c>
      <c r="D468" s="13" t="str">
        <f>'Giá tháng'!D45</f>
        <v>kg</v>
      </c>
      <c r="E468" s="89"/>
      <c r="F468" s="80">
        <v>8.8550000000000004</v>
      </c>
      <c r="G468" s="80"/>
      <c r="H468" s="80"/>
      <c r="I468" s="81">
        <f>'Giá tháng'!G45</f>
        <v>1</v>
      </c>
      <c r="J468" s="89">
        <f>ROUND(IF(E$116=0,E466*F468*I468,E$116*E466*F468*I468),4)</f>
        <v>94.040099999999995</v>
      </c>
      <c r="K468" s="89"/>
      <c r="L468" s="89"/>
      <c r="Q468" s="34">
        <f>'Cước VC'!AU43</f>
        <v>0</v>
      </c>
      <c r="R468" s="34">
        <f>'Cước bộ'!W43</f>
        <v>0</v>
      </c>
      <c r="S468" s="34">
        <v>1043</v>
      </c>
    </row>
    <row r="469" spans="1:19" ht="16.5" customHeight="1">
      <c r="A469" s="12"/>
      <c r="B469" s="13" t="str">
        <f>'Giá tháng'!B8</f>
        <v>A24.0175</v>
      </c>
      <c r="C469" s="14" t="str">
        <f>'Giá tháng'!C8</f>
        <v>Cát mịn ML=0,7-1,4</v>
      </c>
      <c r="D469" s="13" t="str">
        <f>'Giá tháng'!D8</f>
        <v>m3</v>
      </c>
      <c r="E469" s="89"/>
      <c r="F469" s="80">
        <v>2.5714000000000001E-2</v>
      </c>
      <c r="G469" s="80"/>
      <c r="H469" s="80"/>
      <c r="I469" s="81">
        <f>'Giá tháng'!G8</f>
        <v>1</v>
      </c>
      <c r="J469" s="89">
        <f>ROUND(IF(E$116=0,E466*F469*I469,E$116*E466*F469*I469),4)</f>
        <v>0.27310000000000001</v>
      </c>
      <c r="K469" s="89"/>
      <c r="L469" s="89"/>
      <c r="Q469" s="34">
        <f>'Cước VC'!AU8</f>
        <v>0</v>
      </c>
      <c r="R469" s="34">
        <f>'Cước bộ'!W8</f>
        <v>0</v>
      </c>
      <c r="S469" s="34">
        <v>107</v>
      </c>
    </row>
    <row r="470" spans="1:19" ht="16.5" customHeight="1">
      <c r="A470" s="12"/>
      <c r="B470" s="13" t="str">
        <f>'Giá tháng'!B32</f>
        <v>A24.0524</v>
      </c>
      <c r="C470" s="14" t="str">
        <f>'Giá tháng'!C32</f>
        <v>Nước</v>
      </c>
      <c r="D470" s="13" t="str">
        <f>'Giá tháng'!D32</f>
        <v>lít</v>
      </c>
      <c r="E470" s="89"/>
      <c r="F470" s="80">
        <v>6.3250000000000002</v>
      </c>
      <c r="G470" s="80"/>
      <c r="H470" s="80"/>
      <c r="I470" s="81">
        <f>'Giá tháng'!G32</f>
        <v>1</v>
      </c>
      <c r="J470" s="89">
        <f>ROUND(IF(E$116=0,E466*F470*I470,E$116*E466*F470*I470),4)</f>
        <v>67.171499999999995</v>
      </c>
      <c r="K470" s="89"/>
      <c r="L470" s="89"/>
      <c r="Q470" s="34">
        <f>'Cước VC'!AU31</f>
        <v>0</v>
      </c>
      <c r="R470" s="34">
        <f>'Cước bộ'!W31</f>
        <v>0</v>
      </c>
      <c r="S470" s="34">
        <v>1031</v>
      </c>
    </row>
    <row r="471" spans="1:19" ht="16.5" customHeight="1">
      <c r="A471" s="12"/>
      <c r="B471" s="13" t="s">
        <v>684</v>
      </c>
      <c r="C471" s="14" t="s">
        <v>685</v>
      </c>
      <c r="D471" s="13" t="s">
        <v>682</v>
      </c>
      <c r="E471" s="89"/>
      <c r="F471" s="80">
        <v>0.5</v>
      </c>
      <c r="G471" s="80"/>
      <c r="H471" s="80"/>
      <c r="I471" s="81"/>
      <c r="J471" s="89"/>
      <c r="K471" s="89"/>
      <c r="L471" s="89"/>
      <c r="M471" s="34">
        <f>ROUND(IF(E$116=0,E466*F471*(F468*'Giá tháng'!E45*'Giá tháng'!G45+F469*'Giá tháng'!E8*'Giá tháng'!G8+F470*'Giá tháng'!E32*'Giá tháng'!G32)/100,E$116*E466*F471*(F468*'Giá tháng'!E45*'Giá tháng'!G45+F469*'Giá tháng'!E8*'Giá tháng'!G8+F470*'Giá tháng'!E32*'Giá tháng'!G32)/100),1)</f>
        <v>1199.0999999999999</v>
      </c>
      <c r="O471" s="34">
        <f>ROUND(IF(E$116=0,E466*F471*(F468*('Giá tháng'!F45+Q468+R468)*'Giá tháng'!G45+F469*('Giá tháng'!F8+Q469+R469)*'Giá tháng'!G8+F470*('Giá tháng'!F32+Q470+R470)*'Giá tháng'!G32)/100,E$116*E466*F471*(F468*('Giá tháng'!F45+Q468+R468)*'Giá tháng'!G45+F469*('Giá tháng'!F8+Q469+R469)*'Giá tháng'!G8+F470*('Giá tháng'!F32+Q470+R470)*'Giá tháng'!G32)/100),1)</f>
        <v>1310.7</v>
      </c>
    </row>
    <row r="472" spans="1:19" ht="16.5" customHeight="1">
      <c r="A472" s="12"/>
      <c r="B472" s="13"/>
      <c r="C472" s="90" t="s">
        <v>678</v>
      </c>
      <c r="D472" s="91"/>
      <c r="E472" s="92"/>
      <c r="F472" s="93"/>
      <c r="G472" s="93"/>
      <c r="H472" s="93"/>
      <c r="I472" s="94"/>
      <c r="J472" s="92"/>
      <c r="K472" s="92"/>
      <c r="L472" s="92"/>
    </row>
    <row r="473" spans="1:19" ht="16.5" customHeight="1">
      <c r="A473" s="12"/>
      <c r="B473" s="13" t="str">
        <f>'Giá tháng'!B51</f>
        <v>N2.35</v>
      </c>
      <c r="C473" s="14" t="str">
        <f>'Giá tháng'!C51</f>
        <v>Nhân công 3,5/7 - Nhóm 2</v>
      </c>
      <c r="D473" s="13" t="str">
        <f>'Giá tháng'!D51</f>
        <v>công</v>
      </c>
      <c r="E473" s="89"/>
      <c r="F473" s="80"/>
      <c r="G473" s="80">
        <v>0.32</v>
      </c>
      <c r="H473" s="80"/>
      <c r="I473" s="81">
        <f>'Giá tháng'!G51</f>
        <v>1</v>
      </c>
      <c r="J473" s="89"/>
      <c r="K473" s="89">
        <f>ROUND(IF(E$116=0,E466*G473*I473,E$116*E466*G473*I473),4)</f>
        <v>3.3984000000000001</v>
      </c>
      <c r="L473" s="89"/>
      <c r="S473" s="34">
        <v>205</v>
      </c>
    </row>
    <row r="474" spans="1:19" ht="16.5" customHeight="1">
      <c r="A474" s="12"/>
      <c r="B474" s="13"/>
      <c r="C474" s="90" t="s">
        <v>679</v>
      </c>
      <c r="D474" s="91"/>
      <c r="E474" s="92"/>
      <c r="F474" s="93"/>
      <c r="G474" s="93"/>
      <c r="H474" s="93"/>
      <c r="I474" s="94"/>
      <c r="J474" s="92"/>
      <c r="K474" s="92"/>
      <c r="L474" s="92"/>
    </row>
    <row r="475" spans="1:19" ht="16.5" customHeight="1">
      <c r="A475" s="12"/>
      <c r="B475" s="13" t="str">
        <f>'Giá tháng'!B75</f>
        <v>M104.0202</v>
      </c>
      <c r="C475" s="14" t="str">
        <f>'Giá tháng'!C75</f>
        <v>Máy trộn vữa 150 lít</v>
      </c>
      <c r="D475" s="13" t="str">
        <f>'Giá tháng'!D75</f>
        <v>ca</v>
      </c>
      <c r="E475" s="89"/>
      <c r="F475" s="80"/>
      <c r="G475" s="80"/>
      <c r="H475" s="80">
        <v>3.0000000000000001E-3</v>
      </c>
      <c r="I475" s="81">
        <f>'Giá tháng'!G75</f>
        <v>1</v>
      </c>
      <c r="J475" s="89"/>
      <c r="K475" s="89"/>
      <c r="L475" s="89">
        <f>ROUND(IF(E$116=0,E466*H475*I475,E$116*E466*H475*I475),4)</f>
        <v>3.1899999999999998E-2</v>
      </c>
      <c r="S475" s="34">
        <v>3021</v>
      </c>
    </row>
    <row r="476" spans="1:19" ht="28.5" customHeight="1">
      <c r="A476" s="12">
        <f>'Công trình'!A158</f>
        <v>51</v>
      </c>
      <c r="B476" s="13" t="str">
        <f>'Công trình'!E158</f>
        <v>AF.81141</v>
      </c>
      <c r="C476" s="14" t="str">
        <f>'Công trình'!F158</f>
        <v>Ván khuôn gỗ. Ván khuôn cổ tường</v>
      </c>
      <c r="D476" s="13" t="str">
        <f>'Công trình'!G158</f>
        <v>100m2</v>
      </c>
      <c r="E476" s="89">
        <f>ROUND('Công trình'!P158,4)</f>
        <v>9.2999999999999992E-3</v>
      </c>
      <c r="F476" s="80"/>
      <c r="G476" s="80"/>
      <c r="H476" s="80"/>
      <c r="I476" s="81"/>
      <c r="J476" s="89"/>
      <c r="K476" s="89"/>
      <c r="L476" s="89"/>
    </row>
    <row r="477" spans="1:19" ht="16.5" customHeight="1">
      <c r="A477" s="12"/>
      <c r="B477" s="13"/>
      <c r="C477" s="90" t="s">
        <v>683</v>
      </c>
      <c r="D477" s="91"/>
      <c r="E477" s="92"/>
      <c r="F477" s="93"/>
      <c r="G477" s="93"/>
      <c r="H477" s="93"/>
      <c r="I477" s="94"/>
      <c r="J477" s="92"/>
      <c r="K477" s="92"/>
      <c r="L477" s="92"/>
    </row>
    <row r="478" spans="1:19" ht="16.5" customHeight="1">
      <c r="A478" s="12"/>
      <c r="B478" s="13" t="str">
        <f>'Giá tháng'!B23</f>
        <v>A24.0418</v>
      </c>
      <c r="C478" s="14" t="str">
        <f>'Giá tháng'!C23</f>
        <v>Gỗ ván</v>
      </c>
      <c r="D478" s="13" t="str">
        <f>'Giá tháng'!D23</f>
        <v>m3</v>
      </c>
      <c r="E478" s="89"/>
      <c r="F478" s="80">
        <v>0.79400000000000004</v>
      </c>
      <c r="G478" s="80"/>
      <c r="H478" s="80"/>
      <c r="I478" s="81">
        <f>'Giá tháng'!G23</f>
        <v>1</v>
      </c>
      <c r="J478" s="89">
        <f>ROUND(IF(E$116=0,E476*F478*I478,E$116*E476*F478*I478),4)</f>
        <v>7.4000000000000003E-3</v>
      </c>
      <c r="K478" s="89"/>
      <c r="L478" s="89"/>
      <c r="Q478" s="34">
        <f>'Cước VC'!AU23</f>
        <v>0</v>
      </c>
      <c r="R478" s="34">
        <f>'Cước bộ'!W23</f>
        <v>0</v>
      </c>
      <c r="S478" s="34">
        <v>1022</v>
      </c>
    </row>
    <row r="479" spans="1:19" ht="16.5" customHeight="1">
      <c r="A479" s="12"/>
      <c r="B479" s="13" t="str">
        <f>'Giá tháng'!B22</f>
        <v>A24.0404</v>
      </c>
      <c r="C479" s="14" t="str">
        <f>'Giá tháng'!C22</f>
        <v>Gỗ đà nẹp</v>
      </c>
      <c r="D479" s="13" t="str">
        <f>'Giá tháng'!D22</f>
        <v>m3</v>
      </c>
      <c r="E479" s="89"/>
      <c r="F479" s="80">
        <v>0.189</v>
      </c>
      <c r="G479" s="80"/>
      <c r="H479" s="80"/>
      <c r="I479" s="81">
        <f>'Giá tháng'!G22</f>
        <v>1</v>
      </c>
      <c r="J479" s="89">
        <f>ROUND(IF(E$116=0,E476*F479*I479,E$116*E476*F479*I479),4)</f>
        <v>1.8E-3</v>
      </c>
      <c r="K479" s="89"/>
      <c r="L479" s="89"/>
      <c r="Q479" s="34">
        <f>'Cước VC'!AU22</f>
        <v>0</v>
      </c>
      <c r="R479" s="34">
        <f>'Cước bộ'!W22</f>
        <v>0</v>
      </c>
      <c r="S479" s="34">
        <v>1021</v>
      </c>
    </row>
    <row r="480" spans="1:19" ht="16.5" customHeight="1">
      <c r="A480" s="12"/>
      <c r="B480" s="13" t="str">
        <f>'Giá tháng'!B21</f>
        <v>A24.0406</v>
      </c>
      <c r="C480" s="14" t="str">
        <f>'Giá tháng'!C21</f>
        <v>Gỗ chống</v>
      </c>
      <c r="D480" s="13" t="str">
        <f>'Giá tháng'!D21</f>
        <v>m3</v>
      </c>
      <c r="E480" s="89"/>
      <c r="F480" s="80">
        <v>0.95699999999999996</v>
      </c>
      <c r="G480" s="80"/>
      <c r="H480" s="80"/>
      <c r="I480" s="81">
        <f>'Giá tháng'!G21</f>
        <v>1</v>
      </c>
      <c r="J480" s="89">
        <f>ROUND(IF(E$116=0,E476*F480*I480,E$116*E476*F480*I480),4)</f>
        <v>8.8999999999999999E-3</v>
      </c>
      <c r="K480" s="89"/>
      <c r="L480" s="89"/>
      <c r="Q480" s="34">
        <f>'Cước VC'!AU21</f>
        <v>0</v>
      </c>
      <c r="R480" s="34">
        <f>'Cước bộ'!W21</f>
        <v>0</v>
      </c>
      <c r="S480" s="34">
        <v>1020</v>
      </c>
    </row>
    <row r="481" spans="1:19" ht="16.5" customHeight="1">
      <c r="A481" s="12"/>
      <c r="B481" s="13" t="str">
        <f>'Giá tháng'!B19</f>
        <v>A24.0054</v>
      </c>
      <c r="C481" s="14" t="str">
        <f>'Giá tháng'!C19</f>
        <v>Đinh</v>
      </c>
      <c r="D481" s="13" t="str">
        <f>'Giá tháng'!D19</f>
        <v>kg</v>
      </c>
      <c r="E481" s="89"/>
      <c r="F481" s="80">
        <v>14.29</v>
      </c>
      <c r="G481" s="80"/>
      <c r="H481" s="80"/>
      <c r="I481" s="81">
        <f>'Giá tháng'!G19</f>
        <v>1</v>
      </c>
      <c r="J481" s="89">
        <f>ROUND(IF(E$116=0,E476*F481*I481,E$116*E476*F481*I481),4)</f>
        <v>0.13289999999999999</v>
      </c>
      <c r="K481" s="89"/>
      <c r="L481" s="89"/>
      <c r="Q481" s="34">
        <f>'Cước VC'!AU19</f>
        <v>0</v>
      </c>
      <c r="R481" s="34">
        <f>'Cước bộ'!W19</f>
        <v>0</v>
      </c>
      <c r="S481" s="34">
        <v>1018</v>
      </c>
    </row>
    <row r="482" spans="1:19" ht="16.5" customHeight="1">
      <c r="A482" s="12"/>
      <c r="B482" s="13" t="s">
        <v>684</v>
      </c>
      <c r="C482" s="14" t="s">
        <v>685</v>
      </c>
      <c r="D482" s="13" t="s">
        <v>682</v>
      </c>
      <c r="E482" s="89"/>
      <c r="F482" s="80">
        <v>1</v>
      </c>
      <c r="G482" s="80"/>
      <c r="H482" s="80"/>
      <c r="I482" s="81"/>
      <c r="J482" s="89"/>
      <c r="K482" s="89"/>
      <c r="L482" s="89"/>
      <c r="M482" s="34">
        <f>ROUND(IF(E$116=0,E476*F482*(F478*'Giá tháng'!E23*'Giá tháng'!G23+F479*'Giá tháng'!E22*'Giá tháng'!G22+F480*'Giá tháng'!E21*'Giá tháng'!G21+F481*'Giá tháng'!E19*'Giá tháng'!G19)/100,E$116*E476*F482*(F478*'Giá tháng'!E23*'Giá tháng'!G23+F479*'Giá tháng'!E22*'Giá tháng'!G22+F480*'Giá tháng'!E21*'Giá tháng'!G21+F481*'Giá tháng'!E19*'Giá tháng'!G19)/100),1)</f>
        <v>645.6</v>
      </c>
      <c r="O482" s="34">
        <f>ROUND(IF(E$116=0,E476*F482*(F478*('Giá tháng'!F23+Q478+R478)*'Giá tháng'!G23+F479*('Giá tháng'!F22+Q479+R479)*'Giá tháng'!G22+F480*('Giá tháng'!F21+Q480+R480)*'Giá tháng'!G21+F481*('Giá tháng'!F19+Q481+R481)*'Giá tháng'!G19)/100,E$116*E476*F482*(F478*('Giá tháng'!F23+Q478+R478)*'Giá tháng'!G23+F479*('Giá tháng'!F22+Q479+R479)*'Giá tháng'!G22+F480*('Giá tháng'!F21+Q480+R480)*'Giá tháng'!G21+F481*('Giá tháng'!F19+Q481+R481)*'Giá tháng'!G19)/100),1)</f>
        <v>809.7</v>
      </c>
    </row>
    <row r="483" spans="1:19" ht="16.5" customHeight="1">
      <c r="A483" s="12"/>
      <c r="B483" s="13"/>
      <c r="C483" s="90" t="s">
        <v>678</v>
      </c>
      <c r="D483" s="91"/>
      <c r="E483" s="92"/>
      <c r="F483" s="93"/>
      <c r="G483" s="93"/>
      <c r="H483" s="93"/>
      <c r="I483" s="94"/>
      <c r="J483" s="92"/>
      <c r="K483" s="92"/>
      <c r="L483" s="92"/>
    </row>
    <row r="484" spans="1:19" ht="16.5" customHeight="1">
      <c r="A484" s="12"/>
      <c r="B484" s="13" t="str">
        <f>'Giá tháng'!B51</f>
        <v>N2.35</v>
      </c>
      <c r="C484" s="14" t="str">
        <f>'Giá tháng'!C51</f>
        <v>Nhân công 3,5/7 - Nhóm 2</v>
      </c>
      <c r="D484" s="13" t="str">
        <f>'Giá tháng'!D51</f>
        <v>công</v>
      </c>
      <c r="E484" s="89"/>
      <c r="F484" s="80"/>
      <c r="G484" s="80">
        <v>27.5</v>
      </c>
      <c r="H484" s="80"/>
      <c r="I484" s="81">
        <f>'Giá tháng'!G51</f>
        <v>1</v>
      </c>
      <c r="J484" s="89"/>
      <c r="K484" s="89">
        <f>ROUND(IF(E$116=0,E476*G484*I484,E$116*E476*G484*I484),4)</f>
        <v>0.25580000000000003</v>
      </c>
      <c r="L484" s="89"/>
      <c r="S484" s="34">
        <v>205</v>
      </c>
    </row>
    <row r="485" spans="1:19" ht="16.5" customHeight="1">
      <c r="A485" s="12">
        <f>'Công trình'!A160</f>
        <v>52</v>
      </c>
      <c r="B485" s="13" t="str">
        <f>'Công trình'!E160</f>
        <v>AF.12314A</v>
      </c>
      <c r="C485" s="14" t="str">
        <f>'Công trình'!F160</f>
        <v>Bê tông cổ tường M250, đá 1x2</v>
      </c>
      <c r="D485" s="13" t="str">
        <f>'Công trình'!G160</f>
        <v>m3</v>
      </c>
      <c r="E485" s="89">
        <f>ROUND('Công trình'!P160,4)</f>
        <v>0.13</v>
      </c>
      <c r="F485" s="80"/>
      <c r="G485" s="80"/>
      <c r="H485" s="80"/>
      <c r="I485" s="81"/>
      <c r="J485" s="89"/>
      <c r="K485" s="89"/>
      <c r="L485" s="89"/>
    </row>
    <row r="486" spans="1:19" ht="16.5" customHeight="1">
      <c r="A486" s="12"/>
      <c r="B486" s="13"/>
      <c r="C486" s="90" t="s">
        <v>683</v>
      </c>
      <c r="D486" s="91"/>
      <c r="E486" s="92"/>
      <c r="F486" s="93"/>
      <c r="G486" s="93"/>
      <c r="H486" s="93"/>
      <c r="I486" s="94"/>
      <c r="J486" s="92"/>
      <c r="K486" s="92"/>
      <c r="L486" s="92"/>
    </row>
    <row r="487" spans="1:19" ht="16.5" customHeight="1">
      <c r="A487" s="12"/>
      <c r="B487" s="13" t="str">
        <f>'Giá tháng'!B45</f>
        <v>A24.0797A</v>
      </c>
      <c r="C487" s="14" t="str">
        <f>'Giá tháng'!C45</f>
        <v>Xi măng PCB30</v>
      </c>
      <c r="D487" s="13" t="str">
        <f>'Giá tháng'!D45</f>
        <v>kg</v>
      </c>
      <c r="E487" s="89"/>
      <c r="F487" s="80">
        <v>369</v>
      </c>
      <c r="G487" s="80"/>
      <c r="H487" s="80"/>
      <c r="I487" s="81">
        <f>'Giá tháng'!G45</f>
        <v>1</v>
      </c>
      <c r="J487" s="89">
        <f>ROUND(IF(E$116=0,E485*F487*I487,E$116*E485*F487*I487),4)</f>
        <v>47.97</v>
      </c>
      <c r="K487" s="89"/>
      <c r="L487" s="89"/>
      <c r="Q487" s="34">
        <f>'Cước VC'!AU43</f>
        <v>0</v>
      </c>
      <c r="R487" s="34">
        <f>'Cước bộ'!W43</f>
        <v>0</v>
      </c>
      <c r="S487" s="34">
        <v>1043</v>
      </c>
    </row>
    <row r="488" spans="1:19" ht="16.5" customHeight="1">
      <c r="A488" s="12"/>
      <c r="B488" s="13" t="str">
        <f>'Giá tháng'!B10</f>
        <v>A24.0180</v>
      </c>
      <c r="C488" s="14" t="str">
        <f>'Giá tháng'!C10</f>
        <v>Cát vàng</v>
      </c>
      <c r="D488" s="13" t="str">
        <f>'Giá tháng'!D10</f>
        <v>m3</v>
      </c>
      <c r="E488" s="89"/>
      <c r="F488" s="80">
        <v>0.517625</v>
      </c>
      <c r="G488" s="80"/>
      <c r="H488" s="80"/>
      <c r="I488" s="81">
        <f>'Giá tháng'!G10</f>
        <v>1</v>
      </c>
      <c r="J488" s="89">
        <f>ROUND(IF(E$116=0,E485*F488*I488,E$116*E485*F488*I488),4)</f>
        <v>6.7299999999999999E-2</v>
      </c>
      <c r="K488" s="89"/>
      <c r="L488" s="89"/>
      <c r="Q488" s="34">
        <f>'Cước VC'!AU10</f>
        <v>0</v>
      </c>
      <c r="R488" s="34">
        <f>'Cước bộ'!W10</f>
        <v>0</v>
      </c>
      <c r="S488" s="34">
        <v>109</v>
      </c>
    </row>
    <row r="489" spans="1:19" ht="16.5" customHeight="1">
      <c r="A489" s="12"/>
      <c r="B489" s="13" t="str">
        <f>'Giá tháng'!B15</f>
        <v>A24.0008</v>
      </c>
      <c r="C489" s="14" t="str">
        <f>'Giá tháng'!C15</f>
        <v>Đá 1x2</v>
      </c>
      <c r="D489" s="13" t="str">
        <f>'Giá tháng'!D15</f>
        <v>m3</v>
      </c>
      <c r="E489" s="89"/>
      <c r="F489" s="80">
        <v>0.8528</v>
      </c>
      <c r="G489" s="80"/>
      <c r="H489" s="80"/>
      <c r="I489" s="81">
        <f>'Giá tháng'!G15</f>
        <v>1</v>
      </c>
      <c r="J489" s="89">
        <f>ROUND(IF(E$116=0,E485*F489*I489,E$116*E485*F489*I489),4)</f>
        <v>0.1109</v>
      </c>
      <c r="K489" s="89"/>
      <c r="L489" s="89"/>
      <c r="Q489" s="34">
        <f>'Cước VC'!AU15</f>
        <v>0</v>
      </c>
      <c r="R489" s="34">
        <f>'Cước bộ'!W15</f>
        <v>0</v>
      </c>
      <c r="S489" s="34">
        <v>1014</v>
      </c>
    </row>
    <row r="490" spans="1:19" ht="16.5" customHeight="1">
      <c r="A490" s="12"/>
      <c r="B490" s="13" t="str">
        <f>'Giá tháng'!B32</f>
        <v>A24.0524</v>
      </c>
      <c r="C490" s="14" t="str">
        <f>'Giá tháng'!C32</f>
        <v>Nước</v>
      </c>
      <c r="D490" s="13" t="str">
        <f>'Giá tháng'!D32</f>
        <v>lít</v>
      </c>
      <c r="E490" s="89"/>
      <c r="F490" s="80">
        <v>187.57499999999999</v>
      </c>
      <c r="G490" s="80"/>
      <c r="H490" s="80"/>
      <c r="I490" s="81">
        <f>'Giá tháng'!G32</f>
        <v>1</v>
      </c>
      <c r="J490" s="89">
        <f>ROUND(IF(E$116=0,E485*F490*I490,E$116*E485*F490*I490),4)</f>
        <v>24.384799999999998</v>
      </c>
      <c r="K490" s="89"/>
      <c r="L490" s="89"/>
      <c r="Q490" s="34">
        <f>'Cước VC'!AU31</f>
        <v>0</v>
      </c>
      <c r="R490" s="34">
        <f>'Cước bộ'!W31</f>
        <v>0</v>
      </c>
      <c r="S490" s="34">
        <v>1031</v>
      </c>
    </row>
    <row r="491" spans="1:19" ht="16.5" customHeight="1">
      <c r="A491" s="12"/>
      <c r="B491" s="13" t="s">
        <v>684</v>
      </c>
      <c r="C491" s="14" t="s">
        <v>685</v>
      </c>
      <c r="D491" s="13" t="s">
        <v>682</v>
      </c>
      <c r="E491" s="89"/>
      <c r="F491" s="80">
        <v>1</v>
      </c>
      <c r="G491" s="80"/>
      <c r="H491" s="80"/>
      <c r="I491" s="81"/>
      <c r="J491" s="89"/>
      <c r="K491" s="89"/>
      <c r="L491" s="89"/>
      <c r="M491" s="34">
        <f>ROUND(IF(E$116=0,E485*F491*(F487*'Giá tháng'!E45*'Giá tháng'!G45+F488*'Giá tháng'!E10*'Giá tháng'!G10+F489*'Giá tháng'!E15*'Giá tháng'!G15+F490*'Giá tháng'!E32*'Giá tháng'!G32)/100,E$116*E485*F491*(F487*'Giá tháng'!E45*'Giá tháng'!G45+F488*'Giá tháng'!E10*'Giá tháng'!G10+F489*'Giá tháng'!E15*'Giá tháng'!G15+F490*'Giá tháng'!E32*'Giá tháng'!G32)/100),1)</f>
        <v>1322.5</v>
      </c>
      <c r="O491" s="34">
        <f>ROUND(IF(E$116=0,E485*F491*(F487*('Giá tháng'!F45+Q487+R487)*'Giá tháng'!G45+F488*('Giá tháng'!F10+Q488+R488)*'Giá tháng'!G10+F489*('Giá tháng'!F15+Q489+R489)*'Giá tháng'!G15+F490*('Giá tháng'!F32+Q490+R490)*'Giá tháng'!G32)/100,E$116*E485*F491*(F487*('Giá tháng'!F45+Q487+R487)*'Giá tháng'!G45+F488*('Giá tháng'!F10+Q488+R488)*'Giá tháng'!G10+F489*('Giá tháng'!F15+Q489+R489)*'Giá tháng'!G15+F490*('Giá tháng'!F32+Q490+R490)*'Giá tháng'!G32)/100),1)</f>
        <v>1415.2</v>
      </c>
    </row>
    <row r="492" spans="1:19" ht="16.5" customHeight="1">
      <c r="A492" s="12"/>
      <c r="B492" s="13"/>
      <c r="C492" s="90" t="s">
        <v>678</v>
      </c>
      <c r="D492" s="91"/>
      <c r="E492" s="92"/>
      <c r="F492" s="93"/>
      <c r="G492" s="93"/>
      <c r="H492" s="93"/>
      <c r="I492" s="94"/>
      <c r="J492" s="92"/>
      <c r="K492" s="92"/>
      <c r="L492" s="92"/>
    </row>
    <row r="493" spans="1:19" ht="16.5" customHeight="1">
      <c r="A493" s="12"/>
      <c r="B493" s="13" t="str">
        <f>'Giá tháng'!B49</f>
        <v>N2.30</v>
      </c>
      <c r="C493" s="14" t="str">
        <f>'Giá tháng'!C49</f>
        <v>Nhân công 3,0/7 - Nhóm 2</v>
      </c>
      <c r="D493" s="13" t="str">
        <f>'Giá tháng'!D49</f>
        <v>công</v>
      </c>
      <c r="E493" s="89"/>
      <c r="F493" s="80"/>
      <c r="G493" s="80">
        <v>2.67</v>
      </c>
      <c r="H493" s="80"/>
      <c r="I493" s="81">
        <f>'Giá tháng'!G49</f>
        <v>1</v>
      </c>
      <c r="J493" s="89"/>
      <c r="K493" s="89">
        <f>ROUND(IF(E$116=0,E485*G493*I493,E$116*E485*G493*I493),4)</f>
        <v>0.34710000000000002</v>
      </c>
      <c r="L493" s="89"/>
      <c r="S493" s="34">
        <v>203</v>
      </c>
    </row>
    <row r="494" spans="1:19" ht="16.5" customHeight="1">
      <c r="A494" s="12"/>
      <c r="B494" s="13"/>
      <c r="C494" s="90" t="s">
        <v>679</v>
      </c>
      <c r="D494" s="91"/>
      <c r="E494" s="92"/>
      <c r="F494" s="93"/>
      <c r="G494" s="93"/>
      <c r="H494" s="93"/>
      <c r="I494" s="94"/>
      <c r="J494" s="92"/>
      <c r="K494" s="92"/>
      <c r="L494" s="92"/>
    </row>
    <row r="495" spans="1:19" ht="28.5" customHeight="1">
      <c r="A495" s="12"/>
      <c r="B495" s="13" t="str">
        <f>'Giá tháng'!B74</f>
        <v>M104.0102</v>
      </c>
      <c r="C495" s="14" t="str">
        <f>'Giá tháng'!C74</f>
        <v>Máy trộn bê tông - dung tích : 250,0 lít</v>
      </c>
      <c r="D495" s="13" t="str">
        <f>'Giá tháng'!D74</f>
        <v>ca</v>
      </c>
      <c r="E495" s="89"/>
      <c r="F495" s="80"/>
      <c r="G495" s="80"/>
      <c r="H495" s="80">
        <v>9.5000000000000001E-2</v>
      </c>
      <c r="I495" s="81">
        <f>'Giá tháng'!G74</f>
        <v>1</v>
      </c>
      <c r="J495" s="89"/>
      <c r="K495" s="89"/>
      <c r="L495" s="89">
        <f>ROUND(IF(E$116=0,E485*H495*I495,E$116*E485*H495*I495),4)</f>
        <v>1.24E-2</v>
      </c>
      <c r="S495" s="34">
        <v>3020</v>
      </c>
    </row>
    <row r="496" spans="1:19" ht="28.5" customHeight="1">
      <c r="A496" s="12"/>
      <c r="B496" s="13" t="str">
        <f>'Giá tháng'!B62</f>
        <v>M112.1301</v>
      </c>
      <c r="C496" s="14" t="str">
        <f>'Giá tháng'!C62</f>
        <v>Máy đầm bê tông, dầm dùi - công suất : 1,5 kW</v>
      </c>
      <c r="D496" s="13" t="str">
        <f>'Giá tháng'!D62</f>
        <v>ca</v>
      </c>
      <c r="E496" s="89"/>
      <c r="F496" s="80"/>
      <c r="G496" s="80"/>
      <c r="H496" s="80">
        <v>0.18</v>
      </c>
      <c r="I496" s="81">
        <f>'Giá tháng'!G62</f>
        <v>1</v>
      </c>
      <c r="J496" s="89"/>
      <c r="K496" s="89"/>
      <c r="L496" s="89">
        <f>ROUND(IF(E$116=0,E485*H496*I496,E$116*E485*H496*I496),4)</f>
        <v>2.3400000000000001E-2</v>
      </c>
      <c r="S496" s="34">
        <v>308</v>
      </c>
    </row>
    <row r="497" spans="1:19" ht="28.5" customHeight="1">
      <c r="A497" s="12">
        <f>'Công trình'!A162</f>
        <v>53</v>
      </c>
      <c r="B497" s="13" t="str">
        <f>'Công trình'!E162</f>
        <v>AF.61511</v>
      </c>
      <c r="C497" s="14" t="str">
        <f>'Công trình'!F162</f>
        <v>Công tác gia công lắp dựng cốt thép. Cốt thép cổ tường</v>
      </c>
      <c r="D497" s="13" t="str">
        <f>'Công trình'!G162</f>
        <v>tấn</v>
      </c>
      <c r="E497" s="89">
        <f>ROUND('Công trình'!P162,4)</f>
        <v>3.0999999999999999E-3</v>
      </c>
      <c r="F497" s="80"/>
      <c r="G497" s="80"/>
      <c r="H497" s="80"/>
      <c r="I497" s="81"/>
      <c r="J497" s="89"/>
      <c r="K497" s="89"/>
      <c r="L497" s="89"/>
    </row>
    <row r="498" spans="1:19" ht="16.5" customHeight="1">
      <c r="A498" s="12"/>
      <c r="B498" s="13"/>
      <c r="C498" s="90" t="s">
        <v>683</v>
      </c>
      <c r="D498" s="91"/>
      <c r="E498" s="92"/>
      <c r="F498" s="93"/>
      <c r="G498" s="93"/>
      <c r="H498" s="93"/>
      <c r="I498" s="94"/>
      <c r="J498" s="92"/>
      <c r="K498" s="92"/>
      <c r="L498" s="92"/>
    </row>
    <row r="499" spans="1:19" ht="16.5" customHeight="1">
      <c r="A499" s="12"/>
      <c r="B499" s="13" t="str">
        <f>'Giá tháng'!B42</f>
        <v>A24.0738</v>
      </c>
      <c r="C499" s="14" t="str">
        <f>'Giá tháng'!C42</f>
        <v>Thép tròn D&lt;=10mm</v>
      </c>
      <c r="D499" s="13" t="str">
        <f>'Giá tháng'!D42</f>
        <v>kg</v>
      </c>
      <c r="E499" s="89"/>
      <c r="F499" s="80">
        <v>1005</v>
      </c>
      <c r="G499" s="80"/>
      <c r="H499" s="80"/>
      <c r="I499" s="81">
        <f>'Giá tháng'!G42</f>
        <v>1</v>
      </c>
      <c r="J499" s="89">
        <f>ROUND(IF(E$116=0,E497*F499*I499,E$116*E497*F499*I499),4)</f>
        <v>3.1154999999999999</v>
      </c>
      <c r="K499" s="89"/>
      <c r="L499" s="89"/>
      <c r="S499" s="34">
        <v>1041</v>
      </c>
    </row>
    <row r="500" spans="1:19" ht="16.5" customHeight="1">
      <c r="A500" s="12"/>
      <c r="B500" s="13" t="str">
        <f>'Giá tháng'!B14</f>
        <v>A24.0293</v>
      </c>
      <c r="C500" s="14" t="str">
        <f>'Giá tháng'!C14</f>
        <v>Dây thép</v>
      </c>
      <c r="D500" s="13" t="str">
        <f>'Giá tháng'!D14</f>
        <v>kg</v>
      </c>
      <c r="E500" s="89"/>
      <c r="F500" s="80">
        <v>16.07</v>
      </c>
      <c r="G500" s="80"/>
      <c r="H500" s="80"/>
      <c r="I500" s="81">
        <f>'Giá tháng'!G14</f>
        <v>1</v>
      </c>
      <c r="J500" s="89">
        <f>ROUND(IF(E$116=0,E497*F500*I500,E$116*E497*F500*I500),4)</f>
        <v>4.9799999999999997E-2</v>
      </c>
      <c r="K500" s="89"/>
      <c r="L500" s="89"/>
      <c r="S500" s="34">
        <v>1013</v>
      </c>
    </row>
    <row r="501" spans="1:19" ht="16.5" customHeight="1">
      <c r="A501" s="12"/>
      <c r="B501" s="13"/>
      <c r="C501" s="90" t="s">
        <v>678</v>
      </c>
      <c r="D501" s="91"/>
      <c r="E501" s="92"/>
      <c r="F501" s="93"/>
      <c r="G501" s="93"/>
      <c r="H501" s="93"/>
      <c r="I501" s="94"/>
      <c r="J501" s="92"/>
      <c r="K501" s="92"/>
      <c r="L501" s="92"/>
    </row>
    <row r="502" spans="1:19" ht="16.5" customHeight="1">
      <c r="A502" s="12"/>
      <c r="B502" s="13" t="str">
        <f>'Giá tháng'!B51</f>
        <v>N2.35</v>
      </c>
      <c r="C502" s="14" t="str">
        <f>'Giá tháng'!C51</f>
        <v>Nhân công 3,5/7 - Nhóm 2</v>
      </c>
      <c r="D502" s="13" t="str">
        <f>'Giá tháng'!D51</f>
        <v>công</v>
      </c>
      <c r="E502" s="89"/>
      <c r="F502" s="80"/>
      <c r="G502" s="80">
        <v>15.39</v>
      </c>
      <c r="H502" s="80"/>
      <c r="I502" s="81">
        <f>'Giá tháng'!G51</f>
        <v>1</v>
      </c>
      <c r="J502" s="89"/>
      <c r="K502" s="89">
        <f>ROUND(IF(E$116=0,E497*G502*I502,E$116*E497*G502*I502),4)</f>
        <v>4.7699999999999999E-2</v>
      </c>
      <c r="L502" s="89"/>
      <c r="S502" s="34">
        <v>205</v>
      </c>
    </row>
    <row r="503" spans="1:19" ht="16.5" customHeight="1">
      <c r="A503" s="12"/>
      <c r="B503" s="13"/>
      <c r="C503" s="90" t="s">
        <v>679</v>
      </c>
      <c r="D503" s="91"/>
      <c r="E503" s="92"/>
      <c r="F503" s="93"/>
      <c r="G503" s="93"/>
      <c r="H503" s="93"/>
      <c r="I503" s="94"/>
      <c r="J503" s="92"/>
      <c r="K503" s="92"/>
      <c r="L503" s="92"/>
    </row>
    <row r="504" spans="1:19" ht="28.5" customHeight="1">
      <c r="A504" s="12"/>
      <c r="B504" s="13" t="str">
        <f>'Giá tháng'!B56</f>
        <v>M112.2601</v>
      </c>
      <c r="C504" s="14" t="str">
        <f>'Giá tháng'!C56</f>
        <v>Máy cắt uốn cốt thép - công suất : 5,0 kW</v>
      </c>
      <c r="D504" s="13" t="str">
        <f>'Giá tháng'!D56</f>
        <v>ca</v>
      </c>
      <c r="E504" s="89"/>
      <c r="F504" s="80"/>
      <c r="G504" s="80"/>
      <c r="H504" s="80">
        <v>0.4</v>
      </c>
      <c r="I504" s="81">
        <f>'Giá tháng'!G56</f>
        <v>1</v>
      </c>
      <c r="J504" s="89"/>
      <c r="K504" s="89"/>
      <c r="L504" s="89">
        <f>ROUND(IF(E$116=0,E497*H504*I504,E$116*E497*H504*I504),4)</f>
        <v>1.1999999999999999E-3</v>
      </c>
      <c r="S504" s="34">
        <v>302</v>
      </c>
    </row>
    <row r="505" spans="1:19" ht="54" customHeight="1">
      <c r="A505" s="12">
        <f>'Công trình'!A164</f>
        <v>54</v>
      </c>
      <c r="B505" s="13" t="str">
        <f>'Công trình'!E164</f>
        <v>AF.61521</v>
      </c>
      <c r="C505" s="14" t="str">
        <f>'Công trình'!F164</f>
        <v>Công tác gia công lắp dựng cốt thép. Cốt thép xà dầm, giằng, đường kính cốt thép &lt;= 18mm, chiều cao &lt;= 6m</v>
      </c>
      <c r="D505" s="13" t="str">
        <f>'Công trình'!G164</f>
        <v>tấn</v>
      </c>
      <c r="E505" s="89">
        <f>ROUND('Công trình'!P164,4)</f>
        <v>1.26E-2</v>
      </c>
      <c r="F505" s="80"/>
      <c r="G505" s="80"/>
      <c r="H505" s="80"/>
      <c r="I505" s="81"/>
      <c r="J505" s="89"/>
      <c r="K505" s="89"/>
      <c r="L505" s="89"/>
    </row>
    <row r="506" spans="1:19" ht="16.5" customHeight="1">
      <c r="A506" s="12"/>
      <c r="B506" s="13"/>
      <c r="C506" s="90" t="s">
        <v>683</v>
      </c>
      <c r="D506" s="91"/>
      <c r="E506" s="92"/>
      <c r="F506" s="93"/>
      <c r="G506" s="93"/>
      <c r="H506" s="93"/>
      <c r="I506" s="94"/>
      <c r="J506" s="92"/>
      <c r="K506" s="92"/>
      <c r="L506" s="92"/>
    </row>
    <row r="507" spans="1:19" ht="16.5" customHeight="1">
      <c r="A507" s="12"/>
      <c r="B507" s="13" t="str">
        <f>'Giá tháng'!B43</f>
        <v>A24.0739</v>
      </c>
      <c r="C507" s="14" t="str">
        <f>'Giá tháng'!C43</f>
        <v>Thép tròn D&lt;=18mm</v>
      </c>
      <c r="D507" s="13" t="str">
        <f>'Giá tháng'!D43</f>
        <v>kg</v>
      </c>
      <c r="E507" s="89"/>
      <c r="F507" s="80">
        <v>1020</v>
      </c>
      <c r="G507" s="80"/>
      <c r="H507" s="80"/>
      <c r="I507" s="81">
        <f>'Giá tháng'!G43</f>
        <v>1</v>
      </c>
      <c r="J507" s="89">
        <f>ROUND(IF(E$116=0,E505*F507*I507,E$116*E505*F507*I507),4)</f>
        <v>12.852</v>
      </c>
      <c r="K507" s="89"/>
      <c r="L507" s="89"/>
      <c r="S507" s="34">
        <v>1042</v>
      </c>
    </row>
    <row r="508" spans="1:19" ht="16.5" customHeight="1">
      <c r="A508" s="12"/>
      <c r="B508" s="13" t="str">
        <f>'Giá tháng'!B14</f>
        <v>A24.0293</v>
      </c>
      <c r="C508" s="14" t="str">
        <f>'Giá tháng'!C14</f>
        <v>Dây thép</v>
      </c>
      <c r="D508" s="13" t="str">
        <f>'Giá tháng'!D14</f>
        <v>kg</v>
      </c>
      <c r="E508" s="89"/>
      <c r="F508" s="80">
        <v>9.2799999999999994</v>
      </c>
      <c r="G508" s="80"/>
      <c r="H508" s="80"/>
      <c r="I508" s="81">
        <f>'Giá tháng'!G14</f>
        <v>1</v>
      </c>
      <c r="J508" s="89">
        <f>ROUND(IF(E$116=0,E505*F508*I508,E$116*E505*F508*I508),4)</f>
        <v>0.1169</v>
      </c>
      <c r="K508" s="89"/>
      <c r="L508" s="89"/>
      <c r="S508" s="34">
        <v>1013</v>
      </c>
    </row>
    <row r="509" spans="1:19" ht="16.5" customHeight="1">
      <c r="A509" s="12"/>
      <c r="B509" s="13" t="str">
        <f>'Giá tháng'!B37</f>
        <v>A24.0543</v>
      </c>
      <c r="C509" s="14" t="str">
        <f>'Giá tháng'!C37</f>
        <v>Que hàn</v>
      </c>
      <c r="D509" s="13" t="str">
        <f>'Giá tháng'!D37</f>
        <v>kg</v>
      </c>
      <c r="E509" s="89"/>
      <c r="F509" s="80">
        <v>4.7</v>
      </c>
      <c r="G509" s="80"/>
      <c r="H509" s="80"/>
      <c r="I509" s="81">
        <f>'Giá tháng'!G37</f>
        <v>1</v>
      </c>
      <c r="J509" s="89">
        <f>ROUND(IF(E$116=0,E505*F509*I509,E$116*E505*F509*I509),4)</f>
        <v>5.9200000000000003E-2</v>
      </c>
      <c r="K509" s="89"/>
      <c r="L509" s="89"/>
      <c r="S509" s="34">
        <v>1036</v>
      </c>
    </row>
    <row r="510" spans="1:19" ht="16.5" customHeight="1">
      <c r="A510" s="12"/>
      <c r="B510" s="13"/>
      <c r="C510" s="90" t="s">
        <v>678</v>
      </c>
      <c r="D510" s="91"/>
      <c r="E510" s="92"/>
      <c r="F510" s="93"/>
      <c r="G510" s="93"/>
      <c r="H510" s="93"/>
      <c r="I510" s="94"/>
      <c r="J510" s="92"/>
      <c r="K510" s="92"/>
      <c r="L510" s="92"/>
    </row>
    <row r="511" spans="1:19" ht="16.5" customHeight="1">
      <c r="A511" s="12"/>
      <c r="B511" s="13" t="str">
        <f>'Giá tháng'!B51</f>
        <v>N2.35</v>
      </c>
      <c r="C511" s="14" t="str">
        <f>'Giá tháng'!C51</f>
        <v>Nhân công 3,5/7 - Nhóm 2</v>
      </c>
      <c r="D511" s="13" t="str">
        <f>'Giá tháng'!D51</f>
        <v>công</v>
      </c>
      <c r="E511" s="89"/>
      <c r="F511" s="80"/>
      <c r="G511" s="80">
        <v>9.24</v>
      </c>
      <c r="H511" s="80"/>
      <c r="I511" s="81">
        <f>'Giá tháng'!G51</f>
        <v>1</v>
      </c>
      <c r="J511" s="89"/>
      <c r="K511" s="89">
        <f>ROUND(IF(E$116=0,E505*G511*I511,E$116*E505*G511*I511),4)</f>
        <v>0.1164</v>
      </c>
      <c r="L511" s="89"/>
      <c r="S511" s="34">
        <v>205</v>
      </c>
    </row>
    <row r="512" spans="1:19" ht="16.5" customHeight="1">
      <c r="A512" s="12"/>
      <c r="B512" s="13"/>
      <c r="C512" s="90" t="s">
        <v>679</v>
      </c>
      <c r="D512" s="91"/>
      <c r="E512" s="92"/>
      <c r="F512" s="93"/>
      <c r="G512" s="93"/>
      <c r="H512" s="93"/>
      <c r="I512" s="94"/>
      <c r="J512" s="92"/>
      <c r="K512" s="92"/>
      <c r="L512" s="92"/>
    </row>
    <row r="513" spans="1:19" ht="28.5" customHeight="1">
      <c r="A513" s="12"/>
      <c r="B513" s="13" t="str">
        <f>'Giá tháng'!B64</f>
        <v>M112.4003</v>
      </c>
      <c r="C513" s="14" t="str">
        <f>'Giá tháng'!C64</f>
        <v>Máy hàn xoay chiều - công suất : 23,0 kW</v>
      </c>
      <c r="D513" s="13" t="str">
        <f>'Giá tháng'!D64</f>
        <v>ca</v>
      </c>
      <c r="E513" s="89"/>
      <c r="F513" s="80"/>
      <c r="G513" s="80"/>
      <c r="H513" s="80">
        <v>1.133</v>
      </c>
      <c r="I513" s="81">
        <f>'Giá tháng'!G64</f>
        <v>1</v>
      </c>
      <c r="J513" s="89"/>
      <c r="K513" s="89"/>
      <c r="L513" s="89">
        <f>ROUND(IF(E$116=0,E505*H513*I513,E$116*E505*H513*I513),4)</f>
        <v>1.43E-2</v>
      </c>
      <c r="S513" s="34">
        <v>3010</v>
      </c>
    </row>
    <row r="514" spans="1:19" ht="28.5" customHeight="1">
      <c r="A514" s="12"/>
      <c r="B514" s="13" t="str">
        <f>'Giá tháng'!B56</f>
        <v>M112.2601</v>
      </c>
      <c r="C514" s="14" t="str">
        <f>'Giá tháng'!C56</f>
        <v>Máy cắt uốn cốt thép - công suất : 5,0 kW</v>
      </c>
      <c r="D514" s="13" t="str">
        <f>'Giá tháng'!D56</f>
        <v>ca</v>
      </c>
      <c r="E514" s="89"/>
      <c r="F514" s="80"/>
      <c r="G514" s="80"/>
      <c r="H514" s="80">
        <v>0.32</v>
      </c>
      <c r="I514" s="81">
        <f>'Giá tháng'!G56</f>
        <v>1</v>
      </c>
      <c r="J514" s="89"/>
      <c r="K514" s="89"/>
      <c r="L514" s="89">
        <f>ROUND(IF(E$116=0,E505*H514*I514,E$116*E505*H514*I514),4)</f>
        <v>4.0000000000000001E-3</v>
      </c>
      <c r="S514" s="34">
        <v>302</v>
      </c>
    </row>
    <row r="515" spans="1:19" ht="41.25" customHeight="1">
      <c r="A515" s="12">
        <f>'Công trình'!A166</f>
        <v>55</v>
      </c>
      <c r="B515" s="13" t="str">
        <f>'Công trình'!E166</f>
        <v>AB.41412</v>
      </c>
      <c r="C515" s="14" t="str">
        <f>'Công trình'!F166</f>
        <v>Vận chuyển đất cấp II</v>
      </c>
      <c r="D515" s="13" t="str">
        <f>'Công trình'!G166</f>
        <v>100m3</v>
      </c>
      <c r="E515" s="89">
        <f>ROUND('Công trình'!P166,4)</f>
        <v>1.3599999999999999E-2</v>
      </c>
      <c r="F515" s="80"/>
      <c r="G515" s="80"/>
      <c r="H515" s="80"/>
      <c r="I515" s="81"/>
      <c r="J515" s="89"/>
      <c r="K515" s="89"/>
      <c r="L515" s="89"/>
    </row>
    <row r="516" spans="1:19" ht="16.5" customHeight="1">
      <c r="A516" s="12"/>
      <c r="B516" s="13"/>
      <c r="C516" s="90" t="s">
        <v>679</v>
      </c>
      <c r="D516" s="91"/>
      <c r="E516" s="92"/>
      <c r="F516" s="93"/>
      <c r="G516" s="93"/>
      <c r="H516" s="93"/>
      <c r="I516" s="94"/>
      <c r="J516" s="92"/>
      <c r="K516" s="92"/>
      <c r="L516" s="92"/>
    </row>
    <row r="517" spans="1:19" ht="16.5" customHeight="1">
      <c r="A517" s="12"/>
      <c r="B517" s="13" t="str">
        <f>'Giá tháng'!B78</f>
        <v>M106.0202</v>
      </c>
      <c r="C517" s="14" t="str">
        <f>'Giá tháng'!C78</f>
        <v>Ô tô tự đổ - trọng tải : 5,0 T</v>
      </c>
      <c r="D517" s="13" t="str">
        <f>'Giá tháng'!D78</f>
        <v>ca</v>
      </c>
      <c r="E517" s="89"/>
      <c r="F517" s="80"/>
      <c r="G517" s="80"/>
      <c r="H517" s="80">
        <v>1.329</v>
      </c>
      <c r="I517" s="81">
        <f>'Giá tháng'!G78</f>
        <v>1</v>
      </c>
      <c r="J517" s="89"/>
      <c r="K517" s="89"/>
      <c r="L517" s="89">
        <f>ROUND(IF(E$116=0,E515*H517*I517,E$116*E515*H517*I517),4)</f>
        <v>1.8100000000000002E-2</v>
      </c>
      <c r="S517" s="34">
        <v>3024</v>
      </c>
    </row>
    <row r="518" spans="1:19" ht="41.25" customHeight="1">
      <c r="A518" s="12">
        <f>'Công trình'!A168</f>
        <v>56</v>
      </c>
      <c r="B518" s="13" t="str">
        <f>'Công trình'!E168</f>
        <v>AB.42212</v>
      </c>
      <c r="C518" s="14" t="str">
        <f>'Công trình'!F168</f>
        <v>Vận chuyển đất bằng ô tô tự đổ 5T 1km tiếp theo ngoài phạm vi 5km, đất cấp II</v>
      </c>
      <c r="D518" s="13" t="str">
        <f>'Công trình'!G168</f>
        <v>100m3</v>
      </c>
      <c r="E518" s="89">
        <f>ROUND('Công trình'!P168,4)</f>
        <v>1.3599999999999999E-2</v>
      </c>
      <c r="F518" s="80"/>
      <c r="G518" s="80"/>
      <c r="H518" s="80"/>
      <c r="I518" s="81"/>
      <c r="J518" s="89"/>
      <c r="K518" s="89"/>
      <c r="L518" s="89"/>
    </row>
    <row r="519" spans="1:19" ht="16.5" customHeight="1">
      <c r="A519" s="12"/>
      <c r="B519" s="13"/>
      <c r="C519" s="90" t="s">
        <v>679</v>
      </c>
      <c r="D519" s="91"/>
      <c r="E519" s="92"/>
      <c r="F519" s="93"/>
      <c r="G519" s="93"/>
      <c r="H519" s="93"/>
      <c r="I519" s="94"/>
      <c r="J519" s="92"/>
      <c r="K519" s="92"/>
      <c r="L519" s="92"/>
    </row>
    <row r="520" spans="1:19" ht="16.5" customHeight="1">
      <c r="A520" s="12"/>
      <c r="B520" s="13" t="str">
        <f>'Giá tháng'!B79</f>
        <v>M106.0202</v>
      </c>
      <c r="C520" s="14" t="str">
        <f>'Giá tháng'!C79</f>
        <v>Ô tô tự đổ - trọng tải : 5,0 T</v>
      </c>
      <c r="D520" s="13" t="str">
        <f>'Giá tháng'!D79</f>
        <v>ca</v>
      </c>
      <c r="E520" s="89"/>
      <c r="F520" s="80"/>
      <c r="G520" s="80"/>
      <c r="H520" s="80">
        <v>0.51</v>
      </c>
      <c r="I520" s="81">
        <f>'Giá tháng'!G79</f>
        <v>4</v>
      </c>
      <c r="J520" s="89"/>
      <c r="K520" s="89"/>
      <c r="L520" s="89">
        <f>ROUND(IF(E$116=0,E518*H520*I520,E$116*E518*H520*I520),4)</f>
        <v>2.7699999999999999E-2</v>
      </c>
      <c r="S520" s="34">
        <v>3024</v>
      </c>
    </row>
    <row r="521" spans="1:19" ht="28.5" customHeight="1">
      <c r="A521" s="23"/>
      <c r="B521" s="24"/>
      <c r="C521" s="95" t="str">
        <f>"KẾT THÚC : "&amp;C116</f>
        <v>KẾT THÚC : HỆ THỐNG THOÁT NƯỚC</v>
      </c>
      <c r="D521" s="24"/>
      <c r="E521" s="96"/>
      <c r="F521" s="84"/>
      <c r="G521" s="84"/>
      <c r="H521" s="84"/>
      <c r="I521" s="85"/>
      <c r="J521" s="96"/>
      <c r="K521" s="96"/>
      <c r="L521" s="96"/>
    </row>
  </sheetData>
  <autoFilter ref="A4:S5">
    <filterColumn colId="5" showButton="0"/>
    <filterColumn colId="6" showButton="0"/>
    <filterColumn colId="9" showButton="0"/>
    <filterColumn colId="10" showButton="0"/>
  </autoFilter>
  <mergeCells count="12">
    <mergeCell ref="M2:P2"/>
    <mergeCell ref="A1:L1"/>
    <mergeCell ref="A2:L2"/>
    <mergeCell ref="A3:L3"/>
    <mergeCell ref="A4:A5"/>
    <mergeCell ref="B4:B5"/>
    <mergeCell ref="C4:C5"/>
    <mergeCell ref="D4:D5"/>
    <mergeCell ref="E4:E5"/>
    <mergeCell ref="F4:H4"/>
    <mergeCell ref="I4:I5"/>
    <mergeCell ref="J4:L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90"/>
  <sheetViews>
    <sheetView workbookViewId="0">
      <selection activeCell="H4" sqref="H4"/>
    </sheetView>
  </sheetViews>
  <sheetFormatPr defaultColWidth="10" defaultRowHeight="15" customHeight="1"/>
  <cols>
    <col min="1" max="1" width="6.5" customWidth="1"/>
    <col min="2" max="2" width="12.5" customWidth="1"/>
    <col min="3" max="3" width="48.33203125" customWidth="1"/>
    <col min="4" max="4" width="11.6640625" customWidth="1"/>
    <col min="5" max="6" width="15" customWidth="1"/>
    <col min="7" max="9" width="15" hidden="1" customWidth="1"/>
    <col min="10" max="10" width="9.1640625" customWidth="1"/>
    <col min="11" max="11" width="15.83203125" hidden="1" customWidth="1"/>
    <col min="12" max="14" width="15" hidden="1" customWidth="1"/>
    <col min="15" max="15" width="15" customWidth="1"/>
    <col min="16" max="16" width="15" hidden="1" customWidth="1"/>
    <col min="17" max="18" width="15" customWidth="1"/>
    <col min="19" max="20" width="10" hidden="1" customWidth="1"/>
  </cols>
  <sheetData>
    <row r="1" spans="1:20" ht="26.25" customHeight="1">
      <c r="A1" s="981" t="s">
        <v>687</v>
      </c>
      <c r="B1" s="982"/>
      <c r="C1" s="982"/>
      <c r="D1" s="982"/>
      <c r="E1" s="982"/>
      <c r="F1" s="982"/>
      <c r="G1" s="982"/>
      <c r="H1" s="982"/>
      <c r="I1" s="982"/>
      <c r="J1" s="982"/>
      <c r="K1" s="982"/>
      <c r="L1" s="982"/>
      <c r="M1" s="982"/>
      <c r="N1" s="982"/>
      <c r="O1" s="982"/>
      <c r="P1" s="982"/>
      <c r="Q1" s="982"/>
      <c r="R1" s="982"/>
    </row>
    <row r="2" spans="1:20" ht="30" customHeight="1">
      <c r="A2" s="983" t="str">
        <f>'Công trình'!A2</f>
        <v>CÔNG TRÌNH : SỬA CHỮA TUYẾN ĐƯỜNG TỪ NHÀ BÀ TRƯỜNG, TỔ 5 PHƯỜNG VẠN HƯƠNG ĐẾN NHÀ BÀ KIM, TỔ DÂN PHỐ BẮC HẢI PHƯỜNG BÀNG LA</v>
      </c>
      <c r="B2" s="982"/>
      <c r="C2" s="982"/>
      <c r="D2" s="982"/>
      <c r="E2" s="982"/>
      <c r="F2" s="982"/>
      <c r="G2" s="982"/>
      <c r="H2" s="982"/>
      <c r="I2" s="982"/>
      <c r="J2" s="982"/>
      <c r="K2" s="982"/>
      <c r="L2" s="982"/>
      <c r="M2" s="982"/>
      <c r="N2" s="982"/>
      <c r="O2" s="982"/>
      <c r="P2" s="982"/>
      <c r="Q2" s="982"/>
      <c r="R2" s="982"/>
    </row>
    <row r="3" spans="1:20" ht="37.5" hidden="1" customHeight="1">
      <c r="A3" s="1007" t="str">
        <f>'Công trình'!F6</f>
        <v>SỬA CHỮA NỀN MẶT ĐƯỜNG, HỆ THỐNG THOÁT NƯỚC</v>
      </c>
      <c r="B3" s="982"/>
      <c r="C3" s="982"/>
      <c r="D3" s="982"/>
      <c r="E3" s="982"/>
      <c r="F3" s="982"/>
      <c r="G3" s="982"/>
      <c r="H3" s="982"/>
      <c r="I3" s="982"/>
      <c r="J3" s="982"/>
      <c r="K3" s="982"/>
      <c r="L3" s="982"/>
      <c r="M3" s="982"/>
      <c r="N3" s="982"/>
      <c r="O3" s="982"/>
      <c r="P3" s="982"/>
      <c r="Q3" s="982"/>
      <c r="R3" s="982"/>
    </row>
    <row r="4" spans="1:20" ht="45" customHeight="1">
      <c r="A4" s="4" t="s">
        <v>4</v>
      </c>
      <c r="B4" s="1" t="s">
        <v>357</v>
      </c>
      <c r="C4" s="1" t="s">
        <v>358</v>
      </c>
      <c r="D4" s="1" t="s">
        <v>359</v>
      </c>
      <c r="E4" s="1" t="s">
        <v>17</v>
      </c>
      <c r="F4" s="1" t="str">
        <f>"Giá gốc_x000D_
"&amp;'Công trình'!AL1</f>
        <v>Giá gốc_x000D_
(đ)</v>
      </c>
      <c r="G4" s="1" t="str">
        <f>"Thành tiền_x000D_
"&amp;'Công trình'!AL1</f>
        <v>Thành tiền_x000D_
(đ)</v>
      </c>
      <c r="H4" s="1" t="str">
        <f>"Giá T.B_x000D_
"&amp;'Công trình'!AL1</f>
        <v>Giá T.B_x000D_
(đ)</v>
      </c>
      <c r="I4" s="1" t="str">
        <f>"Thành tiền_x000D_
"&amp;'Công trình'!AL1</f>
        <v>Thành tiền_x000D_
(đ)</v>
      </c>
      <c r="J4" s="1" t="s">
        <v>360</v>
      </c>
      <c r="K4" s="1" t="str">
        <f>"Giá T.B x H.S_x000D_
"&amp;'Công trình'!AL1</f>
        <v>Giá T.B x H.S_x000D_
(đ)</v>
      </c>
      <c r="L4" s="1" t="str">
        <f>"Thành tiền_x000D_
"&amp;'Công trình'!AL1</f>
        <v>Thành tiền_x000D_
(đ)</v>
      </c>
      <c r="M4" s="1" t="str">
        <f>"Cước V.C_x000D_
Bù NL, lương_x000D_
"&amp;'Công trình'!AL1</f>
        <v>Cước V.C_x000D_
Bù NL, lương_x000D_
(đ)</v>
      </c>
      <c r="N4" s="1" t="str">
        <f>"Thành tiền_x000D_
"&amp;'Công trình'!AL1</f>
        <v>Thành tiền_x000D_
(đ)</v>
      </c>
      <c r="O4" s="1" t="str">
        <f>"Giá H.T_x000D_
"&amp;'Công trình'!AL1</f>
        <v>Giá H.T_x000D_
(đ)</v>
      </c>
      <c r="P4" s="1" t="str">
        <f>"Thành tiền_x000D_
"&amp;'Công trình'!AL1</f>
        <v>Thành tiền_x000D_
(đ)</v>
      </c>
      <c r="Q4" s="1" t="str">
        <f>"Chênh lệch_x000D_
"&amp;'Công trình'!AL1</f>
        <v>Chênh lệch_x000D_
(đ)</v>
      </c>
      <c r="R4" s="1" t="str">
        <f>"Tổng chênh_x000D_
"&amp;'Công trình'!AL1</f>
        <v>Tổng chênh_x000D_
(đ)</v>
      </c>
      <c r="S4" t="s">
        <v>688</v>
      </c>
      <c r="T4" t="s">
        <v>671</v>
      </c>
    </row>
    <row r="5" spans="1:20" ht="16.5" customHeight="1">
      <c r="A5" s="5" t="s">
        <v>364</v>
      </c>
      <c r="B5" s="6"/>
      <c r="C5" s="6" t="s">
        <v>365</v>
      </c>
      <c r="D5" s="6"/>
      <c r="E5" s="97"/>
      <c r="F5" s="7"/>
      <c r="G5" s="7"/>
      <c r="H5" s="8"/>
      <c r="I5" s="7"/>
      <c r="J5" s="9"/>
      <c r="K5" s="7"/>
      <c r="L5" s="7"/>
      <c r="M5" s="7"/>
      <c r="N5" s="7"/>
      <c r="O5" s="7"/>
      <c r="P5" s="7"/>
      <c r="Q5" s="7"/>
      <c r="R5" s="7"/>
    </row>
    <row r="6" spans="1:20" ht="16.5" customHeight="1">
      <c r="A6" s="12">
        <v>1</v>
      </c>
      <c r="B6" s="13" t="str">
        <f>'Công trình'!E15</f>
        <v>TT</v>
      </c>
      <c r="C6" s="14" t="str">
        <f>'Công trình'!F15</f>
        <v>Tiền đất núi</v>
      </c>
      <c r="D6" s="13" t="str">
        <f>'Công trình'!G15</f>
        <v>m3</v>
      </c>
      <c r="E6" s="89">
        <f>ROUND(IF('Công trình'!P7=0,'Công trình'!P15,'Công trình'!P7*'Công trình'!P15),4)</f>
        <v>588.2328</v>
      </c>
      <c r="F6" s="15">
        <f>ROUND('Công trình'!Q15+'Công trình'!R15,1)</f>
        <v>190000</v>
      </c>
      <c r="G6" s="15">
        <f t="shared" ref="G6:G50" si="0">ROUND(E6*F6,1)</f>
        <v>111764232</v>
      </c>
      <c r="H6" s="21">
        <f>ROUND('Công trình'!Q15+'Công trình'!R15,1)</f>
        <v>190000</v>
      </c>
      <c r="I6" s="15">
        <f t="shared" ref="I6:I50" si="1">ROUND(E6*H6,1)</f>
        <v>111764232</v>
      </c>
      <c r="J6" s="17">
        <v>1</v>
      </c>
      <c r="K6" s="15">
        <f t="shared" ref="K6:K50" si="2">ROUND(H6*J6,1)</f>
        <v>190000</v>
      </c>
      <c r="L6" s="15">
        <f t="shared" ref="L6:L50" si="3">ROUND(E6*K6,1)</f>
        <v>111764232</v>
      </c>
      <c r="M6" s="15">
        <f t="shared" ref="M6:M50" si="4">S6+T6</f>
        <v>0</v>
      </c>
      <c r="N6" s="15">
        <f t="shared" ref="N6:N50" si="5">ROUND(E6*M6,1)</f>
        <v>0</v>
      </c>
      <c r="O6" s="15">
        <f t="shared" ref="O6:O50" si="6">ROUND(H6+M6,1)</f>
        <v>190000</v>
      </c>
      <c r="P6" s="15">
        <f t="shared" ref="P6:P50" si="7">ROUND(E6*O6,1)</f>
        <v>111764232</v>
      </c>
      <c r="Q6" s="15">
        <f t="shared" ref="Q6:Q50" si="8">ROUND(O6-F6,1)</f>
        <v>0</v>
      </c>
      <c r="R6" s="15">
        <f t="shared" ref="R6:R50" si="9">ROUND(P6-G6,1)</f>
        <v>0</v>
      </c>
    </row>
    <row r="7" spans="1:20" ht="28.5" customHeight="1">
      <c r="A7" s="12">
        <v>2</v>
      </c>
      <c r="B7" s="13" t="str">
        <f>'Công trình'!E101</f>
        <v>TT</v>
      </c>
      <c r="C7" s="14" t="str">
        <f>'Công trình'!F101</f>
        <v>Ghi chắn rác Composite, tải trọng 250KN, KT 880x380</v>
      </c>
      <c r="D7" s="13" t="str">
        <f>'Công trình'!G101</f>
        <v>Cái</v>
      </c>
      <c r="E7" s="89">
        <f>ROUND(IF('Công trình'!P43=0,'Công trình'!P101,'Công trình'!P43*'Công trình'!P101),4)</f>
        <v>15</v>
      </c>
      <c r="F7" s="15">
        <f>ROUND('Công trình'!Q101+'Công trình'!R101,1)</f>
        <v>1850000</v>
      </c>
      <c r="G7" s="15">
        <f t="shared" si="0"/>
        <v>27750000</v>
      </c>
      <c r="H7" s="21">
        <f>ROUND('Công trình'!Q101+'Công trình'!R101,1)</f>
        <v>1850000</v>
      </c>
      <c r="I7" s="15">
        <f t="shared" si="1"/>
        <v>27750000</v>
      </c>
      <c r="J7" s="17">
        <v>1</v>
      </c>
      <c r="K7" s="15">
        <f t="shared" si="2"/>
        <v>1850000</v>
      </c>
      <c r="L7" s="15">
        <f t="shared" si="3"/>
        <v>27750000</v>
      </c>
      <c r="M7" s="15">
        <f t="shared" si="4"/>
        <v>0</v>
      </c>
      <c r="N7" s="15">
        <f t="shared" si="5"/>
        <v>0</v>
      </c>
      <c r="O7" s="15">
        <f t="shared" si="6"/>
        <v>1850000</v>
      </c>
      <c r="P7" s="15">
        <f t="shared" si="7"/>
        <v>27750000</v>
      </c>
      <c r="Q7" s="15">
        <f t="shared" si="8"/>
        <v>0</v>
      </c>
      <c r="R7" s="15">
        <f t="shared" si="9"/>
        <v>0</v>
      </c>
    </row>
    <row r="8" spans="1:20" ht="16.5" customHeight="1">
      <c r="A8" s="12">
        <v>3</v>
      </c>
      <c r="B8" s="13" t="str">
        <f>'Công trình'!E116</f>
        <v>TT</v>
      </c>
      <c r="C8" s="14" t="str">
        <f>'Công trình'!F116</f>
        <v>Lắp đặt đế cống D400</v>
      </c>
      <c r="D8" s="13" t="str">
        <f>'Công trình'!G116</f>
        <v>Cái</v>
      </c>
      <c r="E8" s="89">
        <f>ROUND(IF('Công trình'!P43=0,'Công trình'!P116,'Công trình'!P43*'Công trình'!P116),4)</f>
        <v>639</v>
      </c>
      <c r="F8" s="15">
        <f>ROUND('Công trình'!Q116+'Công trình'!R116,1)</f>
        <v>110000</v>
      </c>
      <c r="G8" s="15">
        <f t="shared" si="0"/>
        <v>70290000</v>
      </c>
      <c r="H8" s="21">
        <f>ROUND('Công trình'!Q116+'Công trình'!R116,1)</f>
        <v>110000</v>
      </c>
      <c r="I8" s="15">
        <f t="shared" si="1"/>
        <v>70290000</v>
      </c>
      <c r="J8" s="17">
        <v>1</v>
      </c>
      <c r="K8" s="15">
        <f t="shared" si="2"/>
        <v>110000</v>
      </c>
      <c r="L8" s="15">
        <f t="shared" si="3"/>
        <v>70290000</v>
      </c>
      <c r="M8" s="15">
        <f t="shared" si="4"/>
        <v>0</v>
      </c>
      <c r="N8" s="15">
        <f t="shared" si="5"/>
        <v>0</v>
      </c>
      <c r="O8" s="15">
        <f t="shared" si="6"/>
        <v>110000</v>
      </c>
      <c r="P8" s="15">
        <f t="shared" si="7"/>
        <v>70290000</v>
      </c>
      <c r="Q8" s="15">
        <f t="shared" si="8"/>
        <v>0</v>
      </c>
      <c r="R8" s="15">
        <f t="shared" si="9"/>
        <v>0</v>
      </c>
    </row>
    <row r="9" spans="1:20" ht="16.5" customHeight="1">
      <c r="A9" s="12">
        <v>4</v>
      </c>
      <c r="B9" s="13" t="str">
        <f>'Công trình'!E125</f>
        <v>TT</v>
      </c>
      <c r="C9" s="14" t="str">
        <f>'Công trình'!F125</f>
        <v>Tiền đất núi đắp bờ quây</v>
      </c>
      <c r="D9" s="13" t="str">
        <f>'Công trình'!G125</f>
        <v>m3</v>
      </c>
      <c r="E9" s="89">
        <f>ROUND(IF('Công trình'!P43=0,'Công trình'!P125,'Công trình'!P43*'Công trình'!P125),4)</f>
        <v>6.6</v>
      </c>
      <c r="F9" s="15">
        <f>ROUND('Công trình'!Q125+'Công trình'!R125,1)</f>
        <v>190000</v>
      </c>
      <c r="G9" s="15">
        <f t="shared" si="0"/>
        <v>1254000</v>
      </c>
      <c r="H9" s="21">
        <f>ROUND('Công trình'!Q125+'Công trình'!R125,1)</f>
        <v>190000</v>
      </c>
      <c r="I9" s="15">
        <f t="shared" si="1"/>
        <v>1254000</v>
      </c>
      <c r="J9" s="17">
        <v>1</v>
      </c>
      <c r="K9" s="15">
        <f t="shared" si="2"/>
        <v>190000</v>
      </c>
      <c r="L9" s="15">
        <f t="shared" si="3"/>
        <v>1254000</v>
      </c>
      <c r="M9" s="15">
        <f t="shared" si="4"/>
        <v>0</v>
      </c>
      <c r="N9" s="15">
        <f t="shared" si="5"/>
        <v>0</v>
      </c>
      <c r="O9" s="15">
        <f t="shared" si="6"/>
        <v>190000</v>
      </c>
      <c r="P9" s="15">
        <f t="shared" si="7"/>
        <v>1254000</v>
      </c>
      <c r="Q9" s="15">
        <f t="shared" si="8"/>
        <v>0</v>
      </c>
      <c r="R9" s="15">
        <f t="shared" si="9"/>
        <v>0</v>
      </c>
    </row>
    <row r="10" spans="1:20" ht="16.5" customHeight="1">
      <c r="A10" s="12">
        <v>5</v>
      </c>
      <c r="B10" s="13" t="str">
        <f>'Công trình'!E129</f>
        <v>TT</v>
      </c>
      <c r="C10" s="14" t="str">
        <f>'Công trình'!F129</f>
        <v>Phên nứa 2 lớp B=1,0m</v>
      </c>
      <c r="D10" s="13" t="str">
        <f>'Công trình'!G129</f>
        <v>m2</v>
      </c>
      <c r="E10" s="89">
        <f>ROUND(IF('Công trình'!P43=0,'Công trình'!P129,'Công trình'!P43*'Công trình'!P129),4)</f>
        <v>12</v>
      </c>
      <c r="F10" s="15">
        <f>ROUND('Công trình'!Q129+'Công trình'!R129,1)</f>
        <v>15000</v>
      </c>
      <c r="G10" s="15">
        <f t="shared" si="0"/>
        <v>180000</v>
      </c>
      <c r="H10" s="21">
        <f>ROUND('Công trình'!Q129+'Công trình'!R129,1)</f>
        <v>15000</v>
      </c>
      <c r="I10" s="15">
        <f t="shared" si="1"/>
        <v>180000</v>
      </c>
      <c r="J10" s="17">
        <v>1</v>
      </c>
      <c r="K10" s="15">
        <f t="shared" si="2"/>
        <v>15000</v>
      </c>
      <c r="L10" s="15">
        <f t="shared" si="3"/>
        <v>180000</v>
      </c>
      <c r="M10" s="15">
        <f t="shared" si="4"/>
        <v>0</v>
      </c>
      <c r="N10" s="15">
        <f t="shared" si="5"/>
        <v>0</v>
      </c>
      <c r="O10" s="15">
        <f t="shared" si="6"/>
        <v>15000</v>
      </c>
      <c r="P10" s="15">
        <f t="shared" si="7"/>
        <v>180000</v>
      </c>
      <c r="Q10" s="15">
        <f t="shared" si="8"/>
        <v>0</v>
      </c>
      <c r="R10" s="15">
        <f t="shared" si="9"/>
        <v>0</v>
      </c>
    </row>
    <row r="11" spans="1:20" ht="16.5" customHeight="1">
      <c r="A11" s="12">
        <v>6</v>
      </c>
      <c r="B11" s="13" t="str">
        <f>'Giá tháng'!B6</f>
        <v>A24.0233</v>
      </c>
      <c r="C11" s="14" t="str">
        <f>'Giá tháng'!C6</f>
        <v>Cao su đệm</v>
      </c>
      <c r="D11" s="13" t="str">
        <f>'Giá tháng'!D6</f>
        <v>m</v>
      </c>
      <c r="E11" s="89">
        <f>ROUND(SUMIF(HaoPhiVatTu!S6:S521,105,HaoPhiVatTu!J6:J521),4)</f>
        <v>106.8</v>
      </c>
      <c r="F11" s="15">
        <f>ROUND('Giá tháng'!E6,1)</f>
        <v>5000</v>
      </c>
      <c r="G11" s="15">
        <f t="shared" si="0"/>
        <v>534000</v>
      </c>
      <c r="H11" s="21">
        <f>ROUND('Giá tháng'!F6,1)</f>
        <v>12000</v>
      </c>
      <c r="I11" s="15">
        <f t="shared" si="1"/>
        <v>1281600</v>
      </c>
      <c r="J11" s="17">
        <v>1</v>
      </c>
      <c r="K11" s="15">
        <f t="shared" si="2"/>
        <v>12000</v>
      </c>
      <c r="L11" s="15">
        <f t="shared" si="3"/>
        <v>1281600</v>
      </c>
      <c r="M11" s="15">
        <f t="shared" si="4"/>
        <v>0</v>
      </c>
      <c r="N11" s="15">
        <f t="shared" si="5"/>
        <v>0</v>
      </c>
      <c r="O11" s="15">
        <f t="shared" si="6"/>
        <v>12000</v>
      </c>
      <c r="P11" s="15">
        <f t="shared" si="7"/>
        <v>1281600</v>
      </c>
      <c r="Q11" s="15">
        <f t="shared" si="8"/>
        <v>7000</v>
      </c>
      <c r="R11" s="15">
        <f t="shared" si="9"/>
        <v>747600</v>
      </c>
      <c r="S11">
        <f>'Cước VC'!AU6</f>
        <v>0</v>
      </c>
      <c r="T11">
        <f>'Cước bộ'!W6</f>
        <v>0</v>
      </c>
    </row>
    <row r="12" spans="1:20" ht="16.5" customHeight="1">
      <c r="A12" s="12">
        <v>7</v>
      </c>
      <c r="B12" s="13" t="str">
        <f>'Giá tháng'!B7</f>
        <v>A24.1042</v>
      </c>
      <c r="C12" s="14" t="str">
        <f>'Giá tháng'!C7</f>
        <v>Cát</v>
      </c>
      <c r="D12" s="13" t="str">
        <f>'Giá tháng'!D7</f>
        <v>m3</v>
      </c>
      <c r="E12" s="89">
        <f>ROUND(SUMIF(HaoPhiVatTu!S6:S521,106,HaoPhiVatTu!J6:J521),4)</f>
        <v>18.181799999999999</v>
      </c>
      <c r="F12" s="15">
        <f>ROUND('Giá tháng'!E7,1)</f>
        <v>140000</v>
      </c>
      <c r="G12" s="15">
        <f t="shared" si="0"/>
        <v>2545452</v>
      </c>
      <c r="H12" s="21">
        <f>ROUND('Giá tháng'!F7,1)</f>
        <v>150000</v>
      </c>
      <c r="I12" s="15">
        <f t="shared" si="1"/>
        <v>2727270</v>
      </c>
      <c r="J12" s="17">
        <v>1</v>
      </c>
      <c r="K12" s="15">
        <f t="shared" si="2"/>
        <v>150000</v>
      </c>
      <c r="L12" s="15">
        <f t="shared" si="3"/>
        <v>2727270</v>
      </c>
      <c r="M12" s="15">
        <f t="shared" si="4"/>
        <v>0</v>
      </c>
      <c r="N12" s="15">
        <f t="shared" si="5"/>
        <v>0</v>
      </c>
      <c r="O12" s="15">
        <f t="shared" si="6"/>
        <v>150000</v>
      </c>
      <c r="P12" s="15">
        <f t="shared" si="7"/>
        <v>2727270</v>
      </c>
      <c r="Q12" s="15">
        <f t="shared" si="8"/>
        <v>10000</v>
      </c>
      <c r="R12" s="15">
        <f t="shared" si="9"/>
        <v>181818</v>
      </c>
      <c r="S12">
        <f>'Cước VC'!AU7</f>
        <v>0</v>
      </c>
      <c r="T12">
        <f>'Cước bộ'!W7</f>
        <v>0</v>
      </c>
    </row>
    <row r="13" spans="1:20" ht="16.5" customHeight="1">
      <c r="A13" s="12">
        <v>8</v>
      </c>
      <c r="B13" s="13" t="str">
        <f>'Giá tháng'!B8</f>
        <v>A24.0175</v>
      </c>
      <c r="C13" s="14" t="str">
        <f>'Giá tháng'!C8</f>
        <v>Cát mịn ML=0,7-1,4</v>
      </c>
      <c r="D13" s="13" t="str">
        <f>'Giá tháng'!D8</f>
        <v>m3</v>
      </c>
      <c r="E13" s="89">
        <f>ROUND(SUMIF(HaoPhiVatTu!S6:S521,107,HaoPhiVatTu!J6:J521),4)</f>
        <v>0.27310000000000001</v>
      </c>
      <c r="F13" s="15">
        <f>ROUND('Giá tháng'!E8,1)</f>
        <v>400000</v>
      </c>
      <c r="G13" s="15">
        <f t="shared" si="0"/>
        <v>109240</v>
      </c>
      <c r="H13" s="21">
        <f>ROUND('Giá tháng'!F8,1)</f>
        <v>445000</v>
      </c>
      <c r="I13" s="15">
        <f t="shared" si="1"/>
        <v>121529.5</v>
      </c>
      <c r="J13" s="17">
        <v>1</v>
      </c>
      <c r="K13" s="15">
        <f t="shared" si="2"/>
        <v>445000</v>
      </c>
      <c r="L13" s="15">
        <f t="shared" si="3"/>
        <v>121529.5</v>
      </c>
      <c r="M13" s="15">
        <f t="shared" si="4"/>
        <v>0</v>
      </c>
      <c r="N13" s="15">
        <f t="shared" si="5"/>
        <v>0</v>
      </c>
      <c r="O13" s="15">
        <f t="shared" si="6"/>
        <v>445000</v>
      </c>
      <c r="P13" s="15">
        <f t="shared" si="7"/>
        <v>121529.5</v>
      </c>
      <c r="Q13" s="15">
        <f t="shared" si="8"/>
        <v>45000</v>
      </c>
      <c r="R13" s="15">
        <f t="shared" si="9"/>
        <v>12289.5</v>
      </c>
      <c r="S13">
        <f>'Cước VC'!AU8</f>
        <v>0</v>
      </c>
      <c r="T13">
        <f>'Cước bộ'!W8</f>
        <v>0</v>
      </c>
    </row>
    <row r="14" spans="1:20" ht="16.5" customHeight="1">
      <c r="A14" s="12">
        <v>9</v>
      </c>
      <c r="B14" s="13" t="str">
        <f>'Giá tháng'!B9</f>
        <v>A24.0176</v>
      </c>
      <c r="C14" s="14" t="str">
        <f>'Giá tháng'!C9</f>
        <v>Cát mịn ML=1,5-2,0</v>
      </c>
      <c r="D14" s="13" t="str">
        <f>'Giá tháng'!D9</f>
        <v>m3</v>
      </c>
      <c r="E14" s="89">
        <f>ROUND(SUMIF(HaoPhiVatTu!S6:S521,108,HaoPhiVatTu!J6:J521),4)</f>
        <v>10.3908</v>
      </c>
      <c r="F14" s="15">
        <f>ROUND('Giá tháng'!E9,1)</f>
        <v>400000</v>
      </c>
      <c r="G14" s="15">
        <f t="shared" si="0"/>
        <v>4156320</v>
      </c>
      <c r="H14" s="21">
        <f>ROUND('Giá tháng'!F9,1)</f>
        <v>445000</v>
      </c>
      <c r="I14" s="15">
        <f t="shared" si="1"/>
        <v>4623906</v>
      </c>
      <c r="J14" s="17">
        <v>1</v>
      </c>
      <c r="K14" s="15">
        <f t="shared" si="2"/>
        <v>445000</v>
      </c>
      <c r="L14" s="15">
        <f t="shared" si="3"/>
        <v>4623906</v>
      </c>
      <c r="M14" s="15">
        <f t="shared" si="4"/>
        <v>0</v>
      </c>
      <c r="N14" s="15">
        <f t="shared" si="5"/>
        <v>0</v>
      </c>
      <c r="O14" s="15">
        <f t="shared" si="6"/>
        <v>445000</v>
      </c>
      <c r="P14" s="15">
        <f t="shared" si="7"/>
        <v>4623906</v>
      </c>
      <c r="Q14" s="15">
        <f t="shared" si="8"/>
        <v>45000</v>
      </c>
      <c r="R14" s="15">
        <f t="shared" si="9"/>
        <v>467586</v>
      </c>
      <c r="S14">
        <f>'Cước VC'!AU9</f>
        <v>0</v>
      </c>
      <c r="T14">
        <f>'Cước bộ'!W9</f>
        <v>0</v>
      </c>
    </row>
    <row r="15" spans="1:20" ht="16.5" customHeight="1">
      <c r="A15" s="12">
        <v>10</v>
      </c>
      <c r="B15" s="13" t="str">
        <f>'Giá tháng'!B10</f>
        <v>A24.0180</v>
      </c>
      <c r="C15" s="14" t="str">
        <f>'Giá tháng'!C10</f>
        <v>Cát vàng</v>
      </c>
      <c r="D15" s="13" t="str">
        <f>'Giá tháng'!D10</f>
        <v>m3</v>
      </c>
      <c r="E15" s="89">
        <f>ROUND(SUMIF(HaoPhiVatTu!S6:S521,109,HaoPhiVatTu!J6:J521),4)</f>
        <v>198.0514</v>
      </c>
      <c r="F15" s="15">
        <f>ROUND('Giá tháng'!E10,1)</f>
        <v>450000</v>
      </c>
      <c r="G15" s="15">
        <f t="shared" si="0"/>
        <v>89123130</v>
      </c>
      <c r="H15" s="21">
        <f>ROUND('Giá tháng'!F10,1)</f>
        <v>480000</v>
      </c>
      <c r="I15" s="15">
        <f t="shared" si="1"/>
        <v>95064672</v>
      </c>
      <c r="J15" s="17">
        <v>1</v>
      </c>
      <c r="K15" s="15">
        <f t="shared" si="2"/>
        <v>480000</v>
      </c>
      <c r="L15" s="15">
        <f t="shared" si="3"/>
        <v>95064672</v>
      </c>
      <c r="M15" s="15">
        <f t="shared" si="4"/>
        <v>0</v>
      </c>
      <c r="N15" s="15">
        <f t="shared" si="5"/>
        <v>0</v>
      </c>
      <c r="O15" s="15">
        <f t="shared" si="6"/>
        <v>480000</v>
      </c>
      <c r="P15" s="15">
        <f t="shared" si="7"/>
        <v>95064672</v>
      </c>
      <c r="Q15" s="15">
        <f t="shared" si="8"/>
        <v>30000</v>
      </c>
      <c r="R15" s="15">
        <f t="shared" si="9"/>
        <v>5941542</v>
      </c>
      <c r="S15">
        <f>'Cước VC'!AU10</f>
        <v>0</v>
      </c>
      <c r="T15">
        <f>'Cước bộ'!W10</f>
        <v>0</v>
      </c>
    </row>
    <row r="16" spans="1:20" ht="16.5" customHeight="1">
      <c r="A16" s="12">
        <v>11</v>
      </c>
      <c r="B16" s="13" t="str">
        <f>'Giá tháng'!B11</f>
        <v>A24.0251</v>
      </c>
      <c r="C16" s="14" t="str">
        <f>'Giá tháng'!C11</f>
        <v>Cấp phối đá dăm loại I</v>
      </c>
      <c r="D16" s="13" t="str">
        <f>'Giá tháng'!D11</f>
        <v>m3</v>
      </c>
      <c r="E16" s="89">
        <f>ROUND(SUMIF(HaoPhiVatTu!S6:S521,1010,HaoPhiVatTu!J6:J521),4)</f>
        <v>418.53559999999999</v>
      </c>
      <c r="F16" s="15">
        <f>ROUND('Giá tháng'!E11,1)</f>
        <v>184843</v>
      </c>
      <c r="G16" s="15">
        <f t="shared" si="0"/>
        <v>77363375.900000006</v>
      </c>
      <c r="H16" s="21">
        <f>ROUND('Giá tháng'!F11,1)</f>
        <v>270000</v>
      </c>
      <c r="I16" s="15">
        <f t="shared" si="1"/>
        <v>113004612</v>
      </c>
      <c r="J16" s="17">
        <v>1</v>
      </c>
      <c r="K16" s="15">
        <f t="shared" si="2"/>
        <v>270000</v>
      </c>
      <c r="L16" s="15">
        <f t="shared" si="3"/>
        <v>113004612</v>
      </c>
      <c r="M16" s="15">
        <f t="shared" si="4"/>
        <v>0</v>
      </c>
      <c r="N16" s="15">
        <f t="shared" si="5"/>
        <v>0</v>
      </c>
      <c r="O16" s="15">
        <f t="shared" si="6"/>
        <v>270000</v>
      </c>
      <c r="P16" s="15">
        <f t="shared" si="7"/>
        <v>113004612</v>
      </c>
      <c r="Q16" s="15">
        <f t="shared" si="8"/>
        <v>85157</v>
      </c>
      <c r="R16" s="15">
        <f t="shared" si="9"/>
        <v>35641236.100000001</v>
      </c>
      <c r="S16">
        <f>'Cước VC'!AU11</f>
        <v>0</v>
      </c>
      <c r="T16">
        <f>'Cước bộ'!W11</f>
        <v>0</v>
      </c>
    </row>
    <row r="17" spans="1:20" ht="16.5" customHeight="1">
      <c r="A17" s="12">
        <v>12</v>
      </c>
      <c r="B17" s="13" t="str">
        <f>'Giá tháng'!B12</f>
        <v>A24.0183</v>
      </c>
      <c r="C17" s="14" t="str">
        <f>'Giá tháng'!C12</f>
        <v>Cây chống</v>
      </c>
      <c r="D17" s="13" t="str">
        <f>'Giá tháng'!D12</f>
        <v>cây</v>
      </c>
      <c r="E17" s="89">
        <f>ROUND(SUMIF(HaoPhiVatTu!S6:S521,1011,HaoPhiVatTu!J6:J521),4)</f>
        <v>2.4750000000000001</v>
      </c>
      <c r="F17" s="15">
        <f>ROUND('Giá tháng'!E12,1)</f>
        <v>19000</v>
      </c>
      <c r="G17" s="15">
        <f t="shared" si="0"/>
        <v>47025</v>
      </c>
      <c r="H17" s="21">
        <f>ROUND('Giá tháng'!F12,1)</f>
        <v>22000</v>
      </c>
      <c r="I17" s="15">
        <f t="shared" si="1"/>
        <v>54450</v>
      </c>
      <c r="J17" s="17">
        <v>1</v>
      </c>
      <c r="K17" s="15">
        <f t="shared" si="2"/>
        <v>22000</v>
      </c>
      <c r="L17" s="15">
        <f t="shared" si="3"/>
        <v>54450</v>
      </c>
      <c r="M17" s="15">
        <f t="shared" si="4"/>
        <v>0</v>
      </c>
      <c r="N17" s="15">
        <f t="shared" si="5"/>
        <v>0</v>
      </c>
      <c r="O17" s="15">
        <f t="shared" si="6"/>
        <v>22000</v>
      </c>
      <c r="P17" s="15">
        <f t="shared" si="7"/>
        <v>54450</v>
      </c>
      <c r="Q17" s="15">
        <f t="shared" si="8"/>
        <v>3000</v>
      </c>
      <c r="R17" s="15">
        <f t="shared" si="9"/>
        <v>7425</v>
      </c>
      <c r="S17">
        <f>'Cước VC'!AU12</f>
        <v>0</v>
      </c>
      <c r="T17">
        <f>'Cước bộ'!W12</f>
        <v>0</v>
      </c>
    </row>
    <row r="18" spans="1:20" ht="16.5" customHeight="1">
      <c r="A18" s="12">
        <v>13</v>
      </c>
      <c r="B18" s="13" t="str">
        <f>'Giá tháng'!B13</f>
        <v>A24.0227</v>
      </c>
      <c r="C18" s="14" t="str">
        <f>'Giá tháng'!C13</f>
        <v>Cọc tre &gt;2,5m</v>
      </c>
      <c r="D18" s="13" t="str">
        <f>'Giá tháng'!D13</f>
        <v>m</v>
      </c>
      <c r="E18" s="89">
        <f>ROUND(SUMIF(HaoPhiVatTu!S6:S521,1012,HaoPhiVatTu!J6:J521),4)</f>
        <v>627.9</v>
      </c>
      <c r="F18" s="15">
        <f>ROUND('Giá tháng'!E13,1)</f>
        <v>3200</v>
      </c>
      <c r="G18" s="15">
        <f t="shared" si="0"/>
        <v>2009280</v>
      </c>
      <c r="H18" s="21">
        <f>ROUND('Giá tháng'!F13,1)</f>
        <v>5200</v>
      </c>
      <c r="I18" s="15">
        <f t="shared" si="1"/>
        <v>3265080</v>
      </c>
      <c r="J18" s="17">
        <v>1</v>
      </c>
      <c r="K18" s="15">
        <f t="shared" si="2"/>
        <v>5200</v>
      </c>
      <c r="L18" s="15">
        <f t="shared" si="3"/>
        <v>3265080</v>
      </c>
      <c r="M18" s="15">
        <f t="shared" si="4"/>
        <v>0</v>
      </c>
      <c r="N18" s="15">
        <f t="shared" si="5"/>
        <v>0</v>
      </c>
      <c r="O18" s="15">
        <f t="shared" si="6"/>
        <v>5200</v>
      </c>
      <c r="P18" s="15">
        <f t="shared" si="7"/>
        <v>3265080</v>
      </c>
      <c r="Q18" s="15">
        <f t="shared" si="8"/>
        <v>2000</v>
      </c>
      <c r="R18" s="15">
        <f t="shared" si="9"/>
        <v>1255800</v>
      </c>
      <c r="S18">
        <f>'Cước VC'!AU13</f>
        <v>0</v>
      </c>
      <c r="T18">
        <f>'Cước bộ'!W13</f>
        <v>0</v>
      </c>
    </row>
    <row r="19" spans="1:20" ht="16.5" customHeight="1">
      <c r="A19" s="12">
        <v>14</v>
      </c>
      <c r="B19" s="13" t="str">
        <f>'Giá tháng'!B14</f>
        <v>A24.0293</v>
      </c>
      <c r="C19" s="14" t="str">
        <f>'Giá tháng'!C14</f>
        <v>Dây thép</v>
      </c>
      <c r="D19" s="13" t="str">
        <f>'Giá tháng'!D14</f>
        <v>kg</v>
      </c>
      <c r="E19" s="89">
        <f>ROUND(SUMIF(HaoPhiVatTu!S6:S521,1013,HaoPhiVatTu!J6:J521),4)</f>
        <v>17.198699999999999</v>
      </c>
      <c r="F19" s="15">
        <f>ROUND('Giá tháng'!E14,1)</f>
        <v>20000</v>
      </c>
      <c r="G19" s="15">
        <f t="shared" si="0"/>
        <v>343974</v>
      </c>
      <c r="H19" s="21">
        <f>ROUND('Giá tháng'!F14,1)</f>
        <v>24000</v>
      </c>
      <c r="I19" s="15">
        <f t="shared" si="1"/>
        <v>412768.8</v>
      </c>
      <c r="J19" s="17">
        <v>1</v>
      </c>
      <c r="K19" s="15">
        <f t="shared" si="2"/>
        <v>24000</v>
      </c>
      <c r="L19" s="15">
        <f t="shared" si="3"/>
        <v>412768.8</v>
      </c>
      <c r="M19" s="15">
        <f t="shared" si="4"/>
        <v>0</v>
      </c>
      <c r="N19" s="15">
        <f t="shared" si="5"/>
        <v>0</v>
      </c>
      <c r="O19" s="15">
        <f t="shared" si="6"/>
        <v>24000</v>
      </c>
      <c r="P19" s="15">
        <f t="shared" si="7"/>
        <v>412768.8</v>
      </c>
      <c r="Q19" s="15">
        <f t="shared" si="8"/>
        <v>4000</v>
      </c>
      <c r="R19" s="15">
        <f t="shared" si="9"/>
        <v>68794.8</v>
      </c>
      <c r="S19">
        <f>'Cước VC'!AU14</f>
        <v>0</v>
      </c>
      <c r="T19">
        <f>'Cước bộ'!W14</f>
        <v>0</v>
      </c>
    </row>
    <row r="20" spans="1:20" ht="16.5" customHeight="1">
      <c r="A20" s="12">
        <v>15</v>
      </c>
      <c r="B20" s="13" t="str">
        <f>'Giá tháng'!B15</f>
        <v>A24.0008</v>
      </c>
      <c r="C20" s="14" t="str">
        <f>'Giá tháng'!C15</f>
        <v>Đá 1x2</v>
      </c>
      <c r="D20" s="13" t="str">
        <f>'Giá tháng'!D15</f>
        <v>m3</v>
      </c>
      <c r="E20" s="89">
        <f>ROUND(SUMIF(HaoPhiVatTu!S6:S521,1014,HaoPhiVatTu!J6:J521),4)</f>
        <v>14.128399999999999</v>
      </c>
      <c r="F20" s="15">
        <f>ROUND('Giá tháng'!E15,1)</f>
        <v>320000</v>
      </c>
      <c r="G20" s="15">
        <f t="shared" si="0"/>
        <v>4521088</v>
      </c>
      <c r="H20" s="21">
        <f>ROUND('Giá tháng'!F15,1)</f>
        <v>340000</v>
      </c>
      <c r="I20" s="15">
        <f t="shared" si="1"/>
        <v>4803656</v>
      </c>
      <c r="J20" s="17">
        <v>1</v>
      </c>
      <c r="K20" s="15">
        <f t="shared" si="2"/>
        <v>340000</v>
      </c>
      <c r="L20" s="15">
        <f t="shared" si="3"/>
        <v>4803656</v>
      </c>
      <c r="M20" s="15">
        <f t="shared" si="4"/>
        <v>0</v>
      </c>
      <c r="N20" s="15">
        <f t="shared" si="5"/>
        <v>0</v>
      </c>
      <c r="O20" s="15">
        <f t="shared" si="6"/>
        <v>340000</v>
      </c>
      <c r="P20" s="15">
        <f t="shared" si="7"/>
        <v>4803656</v>
      </c>
      <c r="Q20" s="15">
        <f t="shared" si="8"/>
        <v>20000</v>
      </c>
      <c r="R20" s="15">
        <f t="shared" si="9"/>
        <v>282568</v>
      </c>
      <c r="S20">
        <f>'Cước VC'!AU15</f>
        <v>0</v>
      </c>
      <c r="T20">
        <f>'Cước bộ'!W15</f>
        <v>0</v>
      </c>
    </row>
    <row r="21" spans="1:20" ht="16.5" customHeight="1">
      <c r="A21" s="12">
        <v>16</v>
      </c>
      <c r="B21" s="13" t="str">
        <f>'Giá tháng'!B16</f>
        <v>A24.0009</v>
      </c>
      <c r="C21" s="14" t="str">
        <f>'Giá tháng'!C16</f>
        <v>Đá 2x4</v>
      </c>
      <c r="D21" s="13" t="str">
        <f>'Giá tháng'!D16</f>
        <v>m3</v>
      </c>
      <c r="E21" s="89">
        <f>ROUND(SUMIF(HaoPhiVatTu!S6:S521,1015,HaoPhiVatTu!J6:J521),4)</f>
        <v>305.17070000000001</v>
      </c>
      <c r="F21" s="15">
        <f>ROUND('Giá tháng'!E16,1)</f>
        <v>320000</v>
      </c>
      <c r="G21" s="15">
        <f t="shared" si="0"/>
        <v>97654624</v>
      </c>
      <c r="H21" s="21">
        <f>ROUND('Giá tháng'!F16,1)</f>
        <v>340000</v>
      </c>
      <c r="I21" s="15">
        <f t="shared" si="1"/>
        <v>103758038</v>
      </c>
      <c r="J21" s="17">
        <v>1</v>
      </c>
      <c r="K21" s="15">
        <f t="shared" si="2"/>
        <v>340000</v>
      </c>
      <c r="L21" s="15">
        <f t="shared" si="3"/>
        <v>103758038</v>
      </c>
      <c r="M21" s="15">
        <f t="shared" si="4"/>
        <v>0</v>
      </c>
      <c r="N21" s="15">
        <f t="shared" si="5"/>
        <v>0</v>
      </c>
      <c r="O21" s="15">
        <f t="shared" si="6"/>
        <v>340000</v>
      </c>
      <c r="P21" s="15">
        <f t="shared" si="7"/>
        <v>103758038</v>
      </c>
      <c r="Q21" s="15">
        <f t="shared" si="8"/>
        <v>20000</v>
      </c>
      <c r="R21" s="15">
        <f t="shared" si="9"/>
        <v>6103414</v>
      </c>
      <c r="S21">
        <f>'Cước VC'!AU16</f>
        <v>0</v>
      </c>
      <c r="T21">
        <f>'Cước bộ'!W16</f>
        <v>0</v>
      </c>
    </row>
    <row r="22" spans="1:20" ht="16.5" customHeight="1">
      <c r="A22" s="12">
        <v>17</v>
      </c>
      <c r="B22" s="13" t="str">
        <f>'Giá tháng'!B17</f>
        <v>A24.0025</v>
      </c>
      <c r="C22" s="14" t="str">
        <f>'Giá tháng'!C17</f>
        <v>Đá dăm 2x4 lót móng</v>
      </c>
      <c r="D22" s="13" t="str">
        <f>'Giá tháng'!D17</f>
        <v>m3</v>
      </c>
      <c r="E22" s="89">
        <f>ROUND(SUMIF(HaoPhiVatTu!S6:S521,1016,HaoPhiVatTu!J6:J521),4)</f>
        <v>71.555999999999997</v>
      </c>
      <c r="F22" s="15">
        <f>ROUND('Giá tháng'!E17,1)</f>
        <v>320000</v>
      </c>
      <c r="G22" s="15">
        <f t="shared" si="0"/>
        <v>22897920</v>
      </c>
      <c r="H22" s="21">
        <f>ROUND('Giá tháng'!F17,1)</f>
        <v>340000</v>
      </c>
      <c r="I22" s="15">
        <f t="shared" si="1"/>
        <v>24329040</v>
      </c>
      <c r="J22" s="17">
        <v>1</v>
      </c>
      <c r="K22" s="15">
        <f t="shared" si="2"/>
        <v>340000</v>
      </c>
      <c r="L22" s="15">
        <f t="shared" si="3"/>
        <v>24329040</v>
      </c>
      <c r="M22" s="15">
        <f t="shared" si="4"/>
        <v>0</v>
      </c>
      <c r="N22" s="15">
        <f t="shared" si="5"/>
        <v>0</v>
      </c>
      <c r="O22" s="15">
        <f t="shared" si="6"/>
        <v>340000</v>
      </c>
      <c r="P22" s="15">
        <f t="shared" si="7"/>
        <v>24329040</v>
      </c>
      <c r="Q22" s="15">
        <f t="shared" si="8"/>
        <v>20000</v>
      </c>
      <c r="R22" s="15">
        <f t="shared" si="9"/>
        <v>1431120</v>
      </c>
      <c r="S22">
        <f>'Cước VC'!AU17</f>
        <v>0</v>
      </c>
      <c r="T22">
        <f>'Cước bộ'!W17</f>
        <v>0</v>
      </c>
    </row>
    <row r="23" spans="1:20" ht="16.5" customHeight="1">
      <c r="A23" s="12">
        <v>18</v>
      </c>
      <c r="B23" s="13" t="str">
        <f>'Giá tháng'!B18</f>
        <v>A24.0032</v>
      </c>
      <c r="C23" s="14" t="str">
        <f>'Giá tháng'!C18</f>
        <v>Đá mài</v>
      </c>
      <c r="D23" s="13" t="str">
        <f>'Giá tháng'!D18</f>
        <v>viên</v>
      </c>
      <c r="E23" s="89">
        <f>ROUND(SUMIF(HaoPhiVatTu!S6:S521,1017,HaoPhiVatTu!J6:J521),4)</f>
        <v>0.28189999999999998</v>
      </c>
      <c r="F23" s="15">
        <f>ROUND('Giá tháng'!E18,1)</f>
        <v>11667</v>
      </c>
      <c r="G23" s="15">
        <f t="shared" si="0"/>
        <v>3288.9</v>
      </c>
      <c r="H23" s="21">
        <f>ROUND('Giá tháng'!F18,1)</f>
        <v>35000</v>
      </c>
      <c r="I23" s="15">
        <f t="shared" si="1"/>
        <v>9866.5</v>
      </c>
      <c r="J23" s="17">
        <v>1</v>
      </c>
      <c r="K23" s="15">
        <f t="shared" si="2"/>
        <v>35000</v>
      </c>
      <c r="L23" s="15">
        <f t="shared" si="3"/>
        <v>9866.5</v>
      </c>
      <c r="M23" s="15">
        <f t="shared" si="4"/>
        <v>0</v>
      </c>
      <c r="N23" s="15">
        <f t="shared" si="5"/>
        <v>0</v>
      </c>
      <c r="O23" s="15">
        <f t="shared" si="6"/>
        <v>35000</v>
      </c>
      <c r="P23" s="15">
        <f t="shared" si="7"/>
        <v>9866.5</v>
      </c>
      <c r="Q23" s="15">
        <f t="shared" si="8"/>
        <v>23333</v>
      </c>
      <c r="R23" s="15">
        <f t="shared" si="9"/>
        <v>6577.6</v>
      </c>
      <c r="S23">
        <f>'Cước VC'!AU18</f>
        <v>0</v>
      </c>
      <c r="T23">
        <f>'Cước bộ'!W18</f>
        <v>0</v>
      </c>
    </row>
    <row r="24" spans="1:20" ht="16.5" customHeight="1">
      <c r="A24" s="12">
        <v>19</v>
      </c>
      <c r="B24" s="13" t="str">
        <f>'Giá tháng'!B19</f>
        <v>A24.0054</v>
      </c>
      <c r="C24" s="14" t="str">
        <f>'Giá tháng'!C19</f>
        <v>Đinh</v>
      </c>
      <c r="D24" s="13" t="str">
        <f>'Giá tháng'!D19</f>
        <v>kg</v>
      </c>
      <c r="E24" s="89">
        <f>ROUND(SUMIF(HaoPhiVatTu!S6:S521,1018,HaoPhiVatTu!J6:J521),4)</f>
        <v>8.8440999999999992</v>
      </c>
      <c r="F24" s="15">
        <f>ROUND('Giá tháng'!E19,1)</f>
        <v>23000</v>
      </c>
      <c r="G24" s="15">
        <f t="shared" si="0"/>
        <v>203414.3</v>
      </c>
      <c r="H24" s="21">
        <f>ROUND('Giá tháng'!F19,1)</f>
        <v>23000</v>
      </c>
      <c r="I24" s="15">
        <f t="shared" si="1"/>
        <v>203414.3</v>
      </c>
      <c r="J24" s="17">
        <v>1</v>
      </c>
      <c r="K24" s="15">
        <f t="shared" si="2"/>
        <v>23000</v>
      </c>
      <c r="L24" s="15">
        <f t="shared" si="3"/>
        <v>203414.3</v>
      </c>
      <c r="M24" s="15">
        <f t="shared" si="4"/>
        <v>0</v>
      </c>
      <c r="N24" s="15">
        <f t="shared" si="5"/>
        <v>0</v>
      </c>
      <c r="O24" s="15">
        <f t="shared" si="6"/>
        <v>23000</v>
      </c>
      <c r="P24" s="15">
        <f t="shared" si="7"/>
        <v>203414.3</v>
      </c>
      <c r="Q24" s="15">
        <f t="shared" si="8"/>
        <v>0</v>
      </c>
      <c r="R24" s="15">
        <f t="shared" si="9"/>
        <v>0</v>
      </c>
      <c r="S24">
        <f>'Cước VC'!AU19</f>
        <v>0</v>
      </c>
      <c r="T24">
        <f>'Cước bộ'!W19</f>
        <v>0</v>
      </c>
    </row>
    <row r="25" spans="1:20" ht="16.5" customHeight="1">
      <c r="A25" s="12">
        <v>20</v>
      </c>
      <c r="B25" s="13" t="str">
        <f>'Giá tháng'!B20</f>
        <v>A24.0383A</v>
      </c>
      <c r="C25" s="14" t="str">
        <f>'Giá tháng'!C20</f>
        <v>Gạch không nung 6,5x10,5x22</v>
      </c>
      <c r="D25" s="13" t="str">
        <f>'Giá tháng'!D20</f>
        <v>viên</v>
      </c>
      <c r="E25" s="89">
        <f>ROUND(SUMIF(HaoPhiVatTu!S6:S521,1019,HaoPhiVatTu!J6:J521),4)</f>
        <v>11858</v>
      </c>
      <c r="F25" s="15">
        <f>ROUND('Giá tháng'!E20,1)</f>
        <v>900</v>
      </c>
      <c r="G25" s="15">
        <f t="shared" si="0"/>
        <v>10672200</v>
      </c>
      <c r="H25" s="21">
        <f>ROUND('Giá tháng'!F20,1)</f>
        <v>1250</v>
      </c>
      <c r="I25" s="15">
        <f t="shared" si="1"/>
        <v>14822500</v>
      </c>
      <c r="J25" s="17">
        <v>1</v>
      </c>
      <c r="K25" s="15">
        <f t="shared" si="2"/>
        <v>1250</v>
      </c>
      <c r="L25" s="15">
        <f t="shared" si="3"/>
        <v>14822500</v>
      </c>
      <c r="M25" s="15">
        <f t="shared" si="4"/>
        <v>0</v>
      </c>
      <c r="N25" s="15">
        <f t="shared" si="5"/>
        <v>0</v>
      </c>
      <c r="O25" s="15">
        <f t="shared" si="6"/>
        <v>1250</v>
      </c>
      <c r="P25" s="15">
        <f t="shared" si="7"/>
        <v>14822500</v>
      </c>
      <c r="Q25" s="15">
        <f t="shared" si="8"/>
        <v>350</v>
      </c>
      <c r="R25" s="15">
        <f t="shared" si="9"/>
        <v>4150300</v>
      </c>
      <c r="S25">
        <f>'Cước VC'!AU20</f>
        <v>0</v>
      </c>
      <c r="T25">
        <f>'Cước bộ'!W20</f>
        <v>0</v>
      </c>
    </row>
    <row r="26" spans="1:20" ht="16.5" customHeight="1">
      <c r="A26" s="12">
        <v>21</v>
      </c>
      <c r="B26" s="13" t="str">
        <f>'Giá tháng'!B21</f>
        <v>A24.0406</v>
      </c>
      <c r="C26" s="14" t="str">
        <f>'Giá tháng'!C21</f>
        <v>Gỗ chống</v>
      </c>
      <c r="D26" s="13" t="str">
        <f>'Giá tháng'!D21</f>
        <v>m3</v>
      </c>
      <c r="E26" s="89">
        <f>ROUND(SUMIF(HaoPhiVatTu!S6:S521,1020,HaoPhiVatTu!J6:J521),4)</f>
        <v>0.40160000000000001</v>
      </c>
      <c r="F26" s="15">
        <f>ROUND('Giá tháng'!E21,1)</f>
        <v>3409091</v>
      </c>
      <c r="G26" s="15">
        <f t="shared" si="0"/>
        <v>1369090.9</v>
      </c>
      <c r="H26" s="21">
        <f>ROUND('Giá tháng'!F21,1)</f>
        <v>4318182</v>
      </c>
      <c r="I26" s="15">
        <f t="shared" si="1"/>
        <v>1734181.9</v>
      </c>
      <c r="J26" s="17">
        <v>1</v>
      </c>
      <c r="K26" s="15">
        <f t="shared" si="2"/>
        <v>4318182</v>
      </c>
      <c r="L26" s="15">
        <f t="shared" si="3"/>
        <v>1734181.9</v>
      </c>
      <c r="M26" s="15">
        <f t="shared" si="4"/>
        <v>0</v>
      </c>
      <c r="N26" s="15">
        <f t="shared" si="5"/>
        <v>0</v>
      </c>
      <c r="O26" s="15">
        <f t="shared" si="6"/>
        <v>4318182</v>
      </c>
      <c r="P26" s="15">
        <f t="shared" si="7"/>
        <v>1734181.9</v>
      </c>
      <c r="Q26" s="15">
        <f t="shared" si="8"/>
        <v>909091</v>
      </c>
      <c r="R26" s="15">
        <f t="shared" si="9"/>
        <v>365091</v>
      </c>
      <c r="S26">
        <f>'Cước VC'!AU21</f>
        <v>0</v>
      </c>
      <c r="T26">
        <f>'Cước bộ'!W21</f>
        <v>0</v>
      </c>
    </row>
    <row r="27" spans="1:20" ht="16.5" customHeight="1">
      <c r="A27" s="12">
        <v>22</v>
      </c>
      <c r="B27" s="13" t="str">
        <f>'Giá tháng'!B22</f>
        <v>A24.0404</v>
      </c>
      <c r="C27" s="14" t="str">
        <f>'Giá tháng'!C22</f>
        <v>Gỗ đà nẹp</v>
      </c>
      <c r="D27" s="13" t="str">
        <f>'Giá tháng'!D22</f>
        <v>m3</v>
      </c>
      <c r="E27" s="89">
        <f>ROUND(SUMIF(HaoPhiVatTu!S6:S521,1021,HaoPhiVatTu!J6:J521),4)</f>
        <v>0.1069</v>
      </c>
      <c r="F27" s="15">
        <f>ROUND('Giá tháng'!E22,1)</f>
        <v>3409091</v>
      </c>
      <c r="G27" s="15">
        <f t="shared" si="0"/>
        <v>364431.8</v>
      </c>
      <c r="H27" s="21">
        <f>ROUND('Giá tháng'!F22,1)</f>
        <v>4318182</v>
      </c>
      <c r="I27" s="15">
        <f t="shared" si="1"/>
        <v>461613.7</v>
      </c>
      <c r="J27" s="17">
        <v>1</v>
      </c>
      <c r="K27" s="15">
        <f t="shared" si="2"/>
        <v>4318182</v>
      </c>
      <c r="L27" s="15">
        <f t="shared" si="3"/>
        <v>461613.7</v>
      </c>
      <c r="M27" s="15">
        <f t="shared" si="4"/>
        <v>0</v>
      </c>
      <c r="N27" s="15">
        <f t="shared" si="5"/>
        <v>0</v>
      </c>
      <c r="O27" s="15">
        <f t="shared" si="6"/>
        <v>4318182</v>
      </c>
      <c r="P27" s="15">
        <f t="shared" si="7"/>
        <v>461613.7</v>
      </c>
      <c r="Q27" s="15">
        <f t="shared" si="8"/>
        <v>909091</v>
      </c>
      <c r="R27" s="15">
        <f t="shared" si="9"/>
        <v>97181.9</v>
      </c>
      <c r="S27">
        <f>'Cước VC'!AU22</f>
        <v>0</v>
      </c>
      <c r="T27">
        <f>'Cước bộ'!W22</f>
        <v>0</v>
      </c>
    </row>
    <row r="28" spans="1:20" ht="16.5" customHeight="1">
      <c r="A28" s="12">
        <v>23</v>
      </c>
      <c r="B28" s="13" t="str">
        <f>'Giá tháng'!B23</f>
        <v>A24.0418</v>
      </c>
      <c r="C28" s="14" t="str">
        <f>'Giá tháng'!C23</f>
        <v>Gỗ ván</v>
      </c>
      <c r="D28" s="13" t="str">
        <f>'Giá tháng'!D23</f>
        <v>m3</v>
      </c>
      <c r="E28" s="89">
        <f>ROUND(SUMIF(HaoPhiVatTu!S6:S521,1022,HaoPhiVatTu!J6:J521),4)</f>
        <v>0.44690000000000002</v>
      </c>
      <c r="F28" s="15">
        <f>ROUND('Giá tháng'!E23,1)</f>
        <v>3409091</v>
      </c>
      <c r="G28" s="15">
        <f t="shared" si="0"/>
        <v>1523522.8</v>
      </c>
      <c r="H28" s="21">
        <f>ROUND('Giá tháng'!F23,1)</f>
        <v>4318182</v>
      </c>
      <c r="I28" s="15">
        <f t="shared" si="1"/>
        <v>1929795.5</v>
      </c>
      <c r="J28" s="17">
        <v>1</v>
      </c>
      <c r="K28" s="15">
        <f t="shared" si="2"/>
        <v>4318182</v>
      </c>
      <c r="L28" s="15">
        <f t="shared" si="3"/>
        <v>1929795.5</v>
      </c>
      <c r="M28" s="15">
        <f t="shared" si="4"/>
        <v>0</v>
      </c>
      <c r="N28" s="15">
        <f t="shared" si="5"/>
        <v>0</v>
      </c>
      <c r="O28" s="15">
        <f t="shared" si="6"/>
        <v>4318182</v>
      </c>
      <c r="P28" s="15">
        <f t="shared" si="7"/>
        <v>1929795.5</v>
      </c>
      <c r="Q28" s="15">
        <f t="shared" si="8"/>
        <v>909091</v>
      </c>
      <c r="R28" s="15">
        <f t="shared" si="9"/>
        <v>406272.7</v>
      </c>
      <c r="S28">
        <f>'Cước VC'!AU23</f>
        <v>0</v>
      </c>
      <c r="T28">
        <f>'Cước bộ'!W23</f>
        <v>0</v>
      </c>
    </row>
    <row r="29" spans="1:20" ht="16.5" customHeight="1">
      <c r="A29" s="12">
        <v>24</v>
      </c>
      <c r="B29" s="13" t="str">
        <f>'Giá tháng'!B24</f>
        <v>A24.0420</v>
      </c>
      <c r="C29" s="14" t="str">
        <f>'Giá tháng'!C24</f>
        <v>Gỗ ván ( cả nẹp)</v>
      </c>
      <c r="D29" s="13" t="str">
        <f>'Giá tháng'!D24</f>
        <v>m3</v>
      </c>
      <c r="E29" s="89">
        <f>ROUND(SUMIF(HaoPhiVatTu!S6:S521,1023,HaoPhiVatTu!J6:J521),4)</f>
        <v>7.1999999999999998E-3</v>
      </c>
      <c r="F29" s="15">
        <f>ROUND('Giá tháng'!E24,1)</f>
        <v>3409091</v>
      </c>
      <c r="G29" s="15">
        <f t="shared" si="0"/>
        <v>24545.5</v>
      </c>
      <c r="H29" s="21">
        <f>ROUND('Giá tháng'!F24,1)</f>
        <v>4318182</v>
      </c>
      <c r="I29" s="15">
        <f t="shared" si="1"/>
        <v>31090.9</v>
      </c>
      <c r="J29" s="17">
        <v>1</v>
      </c>
      <c r="K29" s="15">
        <f t="shared" si="2"/>
        <v>4318182</v>
      </c>
      <c r="L29" s="15">
        <f t="shared" si="3"/>
        <v>31090.9</v>
      </c>
      <c r="M29" s="15">
        <f t="shared" si="4"/>
        <v>0</v>
      </c>
      <c r="N29" s="15">
        <f t="shared" si="5"/>
        <v>0</v>
      </c>
      <c r="O29" s="15">
        <f t="shared" si="6"/>
        <v>4318182</v>
      </c>
      <c r="P29" s="15">
        <f t="shared" si="7"/>
        <v>31090.9</v>
      </c>
      <c r="Q29" s="15">
        <f t="shared" si="8"/>
        <v>909091</v>
      </c>
      <c r="R29" s="15">
        <f t="shared" si="9"/>
        <v>6545.4</v>
      </c>
      <c r="S29">
        <f>'Cước VC'!AU24</f>
        <v>0</v>
      </c>
      <c r="T29">
        <f>'Cước bộ'!W24</f>
        <v>0</v>
      </c>
    </row>
    <row r="30" spans="1:20" ht="16.5" customHeight="1">
      <c r="A30" s="12">
        <v>25</v>
      </c>
      <c r="B30" s="13" t="str">
        <f>'Giá tháng'!B25</f>
        <v>A33.0269</v>
      </c>
      <c r="C30" s="14" t="str">
        <f>'Giá tháng'!C25</f>
        <v>Gioăng cao su D400mm</v>
      </c>
      <c r="D30" s="13" t="str">
        <f>'Giá tháng'!D25</f>
        <v>cái</v>
      </c>
      <c r="E30" s="89">
        <f>ROUND(SUMIF(HaoPhiVatTu!S6:S521,1024,HaoPhiVatTu!J6:J521),4)</f>
        <v>210</v>
      </c>
      <c r="F30" s="15">
        <f>ROUND('Giá tháng'!E25,1)</f>
        <v>60000</v>
      </c>
      <c r="G30" s="15">
        <f t="shared" si="0"/>
        <v>12600000</v>
      </c>
      <c r="H30" s="21">
        <f>ROUND('Giá tháng'!F25,1)</f>
        <v>120000</v>
      </c>
      <c r="I30" s="15">
        <f t="shared" si="1"/>
        <v>25200000</v>
      </c>
      <c r="J30" s="17">
        <v>1</v>
      </c>
      <c r="K30" s="15">
        <f t="shared" si="2"/>
        <v>120000</v>
      </c>
      <c r="L30" s="15">
        <f t="shared" si="3"/>
        <v>25200000</v>
      </c>
      <c r="M30" s="15">
        <f t="shared" si="4"/>
        <v>0</v>
      </c>
      <c r="N30" s="15">
        <f t="shared" si="5"/>
        <v>0</v>
      </c>
      <c r="O30" s="15">
        <f t="shared" si="6"/>
        <v>120000</v>
      </c>
      <c r="P30" s="15">
        <f t="shared" si="7"/>
        <v>25200000</v>
      </c>
      <c r="Q30" s="15">
        <f t="shared" si="8"/>
        <v>60000</v>
      </c>
      <c r="R30" s="15">
        <f t="shared" si="9"/>
        <v>12600000</v>
      </c>
      <c r="S30">
        <f>'Cước VC'!AU25</f>
        <v>0</v>
      </c>
      <c r="T30">
        <f>'Cước bộ'!W25</f>
        <v>0</v>
      </c>
    </row>
    <row r="31" spans="1:20" ht="16.5" customHeight="1">
      <c r="A31" s="12">
        <v>26</v>
      </c>
      <c r="B31" s="13" t="str">
        <f>'Giá tháng'!B26</f>
        <v>A24.0931</v>
      </c>
      <c r="C31" s="14" t="str">
        <f>'Giá tháng'!C26</f>
        <v>Khí gas</v>
      </c>
      <c r="D31" s="13" t="str">
        <f>'Giá tháng'!D26</f>
        <v>kg</v>
      </c>
      <c r="E31" s="89">
        <f>ROUND(SUMIF(HaoPhiVatTu!S6:S521,1025,HaoPhiVatTu!J6:J521),4)</f>
        <v>2.5274999999999999</v>
      </c>
      <c r="F31" s="15">
        <f>ROUND('Giá tháng'!E26,1)</f>
        <v>20278</v>
      </c>
      <c r="G31" s="15">
        <f t="shared" si="0"/>
        <v>51252.6</v>
      </c>
      <c r="H31" s="21">
        <f>ROUND('Giá tháng'!F26,1)</f>
        <v>35000</v>
      </c>
      <c r="I31" s="15">
        <f t="shared" si="1"/>
        <v>88462.5</v>
      </c>
      <c r="J31" s="17">
        <v>1</v>
      </c>
      <c r="K31" s="15">
        <f t="shared" si="2"/>
        <v>35000</v>
      </c>
      <c r="L31" s="15">
        <f t="shared" si="3"/>
        <v>88462.5</v>
      </c>
      <c r="M31" s="15">
        <f t="shared" si="4"/>
        <v>0</v>
      </c>
      <c r="N31" s="15">
        <f t="shared" si="5"/>
        <v>0</v>
      </c>
      <c r="O31" s="15">
        <f t="shared" si="6"/>
        <v>35000</v>
      </c>
      <c r="P31" s="15">
        <f t="shared" si="7"/>
        <v>88462.5</v>
      </c>
      <c r="Q31" s="15">
        <f t="shared" si="8"/>
        <v>14722</v>
      </c>
      <c r="R31" s="15">
        <f t="shared" si="9"/>
        <v>37209.9</v>
      </c>
      <c r="S31">
        <f>'Cước VC'!AU26</f>
        <v>0</v>
      </c>
      <c r="T31">
        <f>'Cước bộ'!W26</f>
        <v>0</v>
      </c>
    </row>
    <row r="32" spans="1:20" ht="16.5" customHeight="1">
      <c r="A32" s="12">
        <v>27</v>
      </c>
      <c r="B32" s="13" t="str">
        <f>'Giá tháng'!B27</f>
        <v>A24.0480</v>
      </c>
      <c r="C32" s="14" t="str">
        <f>'Giá tháng'!C27</f>
        <v>Ma tít chèn khe</v>
      </c>
      <c r="D32" s="13" t="str">
        <f>'Giá tháng'!D27</f>
        <v>kg</v>
      </c>
      <c r="E32" s="89">
        <f>ROUND(SUMIF(HaoPhiVatTu!S6:S521,1026,HaoPhiVatTu!J6:J521),4)</f>
        <v>482.85</v>
      </c>
      <c r="F32" s="15">
        <f>ROUND('Giá tháng'!E27,1)</f>
        <v>4700</v>
      </c>
      <c r="G32" s="15">
        <f t="shared" si="0"/>
        <v>2269395</v>
      </c>
      <c r="H32" s="21">
        <f>ROUND('Giá tháng'!F27,1)</f>
        <v>4700</v>
      </c>
      <c r="I32" s="15">
        <f t="shared" si="1"/>
        <v>2269395</v>
      </c>
      <c r="J32" s="17">
        <v>1</v>
      </c>
      <c r="K32" s="15">
        <f t="shared" si="2"/>
        <v>4700</v>
      </c>
      <c r="L32" s="15">
        <f t="shared" si="3"/>
        <v>2269395</v>
      </c>
      <c r="M32" s="15">
        <f t="shared" si="4"/>
        <v>0</v>
      </c>
      <c r="N32" s="15">
        <f t="shared" si="5"/>
        <v>0</v>
      </c>
      <c r="O32" s="15">
        <f t="shared" si="6"/>
        <v>4700</v>
      </c>
      <c r="P32" s="15">
        <f t="shared" si="7"/>
        <v>2269395</v>
      </c>
      <c r="Q32" s="15">
        <f t="shared" si="8"/>
        <v>0</v>
      </c>
      <c r="R32" s="15">
        <f t="shared" si="9"/>
        <v>0</v>
      </c>
      <c r="S32">
        <f>'Cước VC'!AU27</f>
        <v>0</v>
      </c>
      <c r="T32">
        <f>'Cước bộ'!W27</f>
        <v>0</v>
      </c>
    </row>
    <row r="33" spans="1:20" ht="16.5" customHeight="1">
      <c r="A33" s="12">
        <v>28</v>
      </c>
      <c r="B33" s="13" t="str">
        <f>'Giá tháng'!B28</f>
        <v>A33.0240</v>
      </c>
      <c r="C33" s="14" t="str">
        <f>'Giá tháng'!C28</f>
        <v>Mỡ bôi trơn</v>
      </c>
      <c r="D33" s="13" t="str">
        <f>'Giá tháng'!D28</f>
        <v>kg</v>
      </c>
      <c r="E33" s="89">
        <f>ROUND(SUMIF(HaoPhiVatTu!S6:S521,1027,HaoPhiVatTu!J6:J521),4)</f>
        <v>13.86</v>
      </c>
      <c r="F33" s="15">
        <f>ROUND('Giá tháng'!E28,1)</f>
        <v>20000</v>
      </c>
      <c r="G33" s="15">
        <f t="shared" si="0"/>
        <v>277200</v>
      </c>
      <c r="H33" s="21">
        <f>ROUND('Giá tháng'!F28,1)</f>
        <v>20000</v>
      </c>
      <c r="I33" s="15">
        <f t="shared" si="1"/>
        <v>277200</v>
      </c>
      <c r="J33" s="17">
        <v>1</v>
      </c>
      <c r="K33" s="15">
        <f t="shared" si="2"/>
        <v>20000</v>
      </c>
      <c r="L33" s="15">
        <f t="shared" si="3"/>
        <v>277200</v>
      </c>
      <c r="M33" s="15">
        <f t="shared" si="4"/>
        <v>0</v>
      </c>
      <c r="N33" s="15">
        <f t="shared" si="5"/>
        <v>0</v>
      </c>
      <c r="O33" s="15">
        <f t="shared" si="6"/>
        <v>20000</v>
      </c>
      <c r="P33" s="15">
        <f t="shared" si="7"/>
        <v>277200</v>
      </c>
      <c r="Q33" s="15">
        <f t="shared" si="8"/>
        <v>0</v>
      </c>
      <c r="R33" s="15">
        <f t="shared" si="9"/>
        <v>0</v>
      </c>
      <c r="S33">
        <f>'Cước VC'!AU28</f>
        <v>0</v>
      </c>
      <c r="T33">
        <f>'Cước bộ'!W28</f>
        <v>0</v>
      </c>
    </row>
    <row r="34" spans="1:20" ht="16.5" customHeight="1">
      <c r="A34" s="12">
        <v>29</v>
      </c>
      <c r="B34" s="13" t="str">
        <f>'Giá tháng'!B29</f>
        <v>A24.0489</v>
      </c>
      <c r="C34" s="14" t="str">
        <f>'Giá tháng'!C29</f>
        <v>Mùn cưa</v>
      </c>
      <c r="D34" s="13" t="str">
        <f>'Giá tháng'!D29</f>
        <v>kg</v>
      </c>
      <c r="E34" s="89">
        <f>ROUND(SUMIF(HaoPhiVatTu!S6:S521,1028,HaoPhiVatTu!J6:J521),4)</f>
        <v>38.270000000000003</v>
      </c>
      <c r="F34" s="15">
        <f>ROUND('Giá tháng'!E29,1)</f>
        <v>233</v>
      </c>
      <c r="G34" s="15">
        <f t="shared" si="0"/>
        <v>8916.9</v>
      </c>
      <c r="H34" s="21">
        <f>ROUND('Giá tháng'!F29,1)</f>
        <v>233</v>
      </c>
      <c r="I34" s="15">
        <f t="shared" si="1"/>
        <v>8916.9</v>
      </c>
      <c r="J34" s="17">
        <v>1</v>
      </c>
      <c r="K34" s="15">
        <f t="shared" si="2"/>
        <v>233</v>
      </c>
      <c r="L34" s="15">
        <f t="shared" si="3"/>
        <v>8916.9</v>
      </c>
      <c r="M34" s="15">
        <f t="shared" si="4"/>
        <v>0</v>
      </c>
      <c r="N34" s="15">
        <f t="shared" si="5"/>
        <v>0</v>
      </c>
      <c r="O34" s="15">
        <f t="shared" si="6"/>
        <v>233</v>
      </c>
      <c r="P34" s="15">
        <f t="shared" si="7"/>
        <v>8916.9</v>
      </c>
      <c r="Q34" s="15">
        <f t="shared" si="8"/>
        <v>0</v>
      </c>
      <c r="R34" s="15">
        <f t="shared" si="9"/>
        <v>0</v>
      </c>
      <c r="S34">
        <f>'Cước VC'!AU29</f>
        <v>0</v>
      </c>
      <c r="T34">
        <f>'Cước bộ'!W29</f>
        <v>0</v>
      </c>
    </row>
    <row r="35" spans="1:20" ht="16.5" customHeight="1">
      <c r="A35" s="12">
        <v>30</v>
      </c>
      <c r="B35" s="13" t="str">
        <f>'Giá tháng'!B30</f>
        <v>A24.0782</v>
      </c>
      <c r="C35" s="14" t="str">
        <f>'Giá tháng'!C30</f>
        <v>Nilon chống mất nước XM</v>
      </c>
      <c r="D35" s="13" t="str">
        <f>'Giá tháng'!D30</f>
        <v>m2</v>
      </c>
      <c r="E35" s="89">
        <f>ROUND(SUMIF(HaoPhiVatTu!S6:S521,1029,HaoPhiVatTu!J6:J521),4)</f>
        <v>1821.96</v>
      </c>
      <c r="F35" s="15">
        <f>ROUND('Giá tháng'!E30,1)</f>
        <v>11100</v>
      </c>
      <c r="G35" s="15">
        <f t="shared" si="0"/>
        <v>20223756</v>
      </c>
      <c r="H35" s="21">
        <f>ROUND('Giá tháng'!F30,1)</f>
        <v>10500</v>
      </c>
      <c r="I35" s="15">
        <f t="shared" si="1"/>
        <v>19130580</v>
      </c>
      <c r="J35" s="17">
        <v>1</v>
      </c>
      <c r="K35" s="15">
        <f t="shared" si="2"/>
        <v>10500</v>
      </c>
      <c r="L35" s="15">
        <f t="shared" si="3"/>
        <v>19130580</v>
      </c>
      <c r="M35" s="15">
        <f t="shared" si="4"/>
        <v>0</v>
      </c>
      <c r="N35" s="15">
        <f t="shared" si="5"/>
        <v>0</v>
      </c>
      <c r="O35" s="15">
        <f t="shared" si="6"/>
        <v>10500</v>
      </c>
      <c r="P35" s="15">
        <f t="shared" si="7"/>
        <v>19130580</v>
      </c>
      <c r="Q35" s="15">
        <f t="shared" si="8"/>
        <v>-600</v>
      </c>
      <c r="R35" s="15">
        <f t="shared" si="9"/>
        <v>-1093176</v>
      </c>
      <c r="S35">
        <f>'Cước VC'!AU30</f>
        <v>0</v>
      </c>
      <c r="T35">
        <f>'Cước bộ'!W30</f>
        <v>0</v>
      </c>
    </row>
    <row r="36" spans="1:20" ht="16.5" customHeight="1">
      <c r="A36" s="12">
        <v>31</v>
      </c>
      <c r="B36" s="13" t="str">
        <f>'Giá tháng'!B31</f>
        <v>A24.0524</v>
      </c>
      <c r="C36" s="14" t="str">
        <f>'Giá tháng'!C31</f>
        <v>Nước</v>
      </c>
      <c r="D36" s="13" t="str">
        <f>'Giá tháng'!D31</f>
        <v>lít</v>
      </c>
      <c r="E36" s="89">
        <f>ROUND(SUMIF(HaoPhiVatTu!S6:S521,1030,HaoPhiVatTu!J6:J521),4)</f>
        <v>357.50400000000002</v>
      </c>
      <c r="F36" s="15">
        <f>ROUND('Giá tháng'!E31,1)</f>
        <v>12</v>
      </c>
      <c r="G36" s="15">
        <f t="shared" si="0"/>
        <v>4290</v>
      </c>
      <c r="H36" s="21">
        <f>ROUND('Giá tháng'!F31,1)</f>
        <v>20</v>
      </c>
      <c r="I36" s="15">
        <f t="shared" si="1"/>
        <v>7150.1</v>
      </c>
      <c r="J36" s="17">
        <v>1</v>
      </c>
      <c r="K36" s="15">
        <f t="shared" si="2"/>
        <v>20</v>
      </c>
      <c r="L36" s="15">
        <f t="shared" si="3"/>
        <v>7150.1</v>
      </c>
      <c r="M36" s="15">
        <f t="shared" si="4"/>
        <v>0</v>
      </c>
      <c r="N36" s="15">
        <f t="shared" si="5"/>
        <v>0</v>
      </c>
      <c r="O36" s="15">
        <f t="shared" si="6"/>
        <v>20</v>
      </c>
      <c r="P36" s="15">
        <f t="shared" si="7"/>
        <v>7150.1</v>
      </c>
      <c r="Q36" s="15">
        <f t="shared" si="8"/>
        <v>8</v>
      </c>
      <c r="R36" s="15">
        <f t="shared" si="9"/>
        <v>2860.1</v>
      </c>
      <c r="S36">
        <f>'Cước VC'!AU31</f>
        <v>0</v>
      </c>
      <c r="T36">
        <f>'Cước bộ'!W31</f>
        <v>0</v>
      </c>
    </row>
    <row r="37" spans="1:20" ht="16.5" customHeight="1">
      <c r="A37" s="12">
        <v>32</v>
      </c>
      <c r="B37" s="13" t="str">
        <f>'Giá tháng'!B32</f>
        <v>A24.0524</v>
      </c>
      <c r="C37" s="14" t="str">
        <f>'Giá tháng'!C32</f>
        <v>Nước</v>
      </c>
      <c r="D37" s="13" t="str">
        <f>'Giá tháng'!D32</f>
        <v>lít</v>
      </c>
      <c r="E37" s="89">
        <f>ROUND(SUMIF(HaoPhiVatTu!S6:S521,1031,HaoPhiVatTu!J6:J521),4)</f>
        <v>68510.241299999994</v>
      </c>
      <c r="F37" s="15">
        <f>ROUND('Giá tháng'!E32,1)</f>
        <v>12</v>
      </c>
      <c r="G37" s="15">
        <f t="shared" si="0"/>
        <v>822122.9</v>
      </c>
      <c r="H37" s="21">
        <f>ROUND('Giá tháng'!F32,1)</f>
        <v>20</v>
      </c>
      <c r="I37" s="15">
        <f t="shared" si="1"/>
        <v>1370204.8</v>
      </c>
      <c r="J37" s="17">
        <v>1</v>
      </c>
      <c r="K37" s="15">
        <f t="shared" si="2"/>
        <v>20</v>
      </c>
      <c r="L37" s="15">
        <f t="shared" si="3"/>
        <v>1370204.8</v>
      </c>
      <c r="M37" s="15">
        <f t="shared" si="4"/>
        <v>0</v>
      </c>
      <c r="N37" s="15">
        <f t="shared" si="5"/>
        <v>0</v>
      </c>
      <c r="O37" s="15">
        <f t="shared" si="6"/>
        <v>20</v>
      </c>
      <c r="P37" s="15">
        <f t="shared" si="7"/>
        <v>1370204.8</v>
      </c>
      <c r="Q37" s="15">
        <f t="shared" si="8"/>
        <v>8</v>
      </c>
      <c r="R37" s="15">
        <f t="shared" si="9"/>
        <v>548081.9</v>
      </c>
      <c r="S37">
        <f>'Cước VC'!AU31</f>
        <v>0</v>
      </c>
      <c r="T37">
        <f>'Cước bộ'!W31</f>
        <v>0</v>
      </c>
    </row>
    <row r="38" spans="1:20" ht="16.5" customHeight="1">
      <c r="A38" s="12">
        <v>33</v>
      </c>
      <c r="B38" s="13" t="str">
        <f>'Giá tháng'!B33</f>
        <v>A24.0520</v>
      </c>
      <c r="C38" s="14" t="str">
        <f>'Giá tháng'!C33</f>
        <v>Nhựa đường</v>
      </c>
      <c r="D38" s="13" t="str">
        <f>'Giá tháng'!D33</f>
        <v>kg</v>
      </c>
      <c r="E38" s="89">
        <f>ROUND(SUMIF(HaoPhiVatTu!S6:S521,1032,HaoPhiVatTu!J6:J521),4)</f>
        <v>57.09</v>
      </c>
      <c r="F38" s="15">
        <f>ROUND('Giá tháng'!E33,1)</f>
        <v>15300</v>
      </c>
      <c r="G38" s="15">
        <f t="shared" si="0"/>
        <v>873477</v>
      </c>
      <c r="H38" s="21">
        <f>ROUND('Giá tháng'!F33,1)</f>
        <v>17100</v>
      </c>
      <c r="I38" s="15">
        <f t="shared" si="1"/>
        <v>976239</v>
      </c>
      <c r="J38" s="17">
        <v>1</v>
      </c>
      <c r="K38" s="15">
        <f t="shared" si="2"/>
        <v>17100</v>
      </c>
      <c r="L38" s="15">
        <f t="shared" si="3"/>
        <v>976239</v>
      </c>
      <c r="M38" s="15">
        <f t="shared" si="4"/>
        <v>0</v>
      </c>
      <c r="N38" s="15">
        <f t="shared" si="5"/>
        <v>0</v>
      </c>
      <c r="O38" s="15">
        <f t="shared" si="6"/>
        <v>17100</v>
      </c>
      <c r="P38" s="15">
        <f t="shared" si="7"/>
        <v>976239</v>
      </c>
      <c r="Q38" s="15">
        <f t="shared" si="8"/>
        <v>1800</v>
      </c>
      <c r="R38" s="15">
        <f t="shared" si="9"/>
        <v>102762</v>
      </c>
      <c r="S38">
        <f>'Cước VC'!AU32</f>
        <v>0</v>
      </c>
      <c r="T38">
        <f>'Cước bộ'!W32</f>
        <v>0</v>
      </c>
    </row>
    <row r="39" spans="1:20" ht="16.5" customHeight="1">
      <c r="A39" s="12">
        <v>34</v>
      </c>
      <c r="B39" s="13" t="str">
        <f>'Giá tháng'!B34</f>
        <v>A24.0001</v>
      </c>
      <c r="C39" s="14" t="str">
        <f>'Giá tháng'!C34</f>
        <v>Ô xy</v>
      </c>
      <c r="D39" s="13" t="str">
        <f>'Giá tháng'!D34</f>
        <v>chai</v>
      </c>
      <c r="E39" s="89">
        <f>ROUND(SUMIF(HaoPhiVatTu!S6:S521,1033,HaoPhiVatTu!J6:J521),4)</f>
        <v>1.2638</v>
      </c>
      <c r="F39" s="15">
        <f>ROUND('Giá tháng'!E34,1)</f>
        <v>53333</v>
      </c>
      <c r="G39" s="15">
        <f t="shared" si="0"/>
        <v>67402.2</v>
      </c>
      <c r="H39" s="21">
        <f>ROUND('Giá tháng'!F34,1)</f>
        <v>83000</v>
      </c>
      <c r="I39" s="15">
        <f t="shared" si="1"/>
        <v>104895.4</v>
      </c>
      <c r="J39" s="17">
        <v>1</v>
      </c>
      <c r="K39" s="15">
        <f t="shared" si="2"/>
        <v>83000</v>
      </c>
      <c r="L39" s="15">
        <f t="shared" si="3"/>
        <v>104895.4</v>
      </c>
      <c r="M39" s="15">
        <f t="shared" si="4"/>
        <v>0</v>
      </c>
      <c r="N39" s="15">
        <f t="shared" si="5"/>
        <v>0</v>
      </c>
      <c r="O39" s="15">
        <f t="shared" si="6"/>
        <v>83000</v>
      </c>
      <c r="P39" s="15">
        <f t="shared" si="7"/>
        <v>104895.4</v>
      </c>
      <c r="Q39" s="15">
        <f t="shared" si="8"/>
        <v>29667</v>
      </c>
      <c r="R39" s="15">
        <f t="shared" si="9"/>
        <v>37493.199999999997</v>
      </c>
      <c r="S39">
        <f>'Cước VC'!AU33</f>
        <v>0</v>
      </c>
      <c r="T39">
        <f>'Cước bộ'!W33</f>
        <v>0</v>
      </c>
    </row>
    <row r="40" spans="1:20" ht="16.5" customHeight="1">
      <c r="A40" s="12">
        <v>35</v>
      </c>
      <c r="B40" s="13" t="str">
        <f>'Giá tháng'!B35</f>
        <v>A33.0170</v>
      </c>
      <c r="C40" s="14" t="str">
        <f>'Giá tháng'!C35</f>
        <v>Ống bê tông dài 2m D400mm</v>
      </c>
      <c r="D40" s="13" t="str">
        <f>'Giá tháng'!D35</f>
        <v>đoạn</v>
      </c>
      <c r="E40" s="89">
        <f>ROUND(SUMIF(HaoPhiVatTu!S6:S521,1034,HaoPhiVatTu!J6:J521),4)</f>
        <v>213</v>
      </c>
      <c r="F40" s="15">
        <f>ROUND('Giá tháng'!E35,1)</f>
        <v>792000</v>
      </c>
      <c r="G40" s="15">
        <f t="shared" si="0"/>
        <v>168696000</v>
      </c>
      <c r="H40" s="21">
        <f>ROUND('Giá tháng'!F35,1)</f>
        <v>890000</v>
      </c>
      <c r="I40" s="15">
        <f t="shared" si="1"/>
        <v>189570000</v>
      </c>
      <c r="J40" s="17">
        <v>1</v>
      </c>
      <c r="K40" s="15">
        <f t="shared" si="2"/>
        <v>890000</v>
      </c>
      <c r="L40" s="15">
        <f t="shared" si="3"/>
        <v>189570000</v>
      </c>
      <c r="M40" s="15">
        <f t="shared" si="4"/>
        <v>0</v>
      </c>
      <c r="N40" s="15">
        <f t="shared" si="5"/>
        <v>0</v>
      </c>
      <c r="O40" s="15">
        <f t="shared" si="6"/>
        <v>890000</v>
      </c>
      <c r="P40" s="15">
        <f t="shared" si="7"/>
        <v>189570000</v>
      </c>
      <c r="Q40" s="15">
        <f t="shared" si="8"/>
        <v>98000</v>
      </c>
      <c r="R40" s="15">
        <f t="shared" si="9"/>
        <v>20874000</v>
      </c>
      <c r="S40">
        <f>'Cước VC'!AU34</f>
        <v>0</v>
      </c>
      <c r="T40">
        <f>'Cước bộ'!W34</f>
        <v>0</v>
      </c>
    </row>
    <row r="41" spans="1:20" ht="16.5" customHeight="1">
      <c r="A41" s="12">
        <v>36</v>
      </c>
      <c r="B41" s="13" t="str">
        <f>'Giá tháng'!B36</f>
        <v>A24.0334</v>
      </c>
      <c r="C41" s="14" t="str">
        <f>'Giá tháng'!C36</f>
        <v>ống nhựa F42</v>
      </c>
      <c r="D41" s="13" t="str">
        <f>'Giá tháng'!D36</f>
        <v>m</v>
      </c>
      <c r="E41" s="89">
        <f>ROUND(SUMIF(HaoPhiVatTu!S6:S521,1035,HaoPhiVatTu!J6:J521),4)</f>
        <v>141.51</v>
      </c>
      <c r="F41" s="15">
        <f>ROUND('Giá tháng'!E36,1)</f>
        <v>12818</v>
      </c>
      <c r="G41" s="15">
        <f t="shared" si="0"/>
        <v>1813875.2</v>
      </c>
      <c r="H41" s="21">
        <f>ROUND('Giá tháng'!F36,1)</f>
        <v>18500</v>
      </c>
      <c r="I41" s="15">
        <f t="shared" si="1"/>
        <v>2617935</v>
      </c>
      <c r="J41" s="17">
        <v>1</v>
      </c>
      <c r="K41" s="15">
        <f t="shared" si="2"/>
        <v>18500</v>
      </c>
      <c r="L41" s="15">
        <f t="shared" si="3"/>
        <v>2617935</v>
      </c>
      <c r="M41" s="15">
        <f t="shared" si="4"/>
        <v>0</v>
      </c>
      <c r="N41" s="15">
        <f t="shared" si="5"/>
        <v>0</v>
      </c>
      <c r="O41" s="15">
        <f t="shared" si="6"/>
        <v>18500</v>
      </c>
      <c r="P41" s="15">
        <f t="shared" si="7"/>
        <v>2617935</v>
      </c>
      <c r="Q41" s="15">
        <f t="shared" si="8"/>
        <v>5682</v>
      </c>
      <c r="R41" s="15">
        <f t="shared" si="9"/>
        <v>804059.8</v>
      </c>
      <c r="S41">
        <f>'Cước VC'!AU35</f>
        <v>0</v>
      </c>
      <c r="T41">
        <f>'Cước bộ'!W35</f>
        <v>0</v>
      </c>
    </row>
    <row r="42" spans="1:20" ht="16.5" customHeight="1">
      <c r="A42" s="12">
        <v>37</v>
      </c>
      <c r="B42" s="13" t="str">
        <f>'Giá tháng'!B37</f>
        <v>A24.0543</v>
      </c>
      <c r="C42" s="14" t="str">
        <f>'Giá tháng'!C37</f>
        <v>Que hàn</v>
      </c>
      <c r="D42" s="13" t="str">
        <f>'Giá tháng'!D37</f>
        <v>kg</v>
      </c>
      <c r="E42" s="89">
        <f>ROUND(SUMIF(HaoPhiVatTu!S6:S521,1036,HaoPhiVatTu!J6:J521),4)</f>
        <v>8.2032000000000007</v>
      </c>
      <c r="F42" s="15">
        <f>ROUND('Giá tháng'!E37,1)</f>
        <v>25000</v>
      </c>
      <c r="G42" s="15">
        <f t="shared" si="0"/>
        <v>205080</v>
      </c>
      <c r="H42" s="21">
        <f>ROUND('Giá tháng'!F37,1)</f>
        <v>25000</v>
      </c>
      <c r="I42" s="15">
        <f t="shared" si="1"/>
        <v>205080</v>
      </c>
      <c r="J42" s="17">
        <v>1</v>
      </c>
      <c r="K42" s="15">
        <f t="shared" si="2"/>
        <v>25000</v>
      </c>
      <c r="L42" s="15">
        <f t="shared" si="3"/>
        <v>205080</v>
      </c>
      <c r="M42" s="15">
        <f t="shared" si="4"/>
        <v>0</v>
      </c>
      <c r="N42" s="15">
        <f t="shared" si="5"/>
        <v>0</v>
      </c>
      <c r="O42" s="15">
        <f t="shared" si="6"/>
        <v>25000</v>
      </c>
      <c r="P42" s="15">
        <f t="shared" si="7"/>
        <v>205080</v>
      </c>
      <c r="Q42" s="15">
        <f t="shared" si="8"/>
        <v>0</v>
      </c>
      <c r="R42" s="15">
        <f t="shared" si="9"/>
        <v>0</v>
      </c>
      <c r="S42">
        <f>'Cước VC'!AU36</f>
        <v>0</v>
      </c>
      <c r="T42">
        <f>'Cước bộ'!W36</f>
        <v>0</v>
      </c>
    </row>
    <row r="43" spans="1:20" ht="16.5" customHeight="1">
      <c r="A43" s="12">
        <v>38</v>
      </c>
      <c r="B43" s="13" t="str">
        <f>'Giá tháng'!B38</f>
        <v>A24.1074</v>
      </c>
      <c r="C43" s="14" t="str">
        <f>'Giá tháng'!C38</f>
        <v>Thép F25</v>
      </c>
      <c r="D43" s="13" t="str">
        <f>'Giá tháng'!D38</f>
        <v>kg</v>
      </c>
      <c r="E43" s="89">
        <f>ROUND(SUMIF(HaoPhiVatTu!S6:S521,1037,HaoPhiVatTu!J6:J521),4)</f>
        <v>1699.25</v>
      </c>
      <c r="F43" s="15">
        <f>ROUND('Giá tháng'!E38,1)</f>
        <v>19200</v>
      </c>
      <c r="G43" s="15">
        <f t="shared" si="0"/>
        <v>32625600</v>
      </c>
      <c r="H43" s="21">
        <f>ROUND('Giá tháng'!F38,1)</f>
        <v>19500</v>
      </c>
      <c r="I43" s="15">
        <f t="shared" si="1"/>
        <v>33135375</v>
      </c>
      <c r="J43" s="17">
        <v>1</v>
      </c>
      <c r="K43" s="15">
        <f t="shared" si="2"/>
        <v>19500</v>
      </c>
      <c r="L43" s="15">
        <f t="shared" si="3"/>
        <v>33135375</v>
      </c>
      <c r="M43" s="15">
        <f t="shared" si="4"/>
        <v>0</v>
      </c>
      <c r="N43" s="15">
        <f t="shared" si="5"/>
        <v>0</v>
      </c>
      <c r="O43" s="15">
        <f t="shared" si="6"/>
        <v>19500</v>
      </c>
      <c r="P43" s="15">
        <f t="shared" si="7"/>
        <v>33135375</v>
      </c>
      <c r="Q43" s="15">
        <f t="shared" si="8"/>
        <v>300</v>
      </c>
      <c r="R43" s="15">
        <f t="shared" si="9"/>
        <v>509775</v>
      </c>
      <c r="S43">
        <f>'Cước VC'!AU37</f>
        <v>0</v>
      </c>
      <c r="T43">
        <f>'Cước bộ'!W37</f>
        <v>0</v>
      </c>
    </row>
    <row r="44" spans="1:20" ht="16.5" customHeight="1">
      <c r="A44" s="12">
        <v>39</v>
      </c>
      <c r="B44" s="13" t="str">
        <f>'Giá tháng'!B39</f>
        <v>A24.0921</v>
      </c>
      <c r="C44" s="14" t="str">
        <f>'Giá tháng'!C39</f>
        <v>Thép hình, thép tấm</v>
      </c>
      <c r="D44" s="13" t="str">
        <f>'Giá tháng'!D39</f>
        <v>kg</v>
      </c>
      <c r="E44" s="89">
        <f>ROUND(SUMIF(HaoPhiVatTu!S6:S521,1038,HaoPhiVatTu!J6:J521),4)</f>
        <v>57.087499999999999</v>
      </c>
      <c r="F44" s="15">
        <f>ROUND('Giá tháng'!E39,1)</f>
        <v>19250</v>
      </c>
      <c r="G44" s="15">
        <f t="shared" si="0"/>
        <v>1098934.3999999999</v>
      </c>
      <c r="H44" s="21">
        <f>ROUND('Giá tháng'!F39,1)</f>
        <v>19500</v>
      </c>
      <c r="I44" s="15">
        <f t="shared" si="1"/>
        <v>1113206.3</v>
      </c>
      <c r="J44" s="17">
        <v>1</v>
      </c>
      <c r="K44" s="15">
        <f t="shared" si="2"/>
        <v>19500</v>
      </c>
      <c r="L44" s="15">
        <f t="shared" si="3"/>
        <v>1113206.3</v>
      </c>
      <c r="M44" s="15">
        <f t="shared" si="4"/>
        <v>0</v>
      </c>
      <c r="N44" s="15">
        <f t="shared" si="5"/>
        <v>0</v>
      </c>
      <c r="O44" s="15">
        <f t="shared" si="6"/>
        <v>19500</v>
      </c>
      <c r="P44" s="15">
        <f t="shared" si="7"/>
        <v>1113206.3</v>
      </c>
      <c r="Q44" s="15">
        <f t="shared" si="8"/>
        <v>250</v>
      </c>
      <c r="R44" s="15">
        <f t="shared" si="9"/>
        <v>14271.9</v>
      </c>
      <c r="S44">
        <f>'Cước VC'!AU38</f>
        <v>0</v>
      </c>
      <c r="T44">
        <f>'Cước bộ'!W38</f>
        <v>0</v>
      </c>
    </row>
    <row r="45" spans="1:20" ht="16.5" customHeight="1">
      <c r="A45" s="12">
        <v>40</v>
      </c>
      <c r="B45" s="13" t="str">
        <f>'Giá tháng'!B40</f>
        <v>A24.0726</v>
      </c>
      <c r="C45" s="14" t="str">
        <f>'Giá tháng'!C40</f>
        <v>Thép tấm</v>
      </c>
      <c r="D45" s="13" t="str">
        <f>'Giá tháng'!D40</f>
        <v>kg</v>
      </c>
      <c r="E45" s="89">
        <f>ROUND(SUMIF(HaoPhiVatTu!S6:S521,1039,HaoPhiVatTu!J6:J521),4)</f>
        <v>369.73259999999999</v>
      </c>
      <c r="F45" s="15">
        <f>ROUND('Giá tháng'!E40,1)</f>
        <v>19250</v>
      </c>
      <c r="G45" s="15">
        <f t="shared" si="0"/>
        <v>7117352.5999999996</v>
      </c>
      <c r="H45" s="21">
        <f>ROUND('Giá tháng'!F40,1)</f>
        <v>19500</v>
      </c>
      <c r="I45" s="15">
        <f t="shared" si="1"/>
        <v>7209785.7000000002</v>
      </c>
      <c r="J45" s="17">
        <v>1</v>
      </c>
      <c r="K45" s="15">
        <f t="shared" si="2"/>
        <v>19500</v>
      </c>
      <c r="L45" s="15">
        <f t="shared" si="3"/>
        <v>7209785.7000000002</v>
      </c>
      <c r="M45" s="15">
        <f t="shared" si="4"/>
        <v>0</v>
      </c>
      <c r="N45" s="15">
        <f t="shared" si="5"/>
        <v>0</v>
      </c>
      <c r="O45" s="15">
        <f t="shared" si="6"/>
        <v>19500</v>
      </c>
      <c r="P45" s="15">
        <f t="shared" si="7"/>
        <v>7209785.7000000002</v>
      </c>
      <c r="Q45" s="15">
        <f t="shared" si="8"/>
        <v>250</v>
      </c>
      <c r="R45" s="15">
        <f t="shared" si="9"/>
        <v>92433.1</v>
      </c>
      <c r="S45">
        <f>'Cước VC'!AU39</f>
        <v>0</v>
      </c>
      <c r="T45">
        <f>'Cước bộ'!W39</f>
        <v>0</v>
      </c>
    </row>
    <row r="46" spans="1:20" ht="16.5" customHeight="1">
      <c r="A46" s="12">
        <v>41</v>
      </c>
      <c r="B46" s="13" t="str">
        <f>'Giá tháng'!B41</f>
        <v>A24.0735</v>
      </c>
      <c r="C46" s="14" t="str">
        <f>'Giá tháng'!C41</f>
        <v>Thép tròn</v>
      </c>
      <c r="D46" s="13" t="str">
        <f>'Giá tháng'!D41</f>
        <v>kg</v>
      </c>
      <c r="E46" s="89">
        <f>ROUND(SUMIF(HaoPhiVatTu!S6:S521,1040,HaoPhiVatTu!J6:J521),4)</f>
        <v>1190.4774</v>
      </c>
      <c r="F46" s="15">
        <f>ROUND('Giá tháng'!E41,1)</f>
        <v>19200</v>
      </c>
      <c r="G46" s="15">
        <f t="shared" si="0"/>
        <v>22857166.100000001</v>
      </c>
      <c r="H46" s="21">
        <f>ROUND('Giá tháng'!F41,1)</f>
        <v>16500</v>
      </c>
      <c r="I46" s="15">
        <f t="shared" si="1"/>
        <v>19642877.100000001</v>
      </c>
      <c r="J46" s="17">
        <v>1</v>
      </c>
      <c r="K46" s="15">
        <f t="shared" si="2"/>
        <v>16500</v>
      </c>
      <c r="L46" s="15">
        <f t="shared" si="3"/>
        <v>19642877.100000001</v>
      </c>
      <c r="M46" s="15">
        <f t="shared" si="4"/>
        <v>0</v>
      </c>
      <c r="N46" s="15">
        <f t="shared" si="5"/>
        <v>0</v>
      </c>
      <c r="O46" s="15">
        <f t="shared" si="6"/>
        <v>16500</v>
      </c>
      <c r="P46" s="15">
        <f t="shared" si="7"/>
        <v>19642877.100000001</v>
      </c>
      <c r="Q46" s="15">
        <f t="shared" si="8"/>
        <v>-2700</v>
      </c>
      <c r="R46" s="15">
        <f t="shared" si="9"/>
        <v>-3214289</v>
      </c>
      <c r="S46">
        <f>'Cước VC'!AU40</f>
        <v>0</v>
      </c>
      <c r="T46">
        <f>'Cước bộ'!W40</f>
        <v>0</v>
      </c>
    </row>
    <row r="47" spans="1:20" ht="16.5" customHeight="1">
      <c r="A47" s="12">
        <v>42</v>
      </c>
      <c r="B47" s="13" t="str">
        <f>'Giá tháng'!B42</f>
        <v>A24.0738</v>
      </c>
      <c r="C47" s="14" t="str">
        <f>'Giá tháng'!C42</f>
        <v>Thép tròn D&lt;=10mm</v>
      </c>
      <c r="D47" s="13" t="str">
        <f>'Giá tháng'!D42</f>
        <v>kg</v>
      </c>
      <c r="E47" s="89">
        <f>ROUND(SUMIF(HaoPhiVatTu!S6:S521,1041,HaoPhiVatTu!J6:J521),4)</f>
        <v>3.1154999999999999</v>
      </c>
      <c r="F47" s="15">
        <f>ROUND('Giá tháng'!E42,1)</f>
        <v>19200</v>
      </c>
      <c r="G47" s="15">
        <f t="shared" si="0"/>
        <v>59817.599999999999</v>
      </c>
      <c r="H47" s="21">
        <f>ROUND('Giá tháng'!F42,1)</f>
        <v>16500</v>
      </c>
      <c r="I47" s="15">
        <f t="shared" si="1"/>
        <v>51405.8</v>
      </c>
      <c r="J47" s="17">
        <v>1</v>
      </c>
      <c r="K47" s="15">
        <f t="shared" si="2"/>
        <v>16500</v>
      </c>
      <c r="L47" s="15">
        <f t="shared" si="3"/>
        <v>51405.8</v>
      </c>
      <c r="M47" s="15">
        <f t="shared" si="4"/>
        <v>0</v>
      </c>
      <c r="N47" s="15">
        <f t="shared" si="5"/>
        <v>0</v>
      </c>
      <c r="O47" s="15">
        <f t="shared" si="6"/>
        <v>16500</v>
      </c>
      <c r="P47" s="15">
        <f t="shared" si="7"/>
        <v>51405.8</v>
      </c>
      <c r="Q47" s="15">
        <f t="shared" si="8"/>
        <v>-2700</v>
      </c>
      <c r="R47" s="15">
        <f t="shared" si="9"/>
        <v>-8411.7999999999993</v>
      </c>
      <c r="S47">
        <f>'Cước VC'!AU41</f>
        <v>0</v>
      </c>
      <c r="T47">
        <f>'Cước bộ'!W41</f>
        <v>0</v>
      </c>
    </row>
    <row r="48" spans="1:20" ht="16.5" customHeight="1">
      <c r="A48" s="12">
        <v>43</v>
      </c>
      <c r="B48" s="13" t="str">
        <f>'Giá tháng'!B43</f>
        <v>A24.0739</v>
      </c>
      <c r="C48" s="14" t="str">
        <f>'Giá tháng'!C43</f>
        <v>Thép tròn D&lt;=18mm</v>
      </c>
      <c r="D48" s="13" t="str">
        <f>'Giá tháng'!D43</f>
        <v>kg</v>
      </c>
      <c r="E48" s="89">
        <f>ROUND(SUMIF(HaoPhiVatTu!S6:S521,1042,HaoPhiVatTu!J6:J521),4)</f>
        <v>37.332000000000001</v>
      </c>
      <c r="F48" s="15">
        <f>ROUND('Giá tháng'!E43,1)</f>
        <v>19200</v>
      </c>
      <c r="G48" s="15">
        <f t="shared" si="0"/>
        <v>716774.40000000002</v>
      </c>
      <c r="H48" s="21">
        <f>ROUND('Giá tháng'!F43,1)</f>
        <v>16500</v>
      </c>
      <c r="I48" s="15">
        <f t="shared" si="1"/>
        <v>615978</v>
      </c>
      <c r="J48" s="17">
        <v>1</v>
      </c>
      <c r="K48" s="15">
        <f t="shared" si="2"/>
        <v>16500</v>
      </c>
      <c r="L48" s="15">
        <f t="shared" si="3"/>
        <v>615978</v>
      </c>
      <c r="M48" s="15">
        <f t="shared" si="4"/>
        <v>0</v>
      </c>
      <c r="N48" s="15">
        <f t="shared" si="5"/>
        <v>0</v>
      </c>
      <c r="O48" s="15">
        <f t="shared" si="6"/>
        <v>16500</v>
      </c>
      <c r="P48" s="15">
        <f t="shared" si="7"/>
        <v>615978</v>
      </c>
      <c r="Q48" s="15">
        <f t="shared" si="8"/>
        <v>-2700</v>
      </c>
      <c r="R48" s="15">
        <f t="shared" si="9"/>
        <v>-100796.4</v>
      </c>
      <c r="S48">
        <f>'Cước VC'!AU42</f>
        <v>0</v>
      </c>
      <c r="T48">
        <f>'Cước bộ'!W42</f>
        <v>0</v>
      </c>
    </row>
    <row r="49" spans="1:20" ht="16.5" customHeight="1">
      <c r="A49" s="12">
        <v>44</v>
      </c>
      <c r="B49" s="13" t="str">
        <f>'Giá tháng'!B45</f>
        <v>A24.0797A</v>
      </c>
      <c r="C49" s="14" t="str">
        <f>'Giá tháng'!C45</f>
        <v>Xi măng PCB30</v>
      </c>
      <c r="D49" s="13" t="str">
        <f>'Giá tháng'!D45</f>
        <v>kg</v>
      </c>
      <c r="E49" s="89">
        <f>ROUND(SUMIF(HaoPhiVatTu!S6:S521,1043,HaoPhiVatTu!J6:J521),4)</f>
        <v>145509.2438</v>
      </c>
      <c r="F49" s="15">
        <f>ROUND('Giá tháng'!E45,1)</f>
        <v>1380</v>
      </c>
      <c r="G49" s="15">
        <f t="shared" si="0"/>
        <v>200802756.40000001</v>
      </c>
      <c r="H49" s="21">
        <f>ROUND('Giá tháng'!F45,1)</f>
        <v>1481</v>
      </c>
      <c r="I49" s="15">
        <f t="shared" si="1"/>
        <v>215499190.09999999</v>
      </c>
      <c r="J49" s="17">
        <v>1</v>
      </c>
      <c r="K49" s="15">
        <f t="shared" si="2"/>
        <v>1481</v>
      </c>
      <c r="L49" s="15">
        <f t="shared" si="3"/>
        <v>215499190.09999999</v>
      </c>
      <c r="M49" s="15">
        <f t="shared" si="4"/>
        <v>0</v>
      </c>
      <c r="N49" s="15">
        <f t="shared" si="5"/>
        <v>0</v>
      </c>
      <c r="O49" s="15">
        <f t="shared" si="6"/>
        <v>1481</v>
      </c>
      <c r="P49" s="15">
        <f t="shared" si="7"/>
        <v>215499190.09999999</v>
      </c>
      <c r="Q49" s="15">
        <f t="shared" si="8"/>
        <v>101</v>
      </c>
      <c r="R49" s="15">
        <f t="shared" si="9"/>
        <v>14696433.699999999</v>
      </c>
      <c r="S49">
        <f>'Cước VC'!AU43</f>
        <v>0</v>
      </c>
      <c r="T49">
        <f>'Cước bộ'!W43</f>
        <v>0</v>
      </c>
    </row>
    <row r="50" spans="1:20" ht="16.5" customHeight="1">
      <c r="A50" s="12">
        <v>45</v>
      </c>
      <c r="B50" s="13" t="str">
        <f>'Giá tháng'!B46</f>
        <v>A24.0796A</v>
      </c>
      <c r="C50" s="14" t="str">
        <f>'Giá tháng'!C46</f>
        <v>Xi măng PCB40</v>
      </c>
      <c r="D50" s="13" t="str">
        <f>'Giá tháng'!D46</f>
        <v>kg</v>
      </c>
      <c r="E50" s="89">
        <f>ROUND(SUMIF(HaoPhiVatTu!S6:S521,1044,HaoPhiVatTu!J6:J521),4)</f>
        <v>453.54669999999999</v>
      </c>
      <c r="F50" s="15">
        <f>ROUND('Giá tháng'!E46,1)</f>
        <v>1398</v>
      </c>
      <c r="G50" s="15">
        <f t="shared" si="0"/>
        <v>634058.30000000005</v>
      </c>
      <c r="H50" s="21">
        <f>ROUND('Giá tháng'!F46,1)</f>
        <v>1500</v>
      </c>
      <c r="I50" s="15">
        <f t="shared" si="1"/>
        <v>680320.1</v>
      </c>
      <c r="J50" s="17">
        <v>1</v>
      </c>
      <c r="K50" s="15">
        <f t="shared" si="2"/>
        <v>1500</v>
      </c>
      <c r="L50" s="15">
        <f t="shared" si="3"/>
        <v>680320.1</v>
      </c>
      <c r="M50" s="15">
        <f t="shared" si="4"/>
        <v>0</v>
      </c>
      <c r="N50" s="15">
        <f t="shared" si="5"/>
        <v>0</v>
      </c>
      <c r="O50" s="15">
        <f t="shared" si="6"/>
        <v>1500</v>
      </c>
      <c r="P50" s="15">
        <f t="shared" si="7"/>
        <v>680320.1</v>
      </c>
      <c r="Q50" s="15">
        <f t="shared" si="8"/>
        <v>102</v>
      </c>
      <c r="R50" s="15">
        <f t="shared" si="9"/>
        <v>46261.8</v>
      </c>
      <c r="S50">
        <f>'Cước VC'!AU44</f>
        <v>0</v>
      </c>
      <c r="T50">
        <f>'Cước bộ'!W44</f>
        <v>0</v>
      </c>
    </row>
    <row r="51" spans="1:20" ht="16.5" customHeight="1">
      <c r="A51" s="12">
        <v>46</v>
      </c>
      <c r="B51" s="13" t="s">
        <v>684</v>
      </c>
      <c r="C51" s="14" t="s">
        <v>685</v>
      </c>
      <c r="D51" s="13" t="s">
        <v>682</v>
      </c>
      <c r="E51" s="89"/>
      <c r="F51" s="15"/>
      <c r="G51" s="15">
        <f>ROUND(HaoPhiVatTu!M4,1)</f>
        <v>8603009.4000000004</v>
      </c>
      <c r="H51" s="21"/>
      <c r="I51" s="15"/>
      <c r="J51" s="17"/>
      <c r="K51" s="15"/>
      <c r="L51" s="15"/>
      <c r="M51" s="15"/>
      <c r="N51" s="15"/>
      <c r="O51" s="15"/>
      <c r="P51" s="15">
        <f>ROUND(HaoPhiVatTu!O4,1)</f>
        <v>9383025</v>
      </c>
      <c r="Q51" s="15"/>
      <c r="R51" s="15">
        <f>ROUND(P51-G51,1)</f>
        <v>780015.6</v>
      </c>
    </row>
    <row r="52" spans="1:20" ht="16.5" customHeight="1">
      <c r="A52" s="98"/>
      <c r="B52" s="99"/>
      <c r="C52" s="100" t="s">
        <v>689</v>
      </c>
      <c r="D52" s="99"/>
      <c r="E52" s="101"/>
      <c r="F52" s="102"/>
      <c r="G52" s="102">
        <f>ROUND(SUM(G6:G51),0)</f>
        <v>1009132392</v>
      </c>
      <c r="H52" s="103"/>
      <c r="I52" s="102">
        <f>ROUND(SUM(I6:I51),0)</f>
        <v>1103651514</v>
      </c>
      <c r="J52" s="104"/>
      <c r="K52" s="102"/>
      <c r="L52" s="102">
        <f>ROUND(SUM(L6:L51),0)</f>
        <v>1103651514</v>
      </c>
      <c r="M52" s="102"/>
      <c r="N52" s="102">
        <f>ROUND(SUM(N6:N51),0)</f>
        <v>0</v>
      </c>
      <c r="O52" s="102"/>
      <c r="P52" s="102">
        <f>ROUND(SUM(P6:P51),0)</f>
        <v>1113034539</v>
      </c>
      <c r="Q52" s="102"/>
      <c r="R52" s="102">
        <f>ROUND(SUM(R6:R51),0)</f>
        <v>103902147</v>
      </c>
    </row>
    <row r="53" spans="1:20" ht="16.5" customHeight="1">
      <c r="A53" s="5" t="s">
        <v>490</v>
      </c>
      <c r="B53" s="6"/>
      <c r="C53" s="6" t="s">
        <v>491</v>
      </c>
      <c r="D53" s="6"/>
      <c r="E53" s="97"/>
      <c r="F53" s="7"/>
      <c r="G53" s="7"/>
      <c r="H53" s="8"/>
      <c r="I53" s="7"/>
      <c r="J53" s="9"/>
      <c r="K53" s="7"/>
      <c r="L53" s="7"/>
      <c r="M53" s="7"/>
      <c r="N53" s="7"/>
      <c r="O53" s="7"/>
      <c r="P53" s="7"/>
      <c r="Q53" s="7"/>
      <c r="R53" s="7"/>
    </row>
    <row r="54" spans="1:20" ht="16.5" customHeight="1">
      <c r="A54" s="12">
        <v>1</v>
      </c>
      <c r="B54" s="13" t="str">
        <f>'Công trình'!E116</f>
        <v>TT</v>
      </c>
      <c r="C54" s="14" t="str">
        <f>'Công trình'!F116</f>
        <v>Lắp đặt đế cống D400</v>
      </c>
      <c r="D54" s="13" t="str">
        <f>'Công trình'!G116</f>
        <v>Cái</v>
      </c>
      <c r="E54" s="89">
        <f>ROUND(IF('Công trình'!P43=0,'Công trình'!P116,'Công trình'!P43*'Công trình'!P116),4)</f>
        <v>639</v>
      </c>
      <c r="F54" s="15">
        <f>ROUND('Công trình'!S116,1)</f>
        <v>25000</v>
      </c>
      <c r="G54" s="15">
        <f t="shared" ref="G54:G60" si="10">ROUND(E54*F54,1)</f>
        <v>15975000</v>
      </c>
      <c r="H54" s="21">
        <f>ROUND('Công trình'!S116,1)</f>
        <v>25000</v>
      </c>
      <c r="I54" s="15">
        <f t="shared" ref="I54:I60" si="11">ROUND(E54*H54,1)</f>
        <v>15975000</v>
      </c>
      <c r="J54" s="17">
        <v>1</v>
      </c>
      <c r="K54" s="15">
        <f t="shared" ref="K54:K60" si="12">ROUND(H54*J54,1)</f>
        <v>25000</v>
      </c>
      <c r="L54" s="15">
        <f t="shared" ref="L54:L60" si="13">ROUND(E54*K54,1)</f>
        <v>15975000</v>
      </c>
      <c r="M54" s="15"/>
      <c r="N54" s="15"/>
      <c r="O54" s="15">
        <f t="shared" ref="O54:O60" si="14">H54</f>
        <v>25000</v>
      </c>
      <c r="P54" s="15">
        <f t="shared" ref="P54:P60" si="15">ROUND(E54*O54,1)</f>
        <v>15975000</v>
      </c>
      <c r="Q54" s="15">
        <f t="shared" ref="Q54:R60" si="16">ROUND(O54-F54,1)</f>
        <v>0</v>
      </c>
      <c r="R54" s="15">
        <f t="shared" si="16"/>
        <v>0</v>
      </c>
    </row>
    <row r="55" spans="1:20" ht="16.5" customHeight="1">
      <c r="A55" s="12">
        <v>2</v>
      </c>
      <c r="B55" s="13" t="str">
        <f>'Công trình'!E137</f>
        <v>TT</v>
      </c>
      <c r="C55" s="14" t="str">
        <f>'Công trình'!F137</f>
        <v>Bơm nước phục vụ thi công</v>
      </c>
      <c r="D55" s="13" t="str">
        <f>'Công trình'!G137</f>
        <v>ca</v>
      </c>
      <c r="E55" s="89">
        <f>ROUND(IF('Công trình'!P43=0,'Công trình'!P137,'Công trình'!P43*'Công trình'!P137),4)</f>
        <v>1</v>
      </c>
      <c r="F55" s="15">
        <f>ROUND('Công trình'!S137,1)</f>
        <v>200000</v>
      </c>
      <c r="G55" s="15">
        <f t="shared" si="10"/>
        <v>200000</v>
      </c>
      <c r="H55" s="21">
        <f>ROUND('Công trình'!S137,1)</f>
        <v>200000</v>
      </c>
      <c r="I55" s="15">
        <f t="shared" si="11"/>
        <v>200000</v>
      </c>
      <c r="J55" s="17">
        <v>1</v>
      </c>
      <c r="K55" s="15">
        <f t="shared" si="12"/>
        <v>200000</v>
      </c>
      <c r="L55" s="15">
        <f t="shared" si="13"/>
        <v>200000</v>
      </c>
      <c r="M55" s="15"/>
      <c r="N55" s="15"/>
      <c r="O55" s="15">
        <f t="shared" si="14"/>
        <v>200000</v>
      </c>
      <c r="P55" s="15">
        <f t="shared" si="15"/>
        <v>200000</v>
      </c>
      <c r="Q55" s="15">
        <f t="shared" si="16"/>
        <v>0</v>
      </c>
      <c r="R55" s="15">
        <f t="shared" si="16"/>
        <v>0</v>
      </c>
    </row>
    <row r="56" spans="1:20" ht="16.5" customHeight="1">
      <c r="A56" s="12">
        <v>3</v>
      </c>
      <c r="B56" s="13" t="str">
        <f>'Giá tháng'!B48</f>
        <v>N1.30</v>
      </c>
      <c r="C56" s="14" t="str">
        <f>'Giá tháng'!C48</f>
        <v>Nhân công 3,0/7 - Nhóm 1</v>
      </c>
      <c r="D56" s="13" t="str">
        <f>'Giá tháng'!D48</f>
        <v>công</v>
      </c>
      <c r="E56" s="89" t="e">
        <f>ROUND(SUMIF(HaoPhiVatTu!S6:S521,202,HaoPhiVatTu!K6:K521),4)</f>
        <v>#REF!</v>
      </c>
      <c r="F56" s="15">
        <f>ROUND('Giá tháng'!E48,1)</f>
        <v>221303</v>
      </c>
      <c r="G56" s="15" t="e">
        <f t="shared" si="10"/>
        <v>#REF!</v>
      </c>
      <c r="H56" s="21">
        <f>ROUND('Giá tháng'!F48,1)</f>
        <v>221303</v>
      </c>
      <c r="I56" s="15" t="e">
        <f t="shared" si="11"/>
        <v>#REF!</v>
      </c>
      <c r="J56" s="17">
        <v>1</v>
      </c>
      <c r="K56" s="15">
        <f t="shared" si="12"/>
        <v>221303</v>
      </c>
      <c r="L56" s="15" t="e">
        <f t="shared" si="13"/>
        <v>#REF!</v>
      </c>
      <c r="M56" s="15"/>
      <c r="N56" s="15"/>
      <c r="O56" s="15">
        <f t="shared" si="14"/>
        <v>221303</v>
      </c>
      <c r="P56" s="15" t="e">
        <f t="shared" si="15"/>
        <v>#REF!</v>
      </c>
      <c r="Q56" s="15">
        <f t="shared" si="16"/>
        <v>0</v>
      </c>
      <c r="R56" s="15" t="e">
        <f t="shared" si="16"/>
        <v>#REF!</v>
      </c>
    </row>
    <row r="57" spans="1:20" ht="16.5" customHeight="1">
      <c r="A57" s="12">
        <v>4</v>
      </c>
      <c r="B57" s="13" t="str">
        <f>'Giá tháng'!B49</f>
        <v>N2.30</v>
      </c>
      <c r="C57" s="14" t="str">
        <f>'Giá tháng'!C49</f>
        <v>Nhân công 3,0/7 - Nhóm 2</v>
      </c>
      <c r="D57" s="13" t="str">
        <f>'Giá tháng'!D49</f>
        <v>công</v>
      </c>
      <c r="E57" s="89">
        <f>ROUND(SUMIF(HaoPhiVatTu!S6:S521,203,HaoPhiVatTu!K6:K521),4)</f>
        <v>48.397500000000001</v>
      </c>
      <c r="F57" s="15">
        <f>ROUND('Giá tháng'!E49,1)</f>
        <v>239592</v>
      </c>
      <c r="G57" s="15">
        <f t="shared" si="10"/>
        <v>11595653.800000001</v>
      </c>
      <c r="H57" s="21">
        <f>ROUND('Giá tháng'!F49,1)</f>
        <v>239592</v>
      </c>
      <c r="I57" s="15">
        <f t="shared" si="11"/>
        <v>11595653.800000001</v>
      </c>
      <c r="J57" s="17">
        <v>1</v>
      </c>
      <c r="K57" s="15">
        <f t="shared" si="12"/>
        <v>239592</v>
      </c>
      <c r="L57" s="15">
        <f t="shared" si="13"/>
        <v>11595653.800000001</v>
      </c>
      <c r="M57" s="15"/>
      <c r="N57" s="15"/>
      <c r="O57" s="15">
        <f t="shared" si="14"/>
        <v>239592</v>
      </c>
      <c r="P57" s="15">
        <f t="shared" si="15"/>
        <v>11595653.800000001</v>
      </c>
      <c r="Q57" s="15">
        <f t="shared" si="16"/>
        <v>0</v>
      </c>
      <c r="R57" s="15">
        <f t="shared" si="16"/>
        <v>0</v>
      </c>
    </row>
    <row r="58" spans="1:20" ht="16.5" customHeight="1">
      <c r="A58" s="12">
        <v>5</v>
      </c>
      <c r="B58" s="13" t="str">
        <f>'Giá tháng'!B50</f>
        <v>N1.35</v>
      </c>
      <c r="C58" s="14" t="str">
        <f>'Giá tháng'!C50</f>
        <v>Nhân công 3,5/7 - Nhóm 1</v>
      </c>
      <c r="D58" s="13" t="str">
        <f>'Giá tháng'!D50</f>
        <v>công</v>
      </c>
      <c r="E58" s="89">
        <f>ROUND(SUMIF(HaoPhiVatTu!S6:S521,204,HaoPhiVatTu!K6:K521),4)</f>
        <v>1.4987999999999999</v>
      </c>
      <c r="F58" s="15">
        <f>ROUND('Giá tháng'!E50,1)</f>
        <v>242000</v>
      </c>
      <c r="G58" s="15">
        <f t="shared" si="10"/>
        <v>362709.6</v>
      </c>
      <c r="H58" s="21">
        <f>ROUND('Giá tháng'!F50,1)</f>
        <v>242000</v>
      </c>
      <c r="I58" s="15">
        <f t="shared" si="11"/>
        <v>362709.6</v>
      </c>
      <c r="J58" s="17">
        <v>1</v>
      </c>
      <c r="K58" s="15">
        <f t="shared" si="12"/>
        <v>242000</v>
      </c>
      <c r="L58" s="15">
        <f t="shared" si="13"/>
        <v>362709.6</v>
      </c>
      <c r="M58" s="15"/>
      <c r="N58" s="15"/>
      <c r="O58" s="15">
        <f t="shared" si="14"/>
        <v>242000</v>
      </c>
      <c r="P58" s="15">
        <f t="shared" si="15"/>
        <v>362709.6</v>
      </c>
      <c r="Q58" s="15">
        <f t="shared" si="16"/>
        <v>0</v>
      </c>
      <c r="R58" s="15">
        <f t="shared" si="16"/>
        <v>0</v>
      </c>
    </row>
    <row r="59" spans="1:20" ht="16.5" customHeight="1">
      <c r="A59" s="12">
        <v>6</v>
      </c>
      <c r="B59" s="13" t="str">
        <f>'Giá tháng'!B51</f>
        <v>N2.35</v>
      </c>
      <c r="C59" s="14" t="str">
        <f>'Giá tháng'!C51</f>
        <v>Nhân công 3,5/7 - Nhóm 2</v>
      </c>
      <c r="D59" s="13" t="str">
        <f>'Giá tháng'!D51</f>
        <v>công</v>
      </c>
      <c r="E59" s="89">
        <f>ROUND(SUMIF(HaoPhiVatTu!S6:S521,205,HaoPhiVatTu!K6:K521),4)</f>
        <v>790.86260000000004</v>
      </c>
      <c r="F59" s="15">
        <f>ROUND('Giá tháng'!E51,1)</f>
        <v>262000</v>
      </c>
      <c r="G59" s="15">
        <f t="shared" si="10"/>
        <v>207206001.19999999</v>
      </c>
      <c r="H59" s="21">
        <f>ROUND('Giá tháng'!F51,1)</f>
        <v>262000</v>
      </c>
      <c r="I59" s="15">
        <f t="shared" si="11"/>
        <v>207206001.19999999</v>
      </c>
      <c r="J59" s="17">
        <v>1</v>
      </c>
      <c r="K59" s="15">
        <f t="shared" si="12"/>
        <v>262000</v>
      </c>
      <c r="L59" s="15">
        <f t="shared" si="13"/>
        <v>207206001.19999999</v>
      </c>
      <c r="M59" s="15"/>
      <c r="N59" s="15"/>
      <c r="O59" s="15">
        <f t="shared" si="14"/>
        <v>262000</v>
      </c>
      <c r="P59" s="15">
        <f t="shared" si="15"/>
        <v>207206001.19999999</v>
      </c>
      <c r="Q59" s="15">
        <f t="shared" si="16"/>
        <v>0</v>
      </c>
      <c r="R59" s="15">
        <f t="shared" si="16"/>
        <v>0</v>
      </c>
    </row>
    <row r="60" spans="1:20" ht="16.5" customHeight="1">
      <c r="A60" s="12">
        <v>7</v>
      </c>
      <c r="B60" s="13" t="str">
        <f>'Giá tháng'!B53</f>
        <v>N2.40</v>
      </c>
      <c r="C60" s="14" t="str">
        <f>'Giá tháng'!C53</f>
        <v>Nhân công 4,0/7 - Nhóm 2</v>
      </c>
      <c r="D60" s="13" t="str">
        <f>'Giá tháng'!D53</f>
        <v>công</v>
      </c>
      <c r="E60" s="89">
        <f>ROUND(SUMIF(HaoPhiVatTu!S6:S521,206,HaoPhiVatTu!K6:K521),4)</f>
        <v>177.92339999999999</v>
      </c>
      <c r="F60" s="15">
        <f>ROUND('Giá tháng'!E53,1)</f>
        <v>284408</v>
      </c>
      <c r="G60" s="15">
        <f t="shared" si="10"/>
        <v>50602838.299999997</v>
      </c>
      <c r="H60" s="21">
        <f>ROUND('Giá tháng'!F53,1)</f>
        <v>284408</v>
      </c>
      <c r="I60" s="15">
        <f t="shared" si="11"/>
        <v>50602838.299999997</v>
      </c>
      <c r="J60" s="17">
        <v>1</v>
      </c>
      <c r="K60" s="15">
        <f t="shared" si="12"/>
        <v>284408</v>
      </c>
      <c r="L60" s="15">
        <f t="shared" si="13"/>
        <v>50602838.299999997</v>
      </c>
      <c r="M60" s="15"/>
      <c r="N60" s="15"/>
      <c r="O60" s="15">
        <f t="shared" si="14"/>
        <v>284408</v>
      </c>
      <c r="P60" s="15">
        <f t="shared" si="15"/>
        <v>50602838.299999997</v>
      </c>
      <c r="Q60" s="15">
        <f t="shared" si="16"/>
        <v>0</v>
      </c>
      <c r="R60" s="15">
        <f t="shared" si="16"/>
        <v>0</v>
      </c>
    </row>
    <row r="61" spans="1:20" ht="16.5" customHeight="1">
      <c r="A61" s="98"/>
      <c r="B61" s="99"/>
      <c r="C61" s="100" t="s">
        <v>690</v>
      </c>
      <c r="D61" s="99"/>
      <c r="E61" s="101"/>
      <c r="F61" s="102"/>
      <c r="G61" s="102" t="e">
        <f>ROUND(SUM(G54:G60),0)</f>
        <v>#REF!</v>
      </c>
      <c r="H61" s="103"/>
      <c r="I61" s="102" t="e">
        <f>ROUND(SUM(I54:I60),0)</f>
        <v>#REF!</v>
      </c>
      <c r="J61" s="104"/>
      <c r="K61" s="102"/>
      <c r="L61" s="102" t="e">
        <f>ROUND(SUM(L54:L60),0)</f>
        <v>#REF!</v>
      </c>
      <c r="M61" s="102"/>
      <c r="N61" s="102">
        <f>ROUND(SUM(N54:N60),0)</f>
        <v>0</v>
      </c>
      <c r="O61" s="102"/>
      <c r="P61" s="102" t="e">
        <f>ROUND(SUM(P54:P60),0)</f>
        <v>#REF!</v>
      </c>
      <c r="Q61" s="102"/>
      <c r="R61" s="102" t="e">
        <f>ROUND(SUM(R54:R60),0)</f>
        <v>#REF!</v>
      </c>
    </row>
    <row r="62" spans="1:20" ht="16.5" customHeight="1">
      <c r="A62" s="5" t="s">
        <v>503</v>
      </c>
      <c r="B62" s="6"/>
      <c r="C62" s="6" t="s">
        <v>504</v>
      </c>
      <c r="D62" s="6"/>
      <c r="E62" s="97"/>
      <c r="F62" s="7"/>
      <c r="G62" s="7"/>
      <c r="H62" s="8"/>
      <c r="I62" s="7"/>
      <c r="J62" s="9"/>
      <c r="K62" s="7"/>
      <c r="L62" s="7"/>
      <c r="M62" s="7"/>
      <c r="N62" s="7"/>
      <c r="O62" s="7"/>
      <c r="P62" s="7"/>
      <c r="Q62" s="7"/>
      <c r="R62" s="7"/>
    </row>
    <row r="63" spans="1:20" ht="16.5" customHeight="1">
      <c r="A63" s="12">
        <v>1</v>
      </c>
      <c r="B63" s="13" t="str">
        <f>'Công trình'!E137</f>
        <v>TT</v>
      </c>
      <c r="C63" s="14" t="str">
        <f>'Công trình'!F137</f>
        <v>Bơm nước phục vụ thi công</v>
      </c>
      <c r="D63" s="13" t="str">
        <f>'Công trình'!G137</f>
        <v>ca</v>
      </c>
      <c r="E63" s="89">
        <f>ROUND(IF('Công trình'!P43=0,'Công trình'!P137,'Công trình'!P43*'Công trình'!P137),4)</f>
        <v>1</v>
      </c>
      <c r="F63" s="15">
        <f>ROUND('Công trình'!T137,1)</f>
        <v>300000</v>
      </c>
      <c r="G63" s="15">
        <f t="shared" ref="G63:G88" si="17">ROUND(E63*F63,1)</f>
        <v>300000</v>
      </c>
      <c r="H63" s="21">
        <f>ROUND('Công trình'!T137,1)</f>
        <v>300000</v>
      </c>
      <c r="I63" s="15">
        <f t="shared" ref="I63:I88" si="18">ROUND(E63*H63,1)</f>
        <v>300000</v>
      </c>
      <c r="J63" s="17">
        <v>1</v>
      </c>
      <c r="K63" s="15">
        <f t="shared" ref="K63:K88" si="19">ROUND(H63*J63,1)</f>
        <v>300000</v>
      </c>
      <c r="L63" s="15">
        <f t="shared" ref="L63:L88" si="20">ROUND(E63*K63,1)</f>
        <v>300000</v>
      </c>
      <c r="M63" s="15"/>
      <c r="N63" s="15">
        <f t="shared" ref="N63:N88" si="21">ROUND(E63*J63*M63,1)</f>
        <v>0</v>
      </c>
      <c r="O63" s="15">
        <f t="shared" ref="O63:O88" si="22">H63</f>
        <v>300000</v>
      </c>
      <c r="P63" s="15">
        <f t="shared" ref="P63:P88" si="23">ROUND(E63*O63,1)</f>
        <v>300000</v>
      </c>
      <c r="Q63" s="15">
        <f t="shared" ref="Q63:Q88" si="24">ROUND(O63-F63,1)</f>
        <v>0</v>
      </c>
      <c r="R63" s="15">
        <f t="shared" ref="R63:R88" si="25">ROUND(P63-G63,1)</f>
        <v>0</v>
      </c>
    </row>
    <row r="64" spans="1:20" ht="16.5" customHeight="1">
      <c r="A64" s="12">
        <v>2</v>
      </c>
      <c r="B64" s="13" t="str">
        <f>'Giá tháng'!B55</f>
        <v>M102.0201</v>
      </c>
      <c r="C64" s="14" t="str">
        <f>'Giá tháng'!C55</f>
        <v>Cần cẩu bánh hơi 6 T</v>
      </c>
      <c r="D64" s="13" t="str">
        <f>'Giá tháng'!D55</f>
        <v>ca</v>
      </c>
      <c r="E64" s="89">
        <f>ROUND(SUMIF(HaoPhiVatTu!S6:S521,301,HaoPhiVatTu!L6:L521),4)</f>
        <v>12.603</v>
      </c>
      <c r="F64" s="15">
        <f>ROUND('Giá tháng'!E55,1)</f>
        <v>1756646</v>
      </c>
      <c r="G64" s="15">
        <f t="shared" si="17"/>
        <v>22139009.5</v>
      </c>
      <c r="H64" s="21">
        <f>ROUND('Giá tháng'!F55,1)</f>
        <v>1764371</v>
      </c>
      <c r="I64" s="15">
        <f t="shared" si="18"/>
        <v>22236367.699999999</v>
      </c>
      <c r="J64" s="17">
        <v>1</v>
      </c>
      <c r="K64" s="15">
        <f t="shared" si="19"/>
        <v>1764371</v>
      </c>
      <c r="L64" s="15">
        <f t="shared" si="20"/>
        <v>22236367.699999999</v>
      </c>
      <c r="M64" s="15"/>
      <c r="N64" s="15">
        <f t="shared" si="21"/>
        <v>0</v>
      </c>
      <c r="O64" s="15">
        <f t="shared" si="22"/>
        <v>1764371</v>
      </c>
      <c r="P64" s="15">
        <f t="shared" si="23"/>
        <v>22236367.699999999</v>
      </c>
      <c r="Q64" s="15">
        <f t="shared" si="24"/>
        <v>7725</v>
      </c>
      <c r="R64" s="15">
        <f t="shared" si="25"/>
        <v>97358.2</v>
      </c>
    </row>
    <row r="65" spans="1:18" ht="16.5" customHeight="1">
      <c r="A65" s="12">
        <v>3</v>
      </c>
      <c r="B65" s="13" t="str">
        <f>'Giá tháng'!B56</f>
        <v>M112.2601</v>
      </c>
      <c r="C65" s="14" t="str">
        <f>'Giá tháng'!C56</f>
        <v>Máy cắt uốn cốt thép - công suất : 5,0 kW</v>
      </c>
      <c r="D65" s="13" t="str">
        <f>'Giá tháng'!D56</f>
        <v>ca</v>
      </c>
      <c r="E65" s="89">
        <f>ROUND(SUMIF(HaoPhiVatTu!S6:S521,302,HaoPhiVatTu!L6:L521),4)</f>
        <v>6.2293000000000003</v>
      </c>
      <c r="F65" s="15">
        <f>ROUND('Giá tháng'!E56,1)</f>
        <v>281286</v>
      </c>
      <c r="G65" s="15">
        <f t="shared" si="17"/>
        <v>1752214.9</v>
      </c>
      <c r="H65" s="21">
        <f>ROUND('Giá tháng'!F56,1)</f>
        <v>279591</v>
      </c>
      <c r="I65" s="15">
        <f t="shared" si="18"/>
        <v>1741656.2</v>
      </c>
      <c r="J65" s="17">
        <v>1</v>
      </c>
      <c r="K65" s="15">
        <f t="shared" si="19"/>
        <v>279591</v>
      </c>
      <c r="L65" s="15">
        <f t="shared" si="20"/>
        <v>1741656.2</v>
      </c>
      <c r="M65" s="15"/>
      <c r="N65" s="15">
        <f t="shared" si="21"/>
        <v>0</v>
      </c>
      <c r="O65" s="15">
        <f t="shared" si="22"/>
        <v>279591</v>
      </c>
      <c r="P65" s="15">
        <f t="shared" si="23"/>
        <v>1741656.2</v>
      </c>
      <c r="Q65" s="15">
        <f t="shared" si="24"/>
        <v>-1695</v>
      </c>
      <c r="R65" s="15">
        <f t="shared" si="25"/>
        <v>-10558.7</v>
      </c>
    </row>
    <row r="66" spans="1:18" ht="16.5" customHeight="1">
      <c r="A66" s="12">
        <v>4</v>
      </c>
      <c r="B66" s="13" t="str">
        <f>'Giá tháng'!B57</f>
        <v>M101.0115</v>
      </c>
      <c r="C66" s="14" t="str">
        <f>'Giá tháng'!C57</f>
        <v>Máy đào 1,25 m3 gắn đầu búa thủy lực / hàm kẹp</v>
      </c>
      <c r="D66" s="13" t="str">
        <f>'Giá tháng'!D57</f>
        <v>ca</v>
      </c>
      <c r="E66" s="89">
        <f>ROUND(SUMIF(HaoPhiVatTu!S6:S521,303,HaoPhiVatTu!L6:L521),4)</f>
        <v>1.9996</v>
      </c>
      <c r="F66" s="15">
        <f>ROUND('Giá tháng'!E57,1)</f>
        <v>4267355</v>
      </c>
      <c r="G66" s="15">
        <f t="shared" si="17"/>
        <v>8533003.0999999996</v>
      </c>
      <c r="H66" s="21">
        <f>ROUND('Giá tháng'!F57,1)</f>
        <v>4293002</v>
      </c>
      <c r="I66" s="15">
        <f t="shared" si="18"/>
        <v>8584286.8000000007</v>
      </c>
      <c r="J66" s="17">
        <v>1</v>
      </c>
      <c r="K66" s="15">
        <f t="shared" si="19"/>
        <v>4293002</v>
      </c>
      <c r="L66" s="15">
        <f t="shared" si="20"/>
        <v>8584286.8000000007</v>
      </c>
      <c r="M66" s="15"/>
      <c r="N66" s="15">
        <f t="shared" si="21"/>
        <v>0</v>
      </c>
      <c r="O66" s="15">
        <f t="shared" si="22"/>
        <v>4293002</v>
      </c>
      <c r="P66" s="15">
        <f t="shared" si="23"/>
        <v>8584286.8000000007</v>
      </c>
      <c r="Q66" s="15">
        <f t="shared" si="24"/>
        <v>25647</v>
      </c>
      <c r="R66" s="15">
        <f t="shared" si="25"/>
        <v>51283.7</v>
      </c>
    </row>
    <row r="67" spans="1:18" ht="28.5" customHeight="1">
      <c r="A67" s="12">
        <v>5</v>
      </c>
      <c r="B67" s="13" t="str">
        <f>'Giá tháng'!B58</f>
        <v>M101.0101</v>
      </c>
      <c r="C67" s="14" t="str">
        <f>'Giá tháng'!C58</f>
        <v>Máy đào một gầu, bánh xích - dung tích gầu : 0,40 m3</v>
      </c>
      <c r="D67" s="13" t="str">
        <f>'Giá tháng'!D58</f>
        <v>ca</v>
      </c>
      <c r="E67" s="89">
        <f>ROUND(SUMIF(HaoPhiVatTu!S6:S521,304,HaoPhiVatTu!L6:L521),4)</f>
        <v>3.9624999999999999</v>
      </c>
      <c r="F67" s="15">
        <f>ROUND('Giá tháng'!E58,1)</f>
        <v>2068759</v>
      </c>
      <c r="G67" s="15">
        <f t="shared" si="17"/>
        <v>8197457.5</v>
      </c>
      <c r="H67" s="21">
        <f>ROUND('Giá tháng'!F58,1)</f>
        <v>2082046</v>
      </c>
      <c r="I67" s="15">
        <f t="shared" si="18"/>
        <v>8250107.2999999998</v>
      </c>
      <c r="J67" s="17">
        <v>1</v>
      </c>
      <c r="K67" s="15">
        <f t="shared" si="19"/>
        <v>2082046</v>
      </c>
      <c r="L67" s="15">
        <f t="shared" si="20"/>
        <v>8250107.2999999998</v>
      </c>
      <c r="M67" s="15"/>
      <c r="N67" s="15">
        <f t="shared" si="21"/>
        <v>0</v>
      </c>
      <c r="O67" s="15">
        <f t="shared" si="22"/>
        <v>2082046</v>
      </c>
      <c r="P67" s="15">
        <f t="shared" si="23"/>
        <v>8250107.2999999998</v>
      </c>
      <c r="Q67" s="15">
        <f t="shared" si="24"/>
        <v>13287</v>
      </c>
      <c r="R67" s="15">
        <f t="shared" si="25"/>
        <v>52649.8</v>
      </c>
    </row>
    <row r="68" spans="1:18" ht="28.5" customHeight="1">
      <c r="A68" s="12">
        <v>6</v>
      </c>
      <c r="B68" s="13" t="str">
        <f>'Giá tháng'!B59</f>
        <v>M101.0102</v>
      </c>
      <c r="C68" s="14" t="str">
        <f>'Giá tháng'!C59</f>
        <v>Máy đào một gầu, bánh xích - dung tích gầu : 0,50 m3</v>
      </c>
      <c r="D68" s="13" t="str">
        <f>'Giá tháng'!D59</f>
        <v>ca</v>
      </c>
      <c r="E68" s="89">
        <f>ROUND(SUMIF(HaoPhiVatTu!S6:S521,305,HaoPhiVatTu!L6:L521),4)</f>
        <v>0.439</v>
      </c>
      <c r="F68" s="15">
        <f>ROUND('Giá tháng'!E59,1)</f>
        <v>2391243</v>
      </c>
      <c r="G68" s="15">
        <f t="shared" si="17"/>
        <v>1049755.7</v>
      </c>
      <c r="H68" s="21">
        <f>ROUND('Giá tháng'!F59,1)</f>
        <v>2407002</v>
      </c>
      <c r="I68" s="15">
        <f t="shared" si="18"/>
        <v>1056673.8999999999</v>
      </c>
      <c r="J68" s="17">
        <v>1</v>
      </c>
      <c r="K68" s="15">
        <f t="shared" si="19"/>
        <v>2407002</v>
      </c>
      <c r="L68" s="15">
        <f t="shared" si="20"/>
        <v>1056673.8999999999</v>
      </c>
      <c r="M68" s="15"/>
      <c r="N68" s="15">
        <f t="shared" si="21"/>
        <v>0</v>
      </c>
      <c r="O68" s="15">
        <f t="shared" si="22"/>
        <v>2407002</v>
      </c>
      <c r="P68" s="15">
        <f t="shared" si="23"/>
        <v>1056673.8999999999</v>
      </c>
      <c r="Q68" s="15">
        <f t="shared" si="24"/>
        <v>15759</v>
      </c>
      <c r="R68" s="15">
        <f t="shared" si="25"/>
        <v>6918.2</v>
      </c>
    </row>
    <row r="69" spans="1:18" ht="28.5" customHeight="1">
      <c r="A69" s="12">
        <v>7</v>
      </c>
      <c r="B69" s="13" t="str">
        <f>'Giá tháng'!B60</f>
        <v>M101.0104</v>
      </c>
      <c r="C69" s="14" t="str">
        <f>'Giá tháng'!C60</f>
        <v>Máy đào một gầu, bánh xích - dung tích gầu : 0,80 m3</v>
      </c>
      <c r="D69" s="13" t="str">
        <f>'Giá tháng'!D60</f>
        <v>ca</v>
      </c>
      <c r="E69" s="89">
        <f>ROUND(SUMIF(HaoPhiVatTu!S6:S521,306,HaoPhiVatTu!L6:L521),4)</f>
        <v>3.2393000000000001</v>
      </c>
      <c r="F69" s="15">
        <f>ROUND('Giá tháng'!E60,1)</f>
        <v>2938899</v>
      </c>
      <c r="G69" s="15">
        <f t="shared" si="17"/>
        <v>9519975.5</v>
      </c>
      <c r="H69" s="21">
        <f>ROUND('Giá tháng'!F60,1)</f>
        <v>2958984</v>
      </c>
      <c r="I69" s="15">
        <f t="shared" si="18"/>
        <v>9585036.9000000004</v>
      </c>
      <c r="J69" s="17">
        <v>1</v>
      </c>
      <c r="K69" s="15">
        <f t="shared" si="19"/>
        <v>2958984</v>
      </c>
      <c r="L69" s="15">
        <f t="shared" si="20"/>
        <v>9585036.9000000004</v>
      </c>
      <c r="M69" s="15"/>
      <c r="N69" s="15">
        <f t="shared" si="21"/>
        <v>0</v>
      </c>
      <c r="O69" s="15">
        <f t="shared" si="22"/>
        <v>2958984</v>
      </c>
      <c r="P69" s="15">
        <f t="shared" si="23"/>
        <v>9585036.9000000004</v>
      </c>
      <c r="Q69" s="15">
        <f t="shared" si="24"/>
        <v>20085</v>
      </c>
      <c r="R69" s="15">
        <f t="shared" si="25"/>
        <v>65061.4</v>
      </c>
    </row>
    <row r="70" spans="1:18" ht="28.5" customHeight="1">
      <c r="A70" s="12">
        <v>8</v>
      </c>
      <c r="B70" s="13" t="str">
        <f>'Giá tháng'!B61</f>
        <v>M101.0105</v>
      </c>
      <c r="C70" s="14" t="str">
        <f>'Giá tháng'!C61</f>
        <v>Máy đào một gầu, bánh xích - dung tích gầu : 1,25 m3</v>
      </c>
      <c r="D70" s="13" t="str">
        <f>'Giá tháng'!D61</f>
        <v>ca</v>
      </c>
      <c r="E70" s="89">
        <f>ROUND(SUMIF(HaoPhiVatTu!S6:S521,307,HaoPhiVatTu!L6:L521),4)</f>
        <v>1.1900000000000001E-2</v>
      </c>
      <c r="F70" s="15">
        <f>ROUND('Giá tháng'!E61,1)</f>
        <v>4000423</v>
      </c>
      <c r="G70" s="15">
        <f t="shared" si="17"/>
        <v>47605</v>
      </c>
      <c r="H70" s="21">
        <f>ROUND('Giá tháng'!F61,1)</f>
        <v>4026070</v>
      </c>
      <c r="I70" s="15">
        <f t="shared" si="18"/>
        <v>47910.2</v>
      </c>
      <c r="J70" s="17">
        <v>1</v>
      </c>
      <c r="K70" s="15">
        <f t="shared" si="19"/>
        <v>4026070</v>
      </c>
      <c r="L70" s="15">
        <f t="shared" si="20"/>
        <v>47910.2</v>
      </c>
      <c r="M70" s="15"/>
      <c r="N70" s="15">
        <f t="shared" si="21"/>
        <v>0</v>
      </c>
      <c r="O70" s="15">
        <f t="shared" si="22"/>
        <v>4026070</v>
      </c>
      <c r="P70" s="15">
        <f t="shared" si="23"/>
        <v>47910.2</v>
      </c>
      <c r="Q70" s="15">
        <f t="shared" si="24"/>
        <v>25647</v>
      </c>
      <c r="R70" s="15">
        <f t="shared" si="25"/>
        <v>305.2</v>
      </c>
    </row>
    <row r="71" spans="1:18" ht="16.5" customHeight="1">
      <c r="A71" s="12">
        <v>9</v>
      </c>
      <c r="B71" s="13" t="str">
        <f>'Giá tháng'!B62</f>
        <v>M112.1301</v>
      </c>
      <c r="C71" s="14" t="str">
        <f>'Giá tháng'!C62</f>
        <v>Máy đầm bê tông, dầm dùi - công suất : 1,5 kW</v>
      </c>
      <c r="D71" s="13" t="str">
        <f>'Giá tháng'!D62</f>
        <v>ca</v>
      </c>
      <c r="E71" s="89">
        <f>ROUND(SUMIF(HaoPhiVatTu!S6:S521,308,HaoPhiVatTu!L6:L521),4)</f>
        <v>33.3889</v>
      </c>
      <c r="F71" s="15">
        <f>ROUND('Giá tháng'!E62,1)</f>
        <v>276782</v>
      </c>
      <c r="G71" s="15">
        <f t="shared" si="17"/>
        <v>9241446.5</v>
      </c>
      <c r="H71" s="21">
        <f>ROUND('Giá tháng'!F62,1)</f>
        <v>275463</v>
      </c>
      <c r="I71" s="15">
        <f t="shared" si="18"/>
        <v>9197406.5999999996</v>
      </c>
      <c r="J71" s="17">
        <v>1</v>
      </c>
      <c r="K71" s="15">
        <f t="shared" si="19"/>
        <v>275463</v>
      </c>
      <c r="L71" s="15">
        <f t="shared" si="20"/>
        <v>9197406.5999999996</v>
      </c>
      <c r="M71" s="15"/>
      <c r="N71" s="15">
        <f t="shared" si="21"/>
        <v>0</v>
      </c>
      <c r="O71" s="15">
        <f t="shared" si="22"/>
        <v>275463</v>
      </c>
      <c r="P71" s="15">
        <f t="shared" si="23"/>
        <v>9197406.5999999996</v>
      </c>
      <c r="Q71" s="15">
        <f t="shared" si="24"/>
        <v>-1319</v>
      </c>
      <c r="R71" s="15">
        <f t="shared" si="25"/>
        <v>-44039.9</v>
      </c>
    </row>
    <row r="72" spans="1:18" ht="16.5" customHeight="1">
      <c r="A72" s="12">
        <v>10</v>
      </c>
      <c r="B72" s="13" t="str">
        <f>'Giá tháng'!B63</f>
        <v>M112.1101</v>
      </c>
      <c r="C72" s="14" t="str">
        <f>'Giá tháng'!C63</f>
        <v>Máy đầm bê tông, đầm bàn - công suất : 1,0 kW</v>
      </c>
      <c r="D72" s="13" t="str">
        <f>'Giá tháng'!D63</f>
        <v>ca</v>
      </c>
      <c r="E72" s="89">
        <f>ROUND(SUMIF(HaoPhiVatTu!S6:S521,309,HaoPhiVatTu!L6:L521),4)</f>
        <v>31.5825</v>
      </c>
      <c r="F72" s="15">
        <f>ROUND('Giá tháng'!E63,1)</f>
        <v>272875</v>
      </c>
      <c r="G72" s="15">
        <f t="shared" si="17"/>
        <v>8618074.6999999993</v>
      </c>
      <c r="H72" s="21">
        <f>ROUND('Giá tháng'!F63,1)</f>
        <v>271933</v>
      </c>
      <c r="I72" s="15">
        <f t="shared" si="18"/>
        <v>8588324</v>
      </c>
      <c r="J72" s="17">
        <v>1</v>
      </c>
      <c r="K72" s="15">
        <f t="shared" si="19"/>
        <v>271933</v>
      </c>
      <c r="L72" s="15">
        <f t="shared" si="20"/>
        <v>8588324</v>
      </c>
      <c r="M72" s="15"/>
      <c r="N72" s="15">
        <f t="shared" si="21"/>
        <v>0</v>
      </c>
      <c r="O72" s="15">
        <f t="shared" si="22"/>
        <v>271933</v>
      </c>
      <c r="P72" s="15">
        <f t="shared" si="23"/>
        <v>8588324</v>
      </c>
      <c r="Q72" s="15">
        <f t="shared" si="24"/>
        <v>-942</v>
      </c>
      <c r="R72" s="15">
        <f t="shared" si="25"/>
        <v>-29750.7</v>
      </c>
    </row>
    <row r="73" spans="1:18" ht="16.5" customHeight="1">
      <c r="A73" s="12">
        <v>11</v>
      </c>
      <c r="B73" s="13" t="str">
        <f>'Giá tháng'!B64</f>
        <v>M112.4003</v>
      </c>
      <c r="C73" s="14" t="str">
        <f>'Giá tháng'!C64</f>
        <v>Máy hàn xoay chiều - công suất : 23,0 kW</v>
      </c>
      <c r="D73" s="13" t="str">
        <f>'Giá tháng'!D64</f>
        <v>ca</v>
      </c>
      <c r="E73" s="89">
        <f>ROUND(SUMIF(HaoPhiVatTu!S6:S521,3010,HaoPhiVatTu!L6:L521),4)</f>
        <v>2.0335999999999999</v>
      </c>
      <c r="F73" s="15">
        <f>ROUND('Giá tháng'!E64,1)</f>
        <v>411700</v>
      </c>
      <c r="G73" s="15">
        <f t="shared" si="17"/>
        <v>837233.1</v>
      </c>
      <c r="H73" s="21">
        <f>ROUND('Giá tháng'!F64,1)</f>
        <v>402656</v>
      </c>
      <c r="I73" s="15">
        <f t="shared" si="18"/>
        <v>818841.2</v>
      </c>
      <c r="J73" s="17">
        <v>1</v>
      </c>
      <c r="K73" s="15">
        <f t="shared" si="19"/>
        <v>402656</v>
      </c>
      <c r="L73" s="15">
        <f t="shared" si="20"/>
        <v>818841.2</v>
      </c>
      <c r="M73" s="15"/>
      <c r="N73" s="15">
        <f t="shared" si="21"/>
        <v>0</v>
      </c>
      <c r="O73" s="15">
        <f t="shared" si="22"/>
        <v>402656</v>
      </c>
      <c r="P73" s="15">
        <f t="shared" si="23"/>
        <v>818841.2</v>
      </c>
      <c r="Q73" s="15">
        <f t="shared" si="24"/>
        <v>-9044</v>
      </c>
      <c r="R73" s="15">
        <f t="shared" si="25"/>
        <v>-18391.900000000001</v>
      </c>
    </row>
    <row r="74" spans="1:18" ht="16.5" customHeight="1">
      <c r="A74" s="12">
        <v>12</v>
      </c>
      <c r="B74" s="13" t="str">
        <f>'Giá tháng'!B65</f>
        <v>M112.1501</v>
      </c>
      <c r="C74" s="14" t="str">
        <f>'Giá tháng'!C65</f>
        <v>Máy khoan đứng - công suất : 2,5 kW</v>
      </c>
      <c r="D74" s="13" t="str">
        <f>'Giá tháng'!D65</f>
        <v>ca</v>
      </c>
      <c r="E74" s="89">
        <f>ROUND(SUMIF(HaoPhiVatTu!S6:S521,3011,HaoPhiVatTu!L6:L521),4)</f>
        <v>0.60599999999999998</v>
      </c>
      <c r="F74" s="15">
        <f>ROUND('Giá tháng'!E65,1)</f>
        <v>47521</v>
      </c>
      <c r="G74" s="15">
        <f t="shared" si="17"/>
        <v>28797.7</v>
      </c>
      <c r="H74" s="21">
        <f>ROUND('Giá tháng'!F65,1)</f>
        <v>46579</v>
      </c>
      <c r="I74" s="15">
        <f t="shared" si="18"/>
        <v>28226.9</v>
      </c>
      <c r="J74" s="17">
        <v>1</v>
      </c>
      <c r="K74" s="15">
        <f t="shared" si="19"/>
        <v>46579</v>
      </c>
      <c r="L74" s="15">
        <f t="shared" si="20"/>
        <v>28226.9</v>
      </c>
      <c r="M74" s="15"/>
      <c r="N74" s="15">
        <f t="shared" si="21"/>
        <v>0</v>
      </c>
      <c r="O74" s="15">
        <f t="shared" si="22"/>
        <v>46579</v>
      </c>
      <c r="P74" s="15">
        <f t="shared" si="23"/>
        <v>28226.9</v>
      </c>
      <c r="Q74" s="15">
        <f t="shared" si="24"/>
        <v>-942</v>
      </c>
      <c r="R74" s="15">
        <f t="shared" si="25"/>
        <v>-570.79999999999995</v>
      </c>
    </row>
    <row r="75" spans="1:18" ht="16.5" customHeight="1">
      <c r="A75" s="12">
        <v>13</v>
      </c>
      <c r="B75" s="13" t="str">
        <f>'Giá tháng'!B66</f>
        <v>M101.0902</v>
      </c>
      <c r="C75" s="14" t="str">
        <f>'Giá tháng'!C66</f>
        <v>Máy lu bánh hơi tự hành - trọng lượng tĩnh : 16,0 T</v>
      </c>
      <c r="D75" s="13" t="str">
        <f>'Giá tháng'!D66</f>
        <v>ca</v>
      </c>
      <c r="E75" s="89">
        <f>ROUND(SUMIF(HaoPhiVatTu!S6:S521,3012,HaoPhiVatTu!L6:L521),4)</f>
        <v>0.46850000000000003</v>
      </c>
      <c r="F75" s="15">
        <f>ROUND('Giá tháng'!E66,1)</f>
        <v>1781990</v>
      </c>
      <c r="G75" s="15">
        <f t="shared" si="17"/>
        <v>834862.3</v>
      </c>
      <c r="H75" s="21">
        <f>ROUND('Giá tháng'!F66,1)</f>
        <v>1793732</v>
      </c>
      <c r="I75" s="15">
        <f t="shared" si="18"/>
        <v>840363.4</v>
      </c>
      <c r="J75" s="17">
        <v>1</v>
      </c>
      <c r="K75" s="15">
        <f t="shared" si="19"/>
        <v>1793732</v>
      </c>
      <c r="L75" s="15">
        <f t="shared" si="20"/>
        <v>840363.4</v>
      </c>
      <c r="M75" s="15"/>
      <c r="N75" s="15">
        <f t="shared" si="21"/>
        <v>0</v>
      </c>
      <c r="O75" s="15">
        <f t="shared" si="22"/>
        <v>1793732</v>
      </c>
      <c r="P75" s="15">
        <f t="shared" si="23"/>
        <v>840363.4</v>
      </c>
      <c r="Q75" s="15">
        <f t="shared" si="24"/>
        <v>11742</v>
      </c>
      <c r="R75" s="15">
        <f t="shared" si="25"/>
        <v>5501.1</v>
      </c>
    </row>
    <row r="76" spans="1:18" ht="28.5" customHeight="1">
      <c r="A76" s="12">
        <v>14</v>
      </c>
      <c r="B76" s="13" t="str">
        <f>'Giá tháng'!B67</f>
        <v>M101.1103</v>
      </c>
      <c r="C76" s="14" t="str">
        <f>'Giá tháng'!C67</f>
        <v>Máy lu bánh thép tự hành - trọng lượng tĩnh : 10,0 T</v>
      </c>
      <c r="D76" s="13" t="str">
        <f>'Giá tháng'!D67</f>
        <v>ca</v>
      </c>
      <c r="E76" s="89">
        <f>ROUND(SUMIF(HaoPhiVatTu!S6:S521,3013,HaoPhiVatTu!L6:L521),4)</f>
        <v>0.81210000000000004</v>
      </c>
      <c r="F76" s="15">
        <f>ROUND('Giá tháng'!E67,1)</f>
        <v>1287637</v>
      </c>
      <c r="G76" s="15">
        <f t="shared" si="17"/>
        <v>1045690</v>
      </c>
      <c r="H76" s="21">
        <f>ROUND('Giá tháng'!F67,1)</f>
        <v>1295671</v>
      </c>
      <c r="I76" s="15">
        <f t="shared" si="18"/>
        <v>1052214.3999999999</v>
      </c>
      <c r="J76" s="17">
        <v>1</v>
      </c>
      <c r="K76" s="15">
        <f t="shared" si="19"/>
        <v>1295671</v>
      </c>
      <c r="L76" s="15">
        <f t="shared" si="20"/>
        <v>1052214.3999999999</v>
      </c>
      <c r="M76" s="15"/>
      <c r="N76" s="15">
        <f t="shared" si="21"/>
        <v>0</v>
      </c>
      <c r="O76" s="15">
        <f t="shared" si="22"/>
        <v>1295671</v>
      </c>
      <c r="P76" s="15">
        <f t="shared" si="23"/>
        <v>1052214.3999999999</v>
      </c>
      <c r="Q76" s="15">
        <f t="shared" si="24"/>
        <v>8034</v>
      </c>
      <c r="R76" s="15">
        <f t="shared" si="25"/>
        <v>6524.4</v>
      </c>
    </row>
    <row r="77" spans="1:18" ht="16.5" customHeight="1">
      <c r="A77" s="12">
        <v>15</v>
      </c>
      <c r="B77" s="13" t="str">
        <f>'Giá tháng'!B68</f>
        <v>M101.1105</v>
      </c>
      <c r="C77" s="14" t="str">
        <f>'Giá tháng'!C68</f>
        <v>Máy lu bánh thép tự hành - trọng lượng tĩnh : 16 T</v>
      </c>
      <c r="D77" s="13" t="str">
        <f>'Giá tháng'!D68</f>
        <v>ca</v>
      </c>
      <c r="E77" s="89">
        <f>ROUND(SUMIF(HaoPhiVatTu!S6:S521,3014,HaoPhiVatTu!L6:L521),4)</f>
        <v>1.29E-2</v>
      </c>
      <c r="F77" s="15">
        <f>ROUND('Giá tháng'!E68,1)</f>
        <v>1595255</v>
      </c>
      <c r="G77" s="15">
        <f t="shared" si="17"/>
        <v>20578.8</v>
      </c>
      <c r="H77" s="21">
        <f>ROUND('Giá tháng'!F68,1)</f>
        <v>1606688</v>
      </c>
      <c r="I77" s="15">
        <f t="shared" si="18"/>
        <v>20726.3</v>
      </c>
      <c r="J77" s="17">
        <v>1</v>
      </c>
      <c r="K77" s="15">
        <f t="shared" si="19"/>
        <v>1606688</v>
      </c>
      <c r="L77" s="15">
        <f t="shared" si="20"/>
        <v>20726.3</v>
      </c>
      <c r="M77" s="15"/>
      <c r="N77" s="15">
        <f t="shared" si="21"/>
        <v>0</v>
      </c>
      <c r="O77" s="15">
        <f t="shared" si="22"/>
        <v>1606688</v>
      </c>
      <c r="P77" s="15">
        <f t="shared" si="23"/>
        <v>20726.3</v>
      </c>
      <c r="Q77" s="15">
        <f t="shared" si="24"/>
        <v>11433</v>
      </c>
      <c r="R77" s="15">
        <f t="shared" si="25"/>
        <v>147.5</v>
      </c>
    </row>
    <row r="78" spans="1:18" ht="28.5" customHeight="1">
      <c r="A78" s="12">
        <v>16</v>
      </c>
      <c r="B78" s="13" t="str">
        <f>'Giá tháng'!B69</f>
        <v>M101.1102</v>
      </c>
      <c r="C78" s="14" t="str">
        <f>'Giá tháng'!C69</f>
        <v>Máy lu bánh thép tự hành - trọng lượng tĩnh : 8,5 T - 9 T</v>
      </c>
      <c r="D78" s="13" t="str">
        <f>'Giá tháng'!D69</f>
        <v>ca</v>
      </c>
      <c r="E78" s="89">
        <f>ROUND(SUMIF(HaoPhiVatTu!S6:S521,3015,HaoPhiVatTu!L6:L521),4)</f>
        <v>3.4948999999999999</v>
      </c>
      <c r="F78" s="15">
        <f>ROUND('Giá tháng'!E69,1)</f>
        <v>1152746</v>
      </c>
      <c r="G78" s="15">
        <f t="shared" si="17"/>
        <v>4028732</v>
      </c>
      <c r="H78" s="21">
        <f>ROUND('Giá tháng'!F69,1)</f>
        <v>1160162</v>
      </c>
      <c r="I78" s="15">
        <f t="shared" si="18"/>
        <v>4054650.2</v>
      </c>
      <c r="J78" s="17">
        <v>1</v>
      </c>
      <c r="K78" s="15">
        <f t="shared" si="19"/>
        <v>1160162</v>
      </c>
      <c r="L78" s="15">
        <f t="shared" si="20"/>
        <v>4054650.2</v>
      </c>
      <c r="M78" s="15"/>
      <c r="N78" s="15">
        <f t="shared" si="21"/>
        <v>0</v>
      </c>
      <c r="O78" s="15">
        <f t="shared" si="22"/>
        <v>1160162</v>
      </c>
      <c r="P78" s="15">
        <f t="shared" si="23"/>
        <v>4054650.2</v>
      </c>
      <c r="Q78" s="15">
        <f t="shared" si="24"/>
        <v>7416</v>
      </c>
      <c r="R78" s="15">
        <f t="shared" si="25"/>
        <v>25918.2</v>
      </c>
    </row>
    <row r="79" spans="1:18" ht="16.5" customHeight="1">
      <c r="A79" s="12">
        <v>17</v>
      </c>
      <c r="B79" s="13" t="str">
        <f>'Giá tháng'!B70</f>
        <v>M101.1006</v>
      </c>
      <c r="C79" s="14" t="str">
        <f>'Giá tháng'!C70</f>
        <v>Máy lu rung tự hành - trọng lượng tĩnh : 25T</v>
      </c>
      <c r="D79" s="13" t="str">
        <f>'Giá tháng'!D70</f>
        <v>ca</v>
      </c>
      <c r="E79" s="89">
        <f>ROUND(SUMIF(HaoPhiVatTu!S6:S521,3016,HaoPhiVatTu!L6:L521),4)</f>
        <v>0.99950000000000006</v>
      </c>
      <c r="F79" s="15">
        <f>ROUND('Giá tháng'!E70,1)</f>
        <v>3200091</v>
      </c>
      <c r="G79" s="15">
        <f t="shared" si="17"/>
        <v>3198491</v>
      </c>
      <c r="H79" s="21">
        <f>ROUND('Giá tháng'!F70,1)</f>
        <v>3220793</v>
      </c>
      <c r="I79" s="15">
        <f t="shared" si="18"/>
        <v>3219182.6</v>
      </c>
      <c r="J79" s="17">
        <v>1</v>
      </c>
      <c r="K79" s="15">
        <f t="shared" si="19"/>
        <v>3220793</v>
      </c>
      <c r="L79" s="15">
        <f t="shared" si="20"/>
        <v>3219182.6</v>
      </c>
      <c r="M79" s="15"/>
      <c r="N79" s="15">
        <f t="shared" si="21"/>
        <v>0</v>
      </c>
      <c r="O79" s="15">
        <f t="shared" si="22"/>
        <v>3220793</v>
      </c>
      <c r="P79" s="15">
        <f t="shared" si="23"/>
        <v>3219182.6</v>
      </c>
      <c r="Q79" s="15">
        <f t="shared" si="24"/>
        <v>20702</v>
      </c>
      <c r="R79" s="15">
        <f t="shared" si="25"/>
        <v>20691.599999999999</v>
      </c>
    </row>
    <row r="80" spans="1:18" ht="16.5" customHeight="1">
      <c r="A80" s="12">
        <v>18</v>
      </c>
      <c r="B80" s="13" t="str">
        <f>'Giá tháng'!B71</f>
        <v>M112.3703</v>
      </c>
      <c r="C80" s="14" t="str">
        <f>'Giá tháng'!C71</f>
        <v>Máy mài - công suất : 2,7 kW</v>
      </c>
      <c r="D80" s="13" t="str">
        <f>'Giá tháng'!D71</f>
        <v>ca</v>
      </c>
      <c r="E80" s="89">
        <f>ROUND(SUMIF(HaoPhiVatTu!S6:S521,3017,HaoPhiVatTu!L6:L521),4)</f>
        <v>0.60599999999999998</v>
      </c>
      <c r="F80" s="15">
        <f>ROUND('Giá tháng'!E71,1)</f>
        <v>18982</v>
      </c>
      <c r="G80" s="15">
        <f t="shared" si="17"/>
        <v>11503.1</v>
      </c>
      <c r="H80" s="21">
        <f>ROUND('Giá tháng'!F71,1)</f>
        <v>18228</v>
      </c>
      <c r="I80" s="15">
        <f t="shared" si="18"/>
        <v>11046.2</v>
      </c>
      <c r="J80" s="17">
        <v>1</v>
      </c>
      <c r="K80" s="15">
        <f t="shared" si="19"/>
        <v>18228</v>
      </c>
      <c r="L80" s="15">
        <f t="shared" si="20"/>
        <v>11046.2</v>
      </c>
      <c r="M80" s="15"/>
      <c r="N80" s="15">
        <f t="shared" si="21"/>
        <v>0</v>
      </c>
      <c r="O80" s="15">
        <f t="shared" si="22"/>
        <v>18228</v>
      </c>
      <c r="P80" s="15">
        <f t="shared" si="23"/>
        <v>11046.2</v>
      </c>
      <c r="Q80" s="15">
        <f t="shared" si="24"/>
        <v>-754</v>
      </c>
      <c r="R80" s="15">
        <f t="shared" si="25"/>
        <v>-456.9</v>
      </c>
    </row>
    <row r="81" spans="1:18" ht="28.5" customHeight="1">
      <c r="A81" s="12">
        <v>19</v>
      </c>
      <c r="B81" s="13" t="str">
        <f>'Giá tháng'!B72</f>
        <v>M108.0306</v>
      </c>
      <c r="C81" s="14" t="str">
        <f>'Giá tháng'!C72</f>
        <v>Máy nén khí, động cơ diezel - năng suất : 600,00 m3/h</v>
      </c>
      <c r="D81" s="13" t="str">
        <f>'Giá tháng'!D72</f>
        <v>ca</v>
      </c>
      <c r="E81" s="89">
        <f>ROUND(SUMIF(HaoPhiVatTu!S6:S521,3018,HaoPhiVatTu!L6:L521),4)</f>
        <v>1.7849999999999999</v>
      </c>
      <c r="F81" s="15">
        <f>ROUND('Giá tháng'!E72,1)</f>
        <v>1842337</v>
      </c>
      <c r="G81" s="15">
        <f t="shared" si="17"/>
        <v>3288571.5</v>
      </c>
      <c r="H81" s="21">
        <f>ROUND('Giá tháng'!F72,1)</f>
        <v>1856860</v>
      </c>
      <c r="I81" s="15">
        <f t="shared" si="18"/>
        <v>3314495.1</v>
      </c>
      <c r="J81" s="17">
        <v>1</v>
      </c>
      <c r="K81" s="15">
        <f t="shared" si="19"/>
        <v>1856860</v>
      </c>
      <c r="L81" s="15">
        <f t="shared" si="20"/>
        <v>3314495.1</v>
      </c>
      <c r="M81" s="15"/>
      <c r="N81" s="15">
        <f t="shared" si="21"/>
        <v>0</v>
      </c>
      <c r="O81" s="15">
        <f t="shared" si="22"/>
        <v>1856860</v>
      </c>
      <c r="P81" s="15">
        <f t="shared" si="23"/>
        <v>3314495.1</v>
      </c>
      <c r="Q81" s="15">
        <f t="shared" si="24"/>
        <v>14523</v>
      </c>
      <c r="R81" s="15">
        <f t="shared" si="25"/>
        <v>25923.599999999999</v>
      </c>
    </row>
    <row r="82" spans="1:18" ht="28.5" customHeight="1">
      <c r="A82" s="12">
        <v>20</v>
      </c>
      <c r="B82" s="13" t="str">
        <f>'Giá tháng'!B73</f>
        <v>M105.0401</v>
      </c>
      <c r="C82" s="14" t="str">
        <f>'Giá tháng'!C73</f>
        <v>Máy rải cấp phối đá dăm - năng suất : 50 m3/h - 60 m3/h</v>
      </c>
      <c r="D82" s="13" t="str">
        <f>'Giá tháng'!D73</f>
        <v>ca</v>
      </c>
      <c r="E82" s="89">
        <f>ROUND(SUMIF(HaoPhiVatTu!S6:S521,3019,HaoPhiVatTu!L6:L521),4)</f>
        <v>0.65590000000000004</v>
      </c>
      <c r="F82" s="15">
        <f>ROUND('Giá tháng'!E73,1)</f>
        <v>3778425</v>
      </c>
      <c r="G82" s="15">
        <f t="shared" si="17"/>
        <v>2478269</v>
      </c>
      <c r="H82" s="21">
        <f>ROUND('Giá tháng'!F73,1)</f>
        <v>3787695</v>
      </c>
      <c r="I82" s="15">
        <f t="shared" si="18"/>
        <v>2484349.2000000002</v>
      </c>
      <c r="J82" s="17">
        <v>1</v>
      </c>
      <c r="K82" s="15">
        <f t="shared" si="19"/>
        <v>3787695</v>
      </c>
      <c r="L82" s="15">
        <f t="shared" si="20"/>
        <v>2484349.2000000002</v>
      </c>
      <c r="M82" s="15"/>
      <c r="N82" s="15">
        <f t="shared" si="21"/>
        <v>0</v>
      </c>
      <c r="O82" s="15">
        <f t="shared" si="22"/>
        <v>3787695</v>
      </c>
      <c r="P82" s="15">
        <f t="shared" si="23"/>
        <v>2484349.2000000002</v>
      </c>
      <c r="Q82" s="15">
        <f t="shared" si="24"/>
        <v>9270</v>
      </c>
      <c r="R82" s="15">
        <f t="shared" si="25"/>
        <v>6080.2</v>
      </c>
    </row>
    <row r="83" spans="1:18" ht="16.5" customHeight="1">
      <c r="A83" s="12">
        <v>21</v>
      </c>
      <c r="B83" s="13" t="str">
        <f>'Giá tháng'!B74</f>
        <v>M104.0102</v>
      </c>
      <c r="C83" s="14" t="str">
        <f>'Giá tháng'!C74</f>
        <v>Máy trộn bê tông - dung tích : 250,0 lít</v>
      </c>
      <c r="D83" s="13" t="str">
        <f>'Giá tháng'!D74</f>
        <v>ca</v>
      </c>
      <c r="E83" s="89">
        <f>ROUND(SUMIF(HaoPhiVatTu!S6:S521,3020,HaoPhiVatTu!L6:L521),4)</f>
        <v>35.268999999999998</v>
      </c>
      <c r="F83" s="15">
        <f>ROUND('Giá tháng'!E74,1)</f>
        <v>320806</v>
      </c>
      <c r="G83" s="15">
        <f t="shared" si="17"/>
        <v>11314506.800000001</v>
      </c>
      <c r="H83" s="21">
        <f>ROUND('Giá tháng'!F74,1)</f>
        <v>318734</v>
      </c>
      <c r="I83" s="15">
        <f t="shared" si="18"/>
        <v>11241429.4</v>
      </c>
      <c r="J83" s="17">
        <v>1</v>
      </c>
      <c r="K83" s="15">
        <f t="shared" si="19"/>
        <v>318734</v>
      </c>
      <c r="L83" s="15">
        <f t="shared" si="20"/>
        <v>11241429.4</v>
      </c>
      <c r="M83" s="15"/>
      <c r="N83" s="15">
        <f t="shared" si="21"/>
        <v>0</v>
      </c>
      <c r="O83" s="15">
        <f t="shared" si="22"/>
        <v>318734</v>
      </c>
      <c r="P83" s="15">
        <f t="shared" si="23"/>
        <v>11241429.4</v>
      </c>
      <c r="Q83" s="15">
        <f t="shared" si="24"/>
        <v>-2072</v>
      </c>
      <c r="R83" s="15">
        <f t="shared" si="25"/>
        <v>-73077.399999999994</v>
      </c>
    </row>
    <row r="84" spans="1:18" ht="16.5" customHeight="1">
      <c r="A84" s="12">
        <v>22</v>
      </c>
      <c r="B84" s="13" t="str">
        <f>'Giá tháng'!B75</f>
        <v>M104.0202</v>
      </c>
      <c r="C84" s="14" t="str">
        <f>'Giá tháng'!C75</f>
        <v>Máy trộn vữa 150 lít</v>
      </c>
      <c r="D84" s="13" t="str">
        <f>'Giá tháng'!D75</f>
        <v>ca</v>
      </c>
      <c r="E84" s="89">
        <f>ROUND(SUMIF(HaoPhiVatTu!S6:S521,3021,HaoPhiVatTu!L6:L521),4)</f>
        <v>1.1234</v>
      </c>
      <c r="F84" s="15">
        <f>ROUND('Giá tháng'!E75,1)</f>
        <v>294869</v>
      </c>
      <c r="G84" s="15">
        <f t="shared" si="17"/>
        <v>331255.8</v>
      </c>
      <c r="H84" s="21">
        <f>ROUND('Giá tháng'!F75,1)</f>
        <v>293362</v>
      </c>
      <c r="I84" s="15">
        <f t="shared" si="18"/>
        <v>329562.90000000002</v>
      </c>
      <c r="J84" s="17">
        <v>1</v>
      </c>
      <c r="K84" s="15">
        <f t="shared" si="19"/>
        <v>293362</v>
      </c>
      <c r="L84" s="15">
        <f t="shared" si="20"/>
        <v>329562.90000000002</v>
      </c>
      <c r="M84" s="15"/>
      <c r="N84" s="15">
        <f t="shared" si="21"/>
        <v>0</v>
      </c>
      <c r="O84" s="15">
        <f t="shared" si="22"/>
        <v>293362</v>
      </c>
      <c r="P84" s="15">
        <f t="shared" si="23"/>
        <v>329562.90000000002</v>
      </c>
      <c r="Q84" s="15">
        <f t="shared" si="24"/>
        <v>-1507</v>
      </c>
      <c r="R84" s="15">
        <f t="shared" si="25"/>
        <v>-1692.9</v>
      </c>
    </row>
    <row r="85" spans="1:18" ht="16.5" customHeight="1">
      <c r="A85" s="12">
        <v>23</v>
      </c>
      <c r="B85" s="13" t="str">
        <f>'Giá tháng'!B76</f>
        <v>M101.0503</v>
      </c>
      <c r="C85" s="14" t="str">
        <f>'Giá tháng'!C76</f>
        <v>Máy ủi - công suất : 110,0 CV</v>
      </c>
      <c r="D85" s="13" t="str">
        <f>'Giá tháng'!D76</f>
        <v>ca</v>
      </c>
      <c r="E85" s="89">
        <f>ROUND(SUMIF(HaoPhiVatTu!S6:S521,3022,HaoPhiVatTu!L6:L521),4)</f>
        <v>2.1211000000000002</v>
      </c>
      <c r="F85" s="15">
        <f>ROUND('Giá tháng'!E76,1)</f>
        <v>2096893</v>
      </c>
      <c r="G85" s="15">
        <f t="shared" si="17"/>
        <v>4447719.7</v>
      </c>
      <c r="H85" s="21">
        <f>ROUND('Giá tháng'!F76,1)</f>
        <v>2111107</v>
      </c>
      <c r="I85" s="15">
        <f t="shared" si="18"/>
        <v>4477869.0999999996</v>
      </c>
      <c r="J85" s="17">
        <v>1</v>
      </c>
      <c r="K85" s="15">
        <f t="shared" si="19"/>
        <v>2111107</v>
      </c>
      <c r="L85" s="15">
        <f t="shared" si="20"/>
        <v>4477869.0999999996</v>
      </c>
      <c r="M85" s="15"/>
      <c r="N85" s="15">
        <f t="shared" si="21"/>
        <v>0</v>
      </c>
      <c r="O85" s="15">
        <f t="shared" si="22"/>
        <v>2111107</v>
      </c>
      <c r="P85" s="15">
        <f t="shared" si="23"/>
        <v>4477869.0999999996</v>
      </c>
      <c r="Q85" s="15">
        <f t="shared" si="24"/>
        <v>14214</v>
      </c>
      <c r="R85" s="15">
        <f t="shared" si="25"/>
        <v>30149.4</v>
      </c>
    </row>
    <row r="86" spans="1:18" ht="16.5" customHeight="1">
      <c r="A86" s="12">
        <v>24</v>
      </c>
      <c r="B86" s="13" t="str">
        <f>'Giá tháng'!B77</f>
        <v>TT*</v>
      </c>
      <c r="C86" s="14" t="str">
        <f>'Giá tháng'!C77</f>
        <v>Máy xoa</v>
      </c>
      <c r="D86" s="13" t="str">
        <f>'Giá tháng'!D77</f>
        <v>Ca</v>
      </c>
      <c r="E86" s="89">
        <f>ROUND(SUMIF(HaoPhiVatTu!S6:S521,3023,HaoPhiVatTu!L6:L521),4)</f>
        <v>34.704000000000001</v>
      </c>
      <c r="F86" s="15">
        <f>ROUND('Giá tháng'!E77,1)</f>
        <v>200000</v>
      </c>
      <c r="G86" s="15">
        <f t="shared" si="17"/>
        <v>6940800</v>
      </c>
      <c r="H86" s="21">
        <f>ROUND('Giá tháng'!F77,1)</f>
        <v>200000</v>
      </c>
      <c r="I86" s="15">
        <f t="shared" si="18"/>
        <v>6940800</v>
      </c>
      <c r="J86" s="17">
        <v>1</v>
      </c>
      <c r="K86" s="15">
        <f t="shared" si="19"/>
        <v>200000</v>
      </c>
      <c r="L86" s="15">
        <f t="shared" si="20"/>
        <v>6940800</v>
      </c>
      <c r="M86" s="15"/>
      <c r="N86" s="15">
        <f t="shared" si="21"/>
        <v>0</v>
      </c>
      <c r="O86" s="15">
        <f t="shared" si="22"/>
        <v>200000</v>
      </c>
      <c r="P86" s="15">
        <f t="shared" si="23"/>
        <v>6940800</v>
      </c>
      <c r="Q86" s="15">
        <f t="shared" si="24"/>
        <v>0</v>
      </c>
      <c r="R86" s="15">
        <f t="shared" si="25"/>
        <v>0</v>
      </c>
    </row>
    <row r="87" spans="1:18" ht="16.5" customHeight="1">
      <c r="A87" s="12">
        <v>25</v>
      </c>
      <c r="B87" s="13" t="str">
        <f>'Giá tháng'!B78</f>
        <v>M106.0202</v>
      </c>
      <c r="C87" s="14" t="str">
        <f>'Giá tháng'!C78</f>
        <v>Ô tô tự đổ - trọng tải : 5,0 T</v>
      </c>
      <c r="D87" s="13" t="str">
        <f>'Giá tháng'!D78</f>
        <v>ca</v>
      </c>
      <c r="E87" s="89">
        <f>ROUND(SUMIF(HaoPhiVatTu!S6:S521,3024,HaoPhiVatTu!L6:L521),4)</f>
        <v>32.842700000000001</v>
      </c>
      <c r="F87" s="15">
        <f>ROUND('Giá tháng'!E78,1)</f>
        <v>1727890</v>
      </c>
      <c r="G87" s="15">
        <f t="shared" si="17"/>
        <v>56748572.899999999</v>
      </c>
      <c r="H87" s="21">
        <f>ROUND('Giá tháng'!F78,1)</f>
        <v>1740559</v>
      </c>
      <c r="I87" s="15">
        <f t="shared" si="18"/>
        <v>57164657.100000001</v>
      </c>
      <c r="J87" s="17">
        <v>1</v>
      </c>
      <c r="K87" s="15">
        <f t="shared" si="19"/>
        <v>1740559</v>
      </c>
      <c r="L87" s="15">
        <f t="shared" si="20"/>
        <v>57164657.100000001</v>
      </c>
      <c r="M87" s="15"/>
      <c r="N87" s="15">
        <f t="shared" si="21"/>
        <v>0</v>
      </c>
      <c r="O87" s="15">
        <f t="shared" si="22"/>
        <v>1740559</v>
      </c>
      <c r="P87" s="15">
        <f t="shared" si="23"/>
        <v>57164657.100000001</v>
      </c>
      <c r="Q87" s="15">
        <f t="shared" si="24"/>
        <v>12669</v>
      </c>
      <c r="R87" s="15">
        <f t="shared" si="25"/>
        <v>416084.2</v>
      </c>
    </row>
    <row r="88" spans="1:18" ht="16.5" customHeight="1">
      <c r="A88" s="12">
        <v>26</v>
      </c>
      <c r="B88" s="13" t="str">
        <f>'Giá tháng'!B80</f>
        <v>M106.0502</v>
      </c>
      <c r="C88" s="14" t="str">
        <f>'Giá tháng'!C80</f>
        <v>Ô tô tưới nước - dung tích : 5,0 m3</v>
      </c>
      <c r="D88" s="13" t="str">
        <f>'Giá tháng'!D80</f>
        <v>ca</v>
      </c>
      <c r="E88" s="89">
        <f>ROUND(SUMIF(HaoPhiVatTu!S6:S521,3025,HaoPhiVatTu!L6:L521),4)</f>
        <v>0.65590000000000004</v>
      </c>
      <c r="F88" s="15">
        <f>ROUND('Giá tháng'!E80,1)</f>
        <v>1271914</v>
      </c>
      <c r="G88" s="15">
        <f t="shared" si="17"/>
        <v>834248.4</v>
      </c>
      <c r="H88" s="21">
        <f>ROUND('Giá tháng'!F80,1)</f>
        <v>1279021</v>
      </c>
      <c r="I88" s="15">
        <f t="shared" si="18"/>
        <v>838909.9</v>
      </c>
      <c r="J88" s="17">
        <v>1</v>
      </c>
      <c r="K88" s="15">
        <f t="shared" si="19"/>
        <v>1279021</v>
      </c>
      <c r="L88" s="15">
        <f t="shared" si="20"/>
        <v>838909.9</v>
      </c>
      <c r="M88" s="15"/>
      <c r="N88" s="15">
        <f t="shared" si="21"/>
        <v>0</v>
      </c>
      <c r="O88" s="15">
        <f t="shared" si="22"/>
        <v>1279021</v>
      </c>
      <c r="P88" s="15">
        <f t="shared" si="23"/>
        <v>838909.9</v>
      </c>
      <c r="Q88" s="15">
        <f t="shared" si="24"/>
        <v>7107</v>
      </c>
      <c r="R88" s="15">
        <f t="shared" si="25"/>
        <v>4661.5</v>
      </c>
    </row>
    <row r="89" spans="1:18" ht="16.5" customHeight="1">
      <c r="A89" s="12">
        <v>27</v>
      </c>
      <c r="B89" s="13" t="s">
        <v>680</v>
      </c>
      <c r="C89" s="14" t="s">
        <v>681</v>
      </c>
      <c r="D89" s="13" t="s">
        <v>682</v>
      </c>
      <c r="E89" s="89"/>
      <c r="F89" s="15"/>
      <c r="G89" s="15">
        <f>ROUND(HaoPhiVatTu!N4,1)</f>
        <v>1878723</v>
      </c>
      <c r="H89" s="21"/>
      <c r="I89" s="15"/>
      <c r="J89" s="17"/>
      <c r="K89" s="15"/>
      <c r="L89" s="15"/>
      <c r="M89" s="15"/>
      <c r="N89" s="15"/>
      <c r="O89" s="15"/>
      <c r="P89" s="15">
        <f>ROUND(HaoPhiVatTu!P4,1)</f>
        <v>1881547.1</v>
      </c>
      <c r="Q89" s="15"/>
      <c r="R89" s="15">
        <f>ROUND(P89-G89,1)</f>
        <v>2824.1</v>
      </c>
    </row>
    <row r="90" spans="1:18" ht="16.5" customHeight="1">
      <c r="A90" s="98"/>
      <c r="B90" s="99"/>
      <c r="C90" s="100" t="s">
        <v>691</v>
      </c>
      <c r="D90" s="99"/>
      <c r="E90" s="101"/>
      <c r="F90" s="102"/>
      <c r="G90" s="102">
        <f>ROUND(SUM(G63:G89),0)</f>
        <v>167667098</v>
      </c>
      <c r="H90" s="103"/>
      <c r="I90" s="102">
        <f>ROUND(SUM(I63:I89),0)</f>
        <v>166425094</v>
      </c>
      <c r="J90" s="104"/>
      <c r="K90" s="102"/>
      <c r="L90" s="102">
        <f>ROUND(SUM(L63:L89),0)</f>
        <v>166425094</v>
      </c>
      <c r="M90" s="102"/>
      <c r="N90" s="102">
        <f>ROUND(SUM(N63:N89),0)</f>
        <v>0</v>
      </c>
      <c r="O90" s="102"/>
      <c r="P90" s="102">
        <f>ROUND(SUM(P63:P89),0)</f>
        <v>168306641</v>
      </c>
      <c r="Q90" s="102"/>
      <c r="R90" s="102">
        <f>ROUND(SUM(R63:R89),0)</f>
        <v>639543</v>
      </c>
    </row>
  </sheetData>
  <mergeCells count="3">
    <mergeCell ref="A1:R1"/>
    <mergeCell ref="A2:R2"/>
    <mergeCell ref="A3:R3"/>
  </mergeCells>
  <pageMargins left="0.75" right="0" top="0.42" bottom="0.32" header="0.32" footer="0.2"/>
  <pageSetup paperSize="9" orientation="landscape" blackAndWhite="1" useFirstPageNumber="1" verticalDpi="0" r:id="rId1"/>
  <headerFooter alignWithMargins="0">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Z44"/>
  <sheetViews>
    <sheetView workbookViewId="0"/>
  </sheetViews>
  <sheetFormatPr defaultColWidth="10" defaultRowHeight="15" customHeight="1"/>
  <cols>
    <col min="1" max="1" width="6.1640625" style="124" customWidth="1"/>
    <col min="2" max="2" width="13.83203125" style="124" customWidth="1"/>
    <col min="3" max="3" width="24.33203125" style="34" customWidth="1"/>
    <col min="4" max="4" width="9.1640625" style="124" customWidth="1"/>
    <col min="5" max="5" width="13.1640625" style="124" hidden="1" customWidth="1"/>
    <col min="6" max="6" width="46.1640625" style="34" hidden="1" customWidth="1"/>
    <col min="7" max="7" width="8" style="34" customWidth="1"/>
    <col min="8" max="8" width="14.5" style="34" customWidth="1"/>
    <col min="9" max="9" width="9.6640625" style="34" customWidth="1"/>
    <col min="10" max="10" width="6.1640625" style="34" hidden="1" customWidth="1"/>
    <col min="11" max="11" width="6.5" style="34" hidden="1" customWidth="1"/>
    <col min="12" max="12" width="6.1640625" style="124" customWidth="1"/>
    <col min="13" max="13" width="5.6640625" style="34" customWidth="1"/>
    <col min="14" max="15" width="8.1640625" style="34" customWidth="1"/>
    <col min="16" max="16" width="5.6640625" style="34" hidden="1" customWidth="1"/>
    <col min="17" max="20" width="7.1640625" style="124" customWidth="1"/>
    <col min="21" max="21" width="7.6640625" style="34" hidden="1" customWidth="1"/>
    <col min="22" max="22" width="7" style="34" hidden="1" customWidth="1"/>
    <col min="23" max="26" width="8" style="124" customWidth="1"/>
    <col min="27" max="27" width="11.6640625" style="124" hidden="1" customWidth="1"/>
    <col min="28" max="28" width="11.6640625" style="34" hidden="1" customWidth="1"/>
    <col min="29" max="29" width="11.6640625" style="34" customWidth="1"/>
    <col min="30" max="30" width="11.6640625" style="124" customWidth="1"/>
    <col min="31" max="31" width="11.6640625" style="34" hidden="1" customWidth="1"/>
    <col min="32" max="32" width="13.1640625" style="34" customWidth="1"/>
    <col min="33" max="33" width="7.83203125" style="34" customWidth="1"/>
    <col min="34" max="34" width="11.6640625" style="34" hidden="1" customWidth="1"/>
    <col min="35" max="46" width="11" style="34" hidden="1" customWidth="1"/>
    <col min="47" max="47" width="11.6640625" style="34" customWidth="1"/>
    <col min="48" max="48" width="17" style="34" hidden="1" customWidth="1"/>
    <col min="49" max="50" width="13.1640625" style="34" hidden="1" customWidth="1"/>
    <col min="51" max="51" width="17" style="34" hidden="1" customWidth="1"/>
    <col min="52" max="52" width="10" style="34" hidden="1" customWidth="1"/>
    <col min="53" max="16384" width="10" style="34"/>
  </cols>
  <sheetData>
    <row r="1" spans="1:52" ht="26.25" customHeight="1">
      <c r="A1" s="1015" t="s">
        <v>692</v>
      </c>
      <c r="B1" s="1016"/>
      <c r="C1" s="985"/>
      <c r="D1" s="1016"/>
      <c r="E1" s="1016"/>
      <c r="F1" s="985"/>
      <c r="G1" s="985"/>
      <c r="H1" s="985"/>
      <c r="I1" s="985"/>
      <c r="J1" s="985"/>
      <c r="K1" s="985"/>
      <c r="L1" s="1016"/>
      <c r="M1" s="985"/>
      <c r="N1" s="985"/>
      <c r="O1" s="985"/>
      <c r="P1" s="985"/>
      <c r="Q1" s="1016"/>
      <c r="R1" s="1016"/>
      <c r="S1" s="1016"/>
      <c r="T1" s="1016"/>
      <c r="U1" s="985"/>
      <c r="V1" s="985"/>
      <c r="W1" s="1016"/>
      <c r="X1" s="1016"/>
      <c r="Y1" s="1016"/>
      <c r="Z1" s="1016"/>
      <c r="AA1" s="1016"/>
      <c r="AB1" s="985"/>
      <c r="AC1" s="985"/>
      <c r="AD1" s="1016"/>
      <c r="AE1" s="985"/>
      <c r="AF1" s="985"/>
      <c r="AG1" s="985"/>
      <c r="AH1" s="985"/>
      <c r="AI1" s="985"/>
      <c r="AJ1" s="985"/>
      <c r="AK1" s="985"/>
      <c r="AL1" s="985"/>
      <c r="AM1" s="985"/>
      <c r="AN1" s="985"/>
      <c r="AO1" s="985"/>
      <c r="AP1" s="985"/>
      <c r="AQ1" s="985"/>
      <c r="AR1" s="985"/>
      <c r="AS1" s="985"/>
      <c r="AT1" s="985"/>
      <c r="AU1" s="985"/>
      <c r="AV1" s="985"/>
      <c r="AW1" s="985"/>
      <c r="AX1" s="985"/>
      <c r="AY1" s="985"/>
    </row>
    <row r="2" spans="1:52" ht="30" customHeight="1">
      <c r="A2" s="1017" t="str">
        <f>'Công trình'!A2</f>
        <v>CÔNG TRÌNH : SỬA CHỮA TUYẾN ĐƯỜNG TỪ NHÀ BÀ TRƯỜNG, TỔ 5 PHƯỜNG VẠN HƯƠNG ĐẾN NHÀ BÀ KIM, TỔ DÂN PHỐ BẮC HẢI PHƯỜNG BÀNG LA</v>
      </c>
      <c r="B2" s="1016"/>
      <c r="C2" s="985"/>
      <c r="D2" s="1016"/>
      <c r="E2" s="1016"/>
      <c r="F2" s="985"/>
      <c r="G2" s="985"/>
      <c r="H2" s="985"/>
      <c r="I2" s="985"/>
      <c r="J2" s="985"/>
      <c r="K2" s="985"/>
      <c r="L2" s="1016"/>
      <c r="M2" s="985"/>
      <c r="N2" s="985"/>
      <c r="O2" s="985"/>
      <c r="P2" s="985"/>
      <c r="Q2" s="1016"/>
      <c r="R2" s="1016"/>
      <c r="S2" s="1016"/>
      <c r="T2" s="1016"/>
      <c r="U2" s="985"/>
      <c r="V2" s="985"/>
      <c r="W2" s="1016"/>
      <c r="X2" s="1016"/>
      <c r="Y2" s="1016"/>
      <c r="Z2" s="1016"/>
      <c r="AA2" s="1016"/>
      <c r="AB2" s="985"/>
      <c r="AC2" s="985"/>
      <c r="AD2" s="1016"/>
      <c r="AE2" s="985"/>
      <c r="AF2" s="985"/>
      <c r="AG2" s="985"/>
      <c r="AH2" s="985"/>
      <c r="AI2" s="985"/>
      <c r="AJ2" s="985"/>
      <c r="AK2" s="985"/>
      <c r="AL2" s="985"/>
      <c r="AM2" s="985"/>
      <c r="AN2" s="985"/>
      <c r="AO2" s="985"/>
      <c r="AP2" s="985"/>
      <c r="AQ2" s="985"/>
      <c r="AR2" s="985"/>
      <c r="AS2" s="985"/>
      <c r="AT2" s="985"/>
      <c r="AU2" s="985"/>
      <c r="AV2" s="985"/>
      <c r="AW2" s="985"/>
      <c r="AX2" s="985"/>
      <c r="AY2" s="985"/>
    </row>
    <row r="3" spans="1:52" ht="15" hidden="1" customHeight="1"/>
    <row r="4" spans="1:52" ht="42" customHeight="1">
      <c r="A4" s="1018" t="s">
        <v>4</v>
      </c>
      <c r="B4" s="1013" t="s">
        <v>357</v>
      </c>
      <c r="C4" s="1002" t="s">
        <v>693</v>
      </c>
      <c r="D4" s="1013" t="s">
        <v>694</v>
      </c>
      <c r="E4" s="1013" t="s">
        <v>695</v>
      </c>
      <c r="F4" s="1002" t="s">
        <v>696</v>
      </c>
      <c r="G4" s="1002" t="s">
        <v>697</v>
      </c>
      <c r="H4" s="1002" t="s">
        <v>698</v>
      </c>
      <c r="I4" s="1002" t="s">
        <v>699</v>
      </c>
      <c r="J4" s="1002" t="s">
        <v>700</v>
      </c>
      <c r="K4" s="1002" t="s">
        <v>701</v>
      </c>
      <c r="L4" s="1013" t="s">
        <v>702</v>
      </c>
      <c r="M4" s="1005" t="s">
        <v>703</v>
      </c>
      <c r="N4" s="1005" t="str">
        <f>""</f>
        <v/>
      </c>
      <c r="O4" s="1005" t="str">
        <f>""</f>
        <v/>
      </c>
      <c r="P4" s="1005" t="str">
        <f>""</f>
        <v/>
      </c>
      <c r="Q4" s="1011" t="str">
        <f>""</f>
        <v/>
      </c>
      <c r="R4" s="1011" t="str">
        <f>""</f>
        <v/>
      </c>
      <c r="S4" s="1011" t="str">
        <f>""</f>
        <v/>
      </c>
      <c r="T4" s="1012" t="str">
        <f>""</f>
        <v/>
      </c>
      <c r="U4" s="1002" t="s">
        <v>704</v>
      </c>
      <c r="V4" s="1002" t="s">
        <v>705</v>
      </c>
      <c r="W4" s="1013" t="s">
        <v>706</v>
      </c>
      <c r="X4" s="1013" t="s">
        <v>707</v>
      </c>
      <c r="Y4" s="1013" t="s">
        <v>708</v>
      </c>
      <c r="Z4" s="1013" t="s">
        <v>709</v>
      </c>
      <c r="AA4" s="1013" t="s">
        <v>710</v>
      </c>
      <c r="AB4" s="1002" t="s">
        <v>711</v>
      </c>
      <c r="AC4" s="1002" t="s">
        <v>712</v>
      </c>
      <c r="AD4" s="1013" t="s">
        <v>713</v>
      </c>
      <c r="AE4" s="1002" t="s">
        <v>714</v>
      </c>
      <c r="AF4" s="1002" t="s">
        <v>715</v>
      </c>
      <c r="AG4" s="1002" t="s">
        <v>716</v>
      </c>
      <c r="AH4" s="1002" t="s">
        <v>717</v>
      </c>
      <c r="AI4" s="1002" t="s">
        <v>718</v>
      </c>
      <c r="AJ4" s="1002" t="s">
        <v>719</v>
      </c>
      <c r="AK4" s="1002" t="s">
        <v>720</v>
      </c>
      <c r="AL4" s="1002" t="s">
        <v>721</v>
      </c>
      <c r="AM4" s="1002" t="s">
        <v>722</v>
      </c>
      <c r="AN4" s="1002" t="s">
        <v>723</v>
      </c>
      <c r="AO4" s="1002" t="s">
        <v>724</v>
      </c>
      <c r="AP4" s="1002" t="s">
        <v>725</v>
      </c>
      <c r="AQ4" s="1002" t="s">
        <v>726</v>
      </c>
      <c r="AR4" s="1002" t="s">
        <v>727</v>
      </c>
      <c r="AS4" s="1002" t="s">
        <v>728</v>
      </c>
      <c r="AT4" s="1002" t="s">
        <v>729</v>
      </c>
      <c r="AU4" s="1002" t="s">
        <v>730</v>
      </c>
      <c r="AV4" s="1002" t="s">
        <v>731</v>
      </c>
      <c r="AW4" s="1002" t="s">
        <v>732</v>
      </c>
      <c r="AX4" s="1002" t="s">
        <v>733</v>
      </c>
      <c r="AY4" s="1002" t="s">
        <v>734</v>
      </c>
    </row>
    <row r="5" spans="1:52" ht="68.25" customHeight="1">
      <c r="A5" s="1019" t="str">
        <f>""</f>
        <v/>
      </c>
      <c r="B5" s="1014" t="str">
        <f>""</f>
        <v/>
      </c>
      <c r="C5" s="1010" t="str">
        <f>""</f>
        <v/>
      </c>
      <c r="D5" s="1014" t="str">
        <f>""</f>
        <v/>
      </c>
      <c r="E5" s="1014" t="str">
        <f>""</f>
        <v/>
      </c>
      <c r="F5" s="1010" t="str">
        <f>""</f>
        <v/>
      </c>
      <c r="G5" s="1010" t="str">
        <f>""</f>
        <v/>
      </c>
      <c r="H5" s="1010" t="str">
        <f>""</f>
        <v/>
      </c>
      <c r="I5" s="1010" t="str">
        <f>""</f>
        <v/>
      </c>
      <c r="J5" s="1010" t="str">
        <f>""</f>
        <v/>
      </c>
      <c r="K5" s="1010" t="str">
        <f>""</f>
        <v/>
      </c>
      <c r="L5" s="1014" t="str">
        <f>""</f>
        <v/>
      </c>
      <c r="M5" s="2" t="s">
        <v>735</v>
      </c>
      <c r="N5" s="2" t="s">
        <v>736</v>
      </c>
      <c r="O5" s="2" t="s">
        <v>737</v>
      </c>
      <c r="P5" s="2" t="s">
        <v>738</v>
      </c>
      <c r="Q5" s="105" t="s">
        <v>739</v>
      </c>
      <c r="R5" s="105" t="s">
        <v>740</v>
      </c>
      <c r="S5" s="105" t="s">
        <v>741</v>
      </c>
      <c r="T5" s="105" t="s">
        <v>742</v>
      </c>
      <c r="U5" s="1010" t="str">
        <f>""</f>
        <v/>
      </c>
      <c r="V5" s="1010" t="str">
        <f>""</f>
        <v/>
      </c>
      <c r="W5" s="1014" t="str">
        <f>""</f>
        <v/>
      </c>
      <c r="X5" s="1014" t="str">
        <f>""</f>
        <v/>
      </c>
      <c r="Y5" s="1014" t="str">
        <f>""</f>
        <v/>
      </c>
      <c r="Z5" s="1014" t="str">
        <f>""</f>
        <v/>
      </c>
      <c r="AA5" s="1014" t="str">
        <f>""</f>
        <v/>
      </c>
      <c r="AB5" s="1010" t="str">
        <f>""</f>
        <v/>
      </c>
      <c r="AC5" s="1010" t="str">
        <f>""</f>
        <v/>
      </c>
      <c r="AD5" s="1014" t="str">
        <f>""</f>
        <v/>
      </c>
      <c r="AE5" s="1010" t="str">
        <f>""</f>
        <v/>
      </c>
      <c r="AF5" s="1010" t="str">
        <f>""</f>
        <v/>
      </c>
      <c r="AG5" s="1010" t="str">
        <f>""</f>
        <v/>
      </c>
      <c r="AH5" s="1010" t="str">
        <f>""</f>
        <v/>
      </c>
      <c r="AI5" s="1010" t="str">
        <f>""</f>
        <v/>
      </c>
      <c r="AJ5" s="1010" t="str">
        <f>""</f>
        <v/>
      </c>
      <c r="AK5" s="1010" t="str">
        <f>""</f>
        <v/>
      </c>
      <c r="AL5" s="1010" t="str">
        <f>""</f>
        <v/>
      </c>
      <c r="AM5" s="1010" t="str">
        <f>""</f>
        <v/>
      </c>
      <c r="AN5" s="1010" t="str">
        <f>""</f>
        <v/>
      </c>
      <c r="AO5" s="1010" t="str">
        <f>""</f>
        <v/>
      </c>
      <c r="AP5" s="1010" t="str">
        <f>""</f>
        <v/>
      </c>
      <c r="AQ5" s="1010" t="str">
        <f>""</f>
        <v/>
      </c>
      <c r="AR5" s="1010" t="str">
        <f>""</f>
        <v/>
      </c>
      <c r="AS5" s="1010" t="str">
        <f>""</f>
        <v/>
      </c>
      <c r="AT5" s="1010" t="str">
        <f>""</f>
        <v/>
      </c>
      <c r="AU5" s="1010" t="str">
        <f>""</f>
        <v/>
      </c>
      <c r="AV5" s="1010" t="str">
        <f>""</f>
        <v/>
      </c>
      <c r="AW5" s="1010" t="str">
        <f>""</f>
        <v/>
      </c>
      <c r="AX5" s="1010" t="str">
        <f>""</f>
        <v/>
      </c>
      <c r="AY5" s="1010" t="str">
        <f>""</f>
        <v/>
      </c>
    </row>
    <row r="6" spans="1:52" ht="41.25" customHeight="1">
      <c r="A6" s="106">
        <v>1</v>
      </c>
      <c r="B6" s="107" t="s">
        <v>366</v>
      </c>
      <c r="C6" s="14" t="s">
        <v>367</v>
      </c>
      <c r="D6" s="107" t="s">
        <v>116</v>
      </c>
      <c r="E6" s="108">
        <f>'Tổng hợp VT'!E11</f>
        <v>106.8</v>
      </c>
      <c r="F6" s="20"/>
      <c r="G6" s="109"/>
      <c r="H6" s="20"/>
      <c r="I6" s="110" t="s">
        <v>743</v>
      </c>
      <c r="J6" s="51">
        <v>1</v>
      </c>
      <c r="K6" s="81">
        <v>1</v>
      </c>
      <c r="L6" s="108"/>
      <c r="M6" s="89"/>
      <c r="N6" s="18"/>
      <c r="O6" s="17">
        <v>1</v>
      </c>
      <c r="P6" s="89"/>
      <c r="Q6" s="108">
        <v>0</v>
      </c>
      <c r="R6" s="111">
        <v>0</v>
      </c>
      <c r="S6" s="111">
        <v>0</v>
      </c>
      <c r="T6" s="108">
        <v>0</v>
      </c>
      <c r="U6" s="17">
        <v>1</v>
      </c>
      <c r="V6" s="17">
        <v>1</v>
      </c>
      <c r="W6" s="112"/>
      <c r="X6" s="112"/>
      <c r="Y6" s="112"/>
      <c r="Z6" s="112"/>
      <c r="AA6" s="112"/>
      <c r="AB6" s="113"/>
      <c r="AC6" s="15">
        <v>1</v>
      </c>
      <c r="AD6" s="114">
        <f t="shared" ref="AD6:AD44" si="0">ROUND(K6*O6*U6*V6*(Q6*W6+R6*X6+S6*Y6+0.95*T6*Z6)*AC6,1)</f>
        <v>0</v>
      </c>
      <c r="AE6" s="15">
        <v>0</v>
      </c>
      <c r="AF6" s="15">
        <f t="shared" ref="AF6:AF44" si="1">ROUND(G6*(AD6+AE6),0)</f>
        <v>0</v>
      </c>
      <c r="AG6" s="17">
        <v>1</v>
      </c>
      <c r="AH6" s="15">
        <f t="shared" ref="AH6:AH44" si="2">ROUND(AF6*AG6,0)</f>
        <v>0</v>
      </c>
      <c r="AI6" s="17"/>
      <c r="AJ6" s="17"/>
      <c r="AK6" s="17"/>
      <c r="AL6" s="17"/>
      <c r="AM6" s="17">
        <f t="shared" ref="AM6:AM44" si="3">ROUND((AJ6+AK6)*AL6,0)</f>
        <v>0</v>
      </c>
      <c r="AN6" s="17"/>
      <c r="AO6" s="17">
        <f t="shared" ref="AO6:AO44" si="4">ROUND(AN6*AW6,0)</f>
        <v>0</v>
      </c>
      <c r="AP6" s="17"/>
      <c r="AQ6" s="17"/>
      <c r="AR6" s="17">
        <f t="shared" ref="AR6:AR44" si="5">ROUND(AL6*(AP6+AQ6),0)</f>
        <v>0</v>
      </c>
      <c r="AS6" s="17"/>
      <c r="AT6" s="17">
        <f t="shared" ref="AT6:AT44" si="6">ROUND(AS6*((AH6+AI6)/1.1+AM6+AO6+AW6),0)</f>
        <v>0</v>
      </c>
      <c r="AU6" s="15">
        <f t="shared" ref="AU6:AU44" si="7">ROUND((AH6+AI6)/1+AM6+AO6+AR6+AT6,0)</f>
        <v>0</v>
      </c>
      <c r="AV6" s="17">
        <f t="shared" ref="AV6:AV44" si="8">ROUND(E6*AU6,0)</f>
        <v>0</v>
      </c>
      <c r="AW6" s="15">
        <f>'Tổng hợp VT'!K11</f>
        <v>12000</v>
      </c>
      <c r="AX6" s="17">
        <f t="shared" ref="AX6:AX44" si="9">ROUND(AU6+AW6,0)</f>
        <v>12000</v>
      </c>
      <c r="AY6" s="17">
        <f t="shared" ref="AY6:AY44" si="10">ROUND(E6*AX6,0)</f>
        <v>1281600</v>
      </c>
      <c r="AZ6" s="34">
        <v>1</v>
      </c>
    </row>
    <row r="7" spans="1:52" ht="28.5" customHeight="1">
      <c r="A7" s="106">
        <v>2</v>
      </c>
      <c r="B7" s="107" t="s">
        <v>370</v>
      </c>
      <c r="C7" s="14" t="s">
        <v>371</v>
      </c>
      <c r="D7" s="107" t="s">
        <v>43</v>
      </c>
      <c r="E7" s="108">
        <f>'Tổng hợp VT'!E12</f>
        <v>18.181799999999999</v>
      </c>
      <c r="F7" s="20" t="s">
        <v>371</v>
      </c>
      <c r="G7" s="109">
        <v>1</v>
      </c>
      <c r="H7" s="20"/>
      <c r="I7" s="110" t="s">
        <v>744</v>
      </c>
      <c r="J7" s="51">
        <v>1</v>
      </c>
      <c r="K7" s="81">
        <v>1</v>
      </c>
      <c r="L7" s="108"/>
      <c r="M7" s="89"/>
      <c r="N7" s="18"/>
      <c r="O7" s="17">
        <v>1</v>
      </c>
      <c r="P7" s="89"/>
      <c r="Q7" s="108">
        <v>0</v>
      </c>
      <c r="R7" s="111">
        <v>0</v>
      </c>
      <c r="S7" s="111">
        <v>0</v>
      </c>
      <c r="T7" s="108">
        <v>0</v>
      </c>
      <c r="U7" s="17">
        <v>1</v>
      </c>
      <c r="V7" s="17">
        <v>1</v>
      </c>
      <c r="W7" s="112"/>
      <c r="X7" s="112"/>
      <c r="Y7" s="112"/>
      <c r="Z7" s="112"/>
      <c r="AA7" s="112"/>
      <c r="AB7" s="113"/>
      <c r="AC7" s="15">
        <v>1</v>
      </c>
      <c r="AD7" s="114">
        <f t="shared" si="0"/>
        <v>0</v>
      </c>
      <c r="AE7" s="15">
        <v>0</v>
      </c>
      <c r="AF7" s="15">
        <f t="shared" si="1"/>
        <v>0</v>
      </c>
      <c r="AG7" s="17">
        <v>1</v>
      </c>
      <c r="AH7" s="15">
        <f t="shared" si="2"/>
        <v>0</v>
      </c>
      <c r="AI7" s="17"/>
      <c r="AJ7" s="17"/>
      <c r="AK7" s="17"/>
      <c r="AL7" s="17"/>
      <c r="AM7" s="17">
        <f t="shared" si="3"/>
        <v>0</v>
      </c>
      <c r="AN7" s="17"/>
      <c r="AO7" s="17">
        <f t="shared" si="4"/>
        <v>0</v>
      </c>
      <c r="AP7" s="17"/>
      <c r="AQ7" s="17"/>
      <c r="AR7" s="17">
        <f t="shared" si="5"/>
        <v>0</v>
      </c>
      <c r="AS7" s="17"/>
      <c r="AT7" s="17">
        <f t="shared" si="6"/>
        <v>0</v>
      </c>
      <c r="AU7" s="15">
        <f t="shared" si="7"/>
        <v>0</v>
      </c>
      <c r="AV7" s="17">
        <f t="shared" si="8"/>
        <v>0</v>
      </c>
      <c r="AW7" s="15">
        <f>'Tổng hợp VT'!K12</f>
        <v>150000</v>
      </c>
      <c r="AX7" s="17">
        <f t="shared" si="9"/>
        <v>150000</v>
      </c>
      <c r="AY7" s="17">
        <f t="shared" si="10"/>
        <v>2727270</v>
      </c>
      <c r="AZ7" s="34">
        <v>1</v>
      </c>
    </row>
    <row r="8" spans="1:52" ht="28.5" customHeight="1">
      <c r="A8" s="106">
        <v>3</v>
      </c>
      <c r="B8" s="107" t="s">
        <v>373</v>
      </c>
      <c r="C8" s="14" t="s">
        <v>374</v>
      </c>
      <c r="D8" s="107" t="s">
        <v>43</v>
      </c>
      <c r="E8" s="108">
        <f>'Tổng hợp VT'!E13</f>
        <v>0.27310000000000001</v>
      </c>
      <c r="F8" s="20" t="s">
        <v>371</v>
      </c>
      <c r="G8" s="109">
        <v>1</v>
      </c>
      <c r="H8" s="20"/>
      <c r="I8" s="110" t="s">
        <v>744</v>
      </c>
      <c r="J8" s="51">
        <v>1</v>
      </c>
      <c r="K8" s="81">
        <v>1</v>
      </c>
      <c r="L8" s="108"/>
      <c r="M8" s="89"/>
      <c r="N8" s="18"/>
      <c r="O8" s="17">
        <v>1</v>
      </c>
      <c r="P8" s="89"/>
      <c r="Q8" s="108">
        <v>0</v>
      </c>
      <c r="R8" s="111">
        <v>0</v>
      </c>
      <c r="S8" s="111">
        <v>0</v>
      </c>
      <c r="T8" s="108">
        <v>0</v>
      </c>
      <c r="U8" s="17">
        <v>1</v>
      </c>
      <c r="V8" s="17">
        <v>1</v>
      </c>
      <c r="W8" s="112"/>
      <c r="X8" s="112"/>
      <c r="Y8" s="112"/>
      <c r="Z8" s="112"/>
      <c r="AA8" s="112"/>
      <c r="AB8" s="113"/>
      <c r="AC8" s="15">
        <v>1</v>
      </c>
      <c r="AD8" s="114">
        <f t="shared" si="0"/>
        <v>0</v>
      </c>
      <c r="AE8" s="15">
        <v>0</v>
      </c>
      <c r="AF8" s="15">
        <f t="shared" si="1"/>
        <v>0</v>
      </c>
      <c r="AG8" s="17">
        <v>1</v>
      </c>
      <c r="AH8" s="15">
        <f t="shared" si="2"/>
        <v>0</v>
      </c>
      <c r="AI8" s="17"/>
      <c r="AJ8" s="17"/>
      <c r="AK8" s="17"/>
      <c r="AL8" s="17"/>
      <c r="AM8" s="17">
        <f t="shared" si="3"/>
        <v>0</v>
      </c>
      <c r="AN8" s="17"/>
      <c r="AO8" s="17">
        <f t="shared" si="4"/>
        <v>0</v>
      </c>
      <c r="AP8" s="17"/>
      <c r="AQ8" s="17"/>
      <c r="AR8" s="17">
        <f t="shared" si="5"/>
        <v>0</v>
      </c>
      <c r="AS8" s="17"/>
      <c r="AT8" s="17">
        <f t="shared" si="6"/>
        <v>0</v>
      </c>
      <c r="AU8" s="15">
        <f t="shared" si="7"/>
        <v>0</v>
      </c>
      <c r="AV8" s="17">
        <f t="shared" si="8"/>
        <v>0</v>
      </c>
      <c r="AW8" s="15">
        <f>'Tổng hợp VT'!K13</f>
        <v>445000</v>
      </c>
      <c r="AX8" s="17">
        <f t="shared" si="9"/>
        <v>445000</v>
      </c>
      <c r="AY8" s="17">
        <f t="shared" si="10"/>
        <v>121530</v>
      </c>
      <c r="AZ8" s="34">
        <v>1</v>
      </c>
    </row>
    <row r="9" spans="1:52" ht="28.5" customHeight="1">
      <c r="A9" s="106">
        <v>4</v>
      </c>
      <c r="B9" s="107" t="s">
        <v>376</v>
      </c>
      <c r="C9" s="14" t="s">
        <v>377</v>
      </c>
      <c r="D9" s="107" t="s">
        <v>43</v>
      </c>
      <c r="E9" s="108">
        <f>'Tổng hợp VT'!E14</f>
        <v>10.3908</v>
      </c>
      <c r="F9" s="20" t="s">
        <v>371</v>
      </c>
      <c r="G9" s="109">
        <v>1</v>
      </c>
      <c r="H9" s="20"/>
      <c r="I9" s="110" t="s">
        <v>744</v>
      </c>
      <c r="J9" s="51">
        <v>1</v>
      </c>
      <c r="K9" s="81">
        <v>1</v>
      </c>
      <c r="L9" s="108"/>
      <c r="M9" s="89"/>
      <c r="N9" s="18"/>
      <c r="O9" s="17">
        <v>1</v>
      </c>
      <c r="P9" s="89"/>
      <c r="Q9" s="108">
        <v>0</v>
      </c>
      <c r="R9" s="111">
        <v>0</v>
      </c>
      <c r="S9" s="111">
        <v>0</v>
      </c>
      <c r="T9" s="108">
        <v>0</v>
      </c>
      <c r="U9" s="17">
        <v>1</v>
      </c>
      <c r="V9" s="17">
        <v>1</v>
      </c>
      <c r="W9" s="112"/>
      <c r="X9" s="112"/>
      <c r="Y9" s="112"/>
      <c r="Z9" s="112"/>
      <c r="AA9" s="112"/>
      <c r="AB9" s="113"/>
      <c r="AC9" s="15">
        <v>1</v>
      </c>
      <c r="AD9" s="114">
        <f t="shared" si="0"/>
        <v>0</v>
      </c>
      <c r="AE9" s="15">
        <v>0</v>
      </c>
      <c r="AF9" s="15">
        <f t="shared" si="1"/>
        <v>0</v>
      </c>
      <c r="AG9" s="17">
        <v>1</v>
      </c>
      <c r="AH9" s="15">
        <f t="shared" si="2"/>
        <v>0</v>
      </c>
      <c r="AI9" s="17"/>
      <c r="AJ9" s="17"/>
      <c r="AK9" s="17"/>
      <c r="AL9" s="17"/>
      <c r="AM9" s="17">
        <f t="shared" si="3"/>
        <v>0</v>
      </c>
      <c r="AN9" s="17"/>
      <c r="AO9" s="17">
        <f t="shared" si="4"/>
        <v>0</v>
      </c>
      <c r="AP9" s="17"/>
      <c r="AQ9" s="17"/>
      <c r="AR9" s="17">
        <f t="shared" si="5"/>
        <v>0</v>
      </c>
      <c r="AS9" s="17"/>
      <c r="AT9" s="17">
        <f t="shared" si="6"/>
        <v>0</v>
      </c>
      <c r="AU9" s="15">
        <f t="shared" si="7"/>
        <v>0</v>
      </c>
      <c r="AV9" s="17">
        <f t="shared" si="8"/>
        <v>0</v>
      </c>
      <c r="AW9" s="15">
        <f>'Tổng hợp VT'!K14</f>
        <v>445000</v>
      </c>
      <c r="AX9" s="17">
        <f t="shared" si="9"/>
        <v>445000</v>
      </c>
      <c r="AY9" s="17">
        <f t="shared" si="10"/>
        <v>4623906</v>
      </c>
      <c r="AZ9" s="34">
        <v>1</v>
      </c>
    </row>
    <row r="10" spans="1:52" ht="28.5" customHeight="1">
      <c r="A10" s="106">
        <v>5</v>
      </c>
      <c r="B10" s="107" t="s">
        <v>378</v>
      </c>
      <c r="C10" s="14" t="s">
        <v>379</v>
      </c>
      <c r="D10" s="107" t="s">
        <v>43</v>
      </c>
      <c r="E10" s="108">
        <f>'Tổng hợp VT'!E15</f>
        <v>198.0514</v>
      </c>
      <c r="F10" s="20" t="s">
        <v>371</v>
      </c>
      <c r="G10" s="109">
        <v>1</v>
      </c>
      <c r="H10" s="20"/>
      <c r="I10" s="110" t="s">
        <v>744</v>
      </c>
      <c r="J10" s="51">
        <v>1</v>
      </c>
      <c r="K10" s="81">
        <v>1</v>
      </c>
      <c r="L10" s="108"/>
      <c r="M10" s="89"/>
      <c r="N10" s="18"/>
      <c r="O10" s="17">
        <v>1</v>
      </c>
      <c r="P10" s="89"/>
      <c r="Q10" s="108">
        <v>0</v>
      </c>
      <c r="R10" s="111">
        <v>0</v>
      </c>
      <c r="S10" s="111">
        <v>0</v>
      </c>
      <c r="T10" s="108">
        <v>0</v>
      </c>
      <c r="U10" s="17">
        <v>1</v>
      </c>
      <c r="V10" s="17">
        <v>1</v>
      </c>
      <c r="W10" s="112"/>
      <c r="X10" s="112"/>
      <c r="Y10" s="112"/>
      <c r="Z10" s="112"/>
      <c r="AA10" s="112"/>
      <c r="AB10" s="113"/>
      <c r="AC10" s="15">
        <v>1</v>
      </c>
      <c r="AD10" s="114">
        <f t="shared" si="0"/>
        <v>0</v>
      </c>
      <c r="AE10" s="15">
        <v>0</v>
      </c>
      <c r="AF10" s="15">
        <f t="shared" si="1"/>
        <v>0</v>
      </c>
      <c r="AG10" s="17">
        <v>1</v>
      </c>
      <c r="AH10" s="15">
        <f t="shared" si="2"/>
        <v>0</v>
      </c>
      <c r="AI10" s="17"/>
      <c r="AJ10" s="17"/>
      <c r="AK10" s="17"/>
      <c r="AL10" s="17"/>
      <c r="AM10" s="17">
        <f t="shared" si="3"/>
        <v>0</v>
      </c>
      <c r="AN10" s="17"/>
      <c r="AO10" s="17">
        <f t="shared" si="4"/>
        <v>0</v>
      </c>
      <c r="AP10" s="17"/>
      <c r="AQ10" s="17"/>
      <c r="AR10" s="17">
        <f t="shared" si="5"/>
        <v>0</v>
      </c>
      <c r="AS10" s="17"/>
      <c r="AT10" s="17">
        <f t="shared" si="6"/>
        <v>0</v>
      </c>
      <c r="AU10" s="15">
        <f t="shared" si="7"/>
        <v>0</v>
      </c>
      <c r="AV10" s="17">
        <f t="shared" si="8"/>
        <v>0</v>
      </c>
      <c r="AW10" s="15">
        <f>'Tổng hợp VT'!K15</f>
        <v>480000</v>
      </c>
      <c r="AX10" s="17">
        <f t="shared" si="9"/>
        <v>480000</v>
      </c>
      <c r="AY10" s="17">
        <f t="shared" si="10"/>
        <v>95064672</v>
      </c>
      <c r="AZ10" s="34">
        <v>1</v>
      </c>
    </row>
    <row r="11" spans="1:52" ht="41.25" customHeight="1">
      <c r="A11" s="106">
        <v>6</v>
      </c>
      <c r="B11" s="107" t="s">
        <v>381</v>
      </c>
      <c r="C11" s="14" t="s">
        <v>382</v>
      </c>
      <c r="D11" s="107" t="s">
        <v>43</v>
      </c>
      <c r="E11" s="108">
        <f>'Tổng hợp VT'!E16</f>
        <v>418.53559999999999</v>
      </c>
      <c r="F11" s="20" t="s">
        <v>745</v>
      </c>
      <c r="G11" s="109">
        <v>1</v>
      </c>
      <c r="H11" s="20"/>
      <c r="I11" s="110" t="s">
        <v>743</v>
      </c>
      <c r="J11" s="51">
        <v>1</v>
      </c>
      <c r="K11" s="81">
        <v>1</v>
      </c>
      <c r="L11" s="108"/>
      <c r="M11" s="89"/>
      <c r="N11" s="18"/>
      <c r="O11" s="17">
        <v>1</v>
      </c>
      <c r="P11" s="89"/>
      <c r="Q11" s="108">
        <v>0</v>
      </c>
      <c r="R11" s="111">
        <v>0</v>
      </c>
      <c r="S11" s="111">
        <v>0</v>
      </c>
      <c r="T11" s="108">
        <v>0</v>
      </c>
      <c r="U11" s="17">
        <v>1</v>
      </c>
      <c r="V11" s="17">
        <v>1</v>
      </c>
      <c r="W11" s="112"/>
      <c r="X11" s="112"/>
      <c r="Y11" s="112"/>
      <c r="Z11" s="112"/>
      <c r="AA11" s="112"/>
      <c r="AB11" s="113"/>
      <c r="AC11" s="15">
        <v>1</v>
      </c>
      <c r="AD11" s="114">
        <f t="shared" si="0"/>
        <v>0</v>
      </c>
      <c r="AE11" s="15">
        <v>0</v>
      </c>
      <c r="AF11" s="15">
        <f t="shared" si="1"/>
        <v>0</v>
      </c>
      <c r="AG11" s="17">
        <v>1</v>
      </c>
      <c r="AH11" s="15">
        <f t="shared" si="2"/>
        <v>0</v>
      </c>
      <c r="AI11" s="17"/>
      <c r="AJ11" s="17"/>
      <c r="AK11" s="17"/>
      <c r="AL11" s="17"/>
      <c r="AM11" s="17">
        <f t="shared" si="3"/>
        <v>0</v>
      </c>
      <c r="AN11" s="17"/>
      <c r="AO11" s="17">
        <f t="shared" si="4"/>
        <v>0</v>
      </c>
      <c r="AP11" s="17"/>
      <c r="AQ11" s="17"/>
      <c r="AR11" s="17">
        <f t="shared" si="5"/>
        <v>0</v>
      </c>
      <c r="AS11" s="17"/>
      <c r="AT11" s="17">
        <f t="shared" si="6"/>
        <v>0</v>
      </c>
      <c r="AU11" s="15">
        <f t="shared" si="7"/>
        <v>0</v>
      </c>
      <c r="AV11" s="17">
        <f t="shared" si="8"/>
        <v>0</v>
      </c>
      <c r="AW11" s="15">
        <f>'Tổng hợp VT'!K16</f>
        <v>270000</v>
      </c>
      <c r="AX11" s="17">
        <f t="shared" si="9"/>
        <v>270000</v>
      </c>
      <c r="AY11" s="17">
        <f t="shared" si="10"/>
        <v>113004612</v>
      </c>
      <c r="AZ11" s="34">
        <v>1</v>
      </c>
    </row>
    <row r="12" spans="1:52" ht="41.25" customHeight="1">
      <c r="A12" s="106">
        <v>7</v>
      </c>
      <c r="B12" s="107" t="s">
        <v>384</v>
      </c>
      <c r="C12" s="14" t="s">
        <v>385</v>
      </c>
      <c r="D12" s="107" t="s">
        <v>386</v>
      </c>
      <c r="E12" s="108">
        <f>'Tổng hợp VT'!E17</f>
        <v>2.4750000000000001</v>
      </c>
      <c r="F12" s="20"/>
      <c r="G12" s="109"/>
      <c r="H12" s="20"/>
      <c r="I12" s="110" t="s">
        <v>743</v>
      </c>
      <c r="J12" s="51">
        <v>1</v>
      </c>
      <c r="K12" s="81">
        <v>1</v>
      </c>
      <c r="L12" s="108"/>
      <c r="M12" s="89"/>
      <c r="N12" s="18"/>
      <c r="O12" s="17">
        <v>1</v>
      </c>
      <c r="P12" s="89"/>
      <c r="Q12" s="108">
        <v>0</v>
      </c>
      <c r="R12" s="111">
        <v>0</v>
      </c>
      <c r="S12" s="111">
        <v>0</v>
      </c>
      <c r="T12" s="108">
        <v>0</v>
      </c>
      <c r="U12" s="17">
        <v>1</v>
      </c>
      <c r="V12" s="17">
        <v>1</v>
      </c>
      <c r="W12" s="112"/>
      <c r="X12" s="112"/>
      <c r="Y12" s="112"/>
      <c r="Z12" s="112"/>
      <c r="AA12" s="112"/>
      <c r="AB12" s="113"/>
      <c r="AC12" s="15">
        <v>1</v>
      </c>
      <c r="AD12" s="114">
        <f t="shared" si="0"/>
        <v>0</v>
      </c>
      <c r="AE12" s="15">
        <v>0</v>
      </c>
      <c r="AF12" s="15">
        <f t="shared" si="1"/>
        <v>0</v>
      </c>
      <c r="AG12" s="17">
        <v>1</v>
      </c>
      <c r="AH12" s="15">
        <f t="shared" si="2"/>
        <v>0</v>
      </c>
      <c r="AI12" s="17"/>
      <c r="AJ12" s="17"/>
      <c r="AK12" s="17"/>
      <c r="AL12" s="17"/>
      <c r="AM12" s="17">
        <f t="shared" si="3"/>
        <v>0</v>
      </c>
      <c r="AN12" s="17"/>
      <c r="AO12" s="17">
        <f t="shared" si="4"/>
        <v>0</v>
      </c>
      <c r="AP12" s="17"/>
      <c r="AQ12" s="17"/>
      <c r="AR12" s="17">
        <f t="shared" si="5"/>
        <v>0</v>
      </c>
      <c r="AS12" s="17"/>
      <c r="AT12" s="17">
        <f t="shared" si="6"/>
        <v>0</v>
      </c>
      <c r="AU12" s="15">
        <f t="shared" si="7"/>
        <v>0</v>
      </c>
      <c r="AV12" s="17">
        <f t="shared" si="8"/>
        <v>0</v>
      </c>
      <c r="AW12" s="15">
        <f>'Tổng hợp VT'!K17</f>
        <v>22000</v>
      </c>
      <c r="AX12" s="17">
        <f t="shared" si="9"/>
        <v>22000</v>
      </c>
      <c r="AY12" s="17">
        <f t="shared" si="10"/>
        <v>54450</v>
      </c>
      <c r="AZ12" s="34">
        <v>1</v>
      </c>
    </row>
    <row r="13" spans="1:52" ht="41.25" customHeight="1">
      <c r="A13" s="106">
        <v>8</v>
      </c>
      <c r="B13" s="107" t="s">
        <v>388</v>
      </c>
      <c r="C13" s="14" t="s">
        <v>389</v>
      </c>
      <c r="D13" s="107" t="s">
        <v>116</v>
      </c>
      <c r="E13" s="108">
        <f>'Tổng hợp VT'!E18</f>
        <v>627.9</v>
      </c>
      <c r="F13" s="20"/>
      <c r="G13" s="109"/>
      <c r="H13" s="20"/>
      <c r="I13" s="110" t="s">
        <v>743</v>
      </c>
      <c r="J13" s="51">
        <v>1</v>
      </c>
      <c r="K13" s="81">
        <v>1</v>
      </c>
      <c r="L13" s="108"/>
      <c r="M13" s="89"/>
      <c r="N13" s="18"/>
      <c r="O13" s="17">
        <v>1</v>
      </c>
      <c r="P13" s="89"/>
      <c r="Q13" s="108">
        <v>0</v>
      </c>
      <c r="R13" s="111">
        <v>0</v>
      </c>
      <c r="S13" s="111">
        <v>0</v>
      </c>
      <c r="T13" s="108">
        <v>0</v>
      </c>
      <c r="U13" s="17">
        <v>1</v>
      </c>
      <c r="V13" s="17">
        <v>1</v>
      </c>
      <c r="W13" s="112"/>
      <c r="X13" s="112"/>
      <c r="Y13" s="112"/>
      <c r="Z13" s="112"/>
      <c r="AA13" s="112"/>
      <c r="AB13" s="113"/>
      <c r="AC13" s="15">
        <v>1</v>
      </c>
      <c r="AD13" s="114">
        <f t="shared" si="0"/>
        <v>0</v>
      </c>
      <c r="AE13" s="15">
        <v>0</v>
      </c>
      <c r="AF13" s="15">
        <f t="shared" si="1"/>
        <v>0</v>
      </c>
      <c r="AG13" s="17">
        <v>1</v>
      </c>
      <c r="AH13" s="15">
        <f t="shared" si="2"/>
        <v>0</v>
      </c>
      <c r="AI13" s="17"/>
      <c r="AJ13" s="17"/>
      <c r="AK13" s="17"/>
      <c r="AL13" s="17"/>
      <c r="AM13" s="17">
        <f t="shared" si="3"/>
        <v>0</v>
      </c>
      <c r="AN13" s="17"/>
      <c r="AO13" s="17">
        <f t="shared" si="4"/>
        <v>0</v>
      </c>
      <c r="AP13" s="17"/>
      <c r="AQ13" s="17"/>
      <c r="AR13" s="17">
        <f t="shared" si="5"/>
        <v>0</v>
      </c>
      <c r="AS13" s="17"/>
      <c r="AT13" s="17">
        <f t="shared" si="6"/>
        <v>0</v>
      </c>
      <c r="AU13" s="15">
        <f t="shared" si="7"/>
        <v>0</v>
      </c>
      <c r="AV13" s="17">
        <f t="shared" si="8"/>
        <v>0</v>
      </c>
      <c r="AW13" s="15">
        <f>'Tổng hợp VT'!K18</f>
        <v>5200</v>
      </c>
      <c r="AX13" s="17">
        <f t="shared" si="9"/>
        <v>5200</v>
      </c>
      <c r="AY13" s="17">
        <f t="shared" si="10"/>
        <v>3265080</v>
      </c>
      <c r="AZ13" s="34">
        <v>1</v>
      </c>
    </row>
    <row r="14" spans="1:52" ht="28.5" customHeight="1">
      <c r="A14" s="106">
        <v>9</v>
      </c>
      <c r="B14" s="107" t="s">
        <v>391</v>
      </c>
      <c r="C14" s="14" t="s">
        <v>392</v>
      </c>
      <c r="D14" s="107" t="s">
        <v>393</v>
      </c>
      <c r="E14" s="108">
        <f>'Tổng hợp VT'!E19</f>
        <v>17.198699999999999</v>
      </c>
      <c r="F14" s="20" t="s">
        <v>746</v>
      </c>
      <c r="G14" s="109">
        <v>1E-3</v>
      </c>
      <c r="H14" s="20"/>
      <c r="I14" s="110" t="s">
        <v>744</v>
      </c>
      <c r="J14" s="51">
        <v>1</v>
      </c>
      <c r="K14" s="81">
        <v>1</v>
      </c>
      <c r="L14" s="108"/>
      <c r="M14" s="89"/>
      <c r="N14" s="18"/>
      <c r="O14" s="17">
        <v>1</v>
      </c>
      <c r="P14" s="89"/>
      <c r="Q14" s="108">
        <v>0</v>
      </c>
      <c r="R14" s="111">
        <v>0</v>
      </c>
      <c r="S14" s="111">
        <v>0</v>
      </c>
      <c r="T14" s="108">
        <v>0</v>
      </c>
      <c r="U14" s="17">
        <v>1</v>
      </c>
      <c r="V14" s="17">
        <v>1</v>
      </c>
      <c r="W14" s="112"/>
      <c r="X14" s="112"/>
      <c r="Y14" s="112"/>
      <c r="Z14" s="112"/>
      <c r="AA14" s="112"/>
      <c r="AB14" s="113"/>
      <c r="AC14" s="15">
        <v>1</v>
      </c>
      <c r="AD14" s="114">
        <f t="shared" si="0"/>
        <v>0</v>
      </c>
      <c r="AE14" s="15">
        <v>0</v>
      </c>
      <c r="AF14" s="15">
        <f t="shared" si="1"/>
        <v>0</v>
      </c>
      <c r="AG14" s="17">
        <v>1</v>
      </c>
      <c r="AH14" s="15">
        <f t="shared" si="2"/>
        <v>0</v>
      </c>
      <c r="AI14" s="17"/>
      <c r="AJ14" s="17"/>
      <c r="AK14" s="17"/>
      <c r="AL14" s="17"/>
      <c r="AM14" s="17">
        <f t="shared" si="3"/>
        <v>0</v>
      </c>
      <c r="AN14" s="17"/>
      <c r="AO14" s="17">
        <f t="shared" si="4"/>
        <v>0</v>
      </c>
      <c r="AP14" s="17"/>
      <c r="AQ14" s="17"/>
      <c r="AR14" s="17">
        <f t="shared" si="5"/>
        <v>0</v>
      </c>
      <c r="AS14" s="17"/>
      <c r="AT14" s="17">
        <f t="shared" si="6"/>
        <v>0</v>
      </c>
      <c r="AU14" s="15">
        <f t="shared" si="7"/>
        <v>0</v>
      </c>
      <c r="AV14" s="17">
        <f t="shared" si="8"/>
        <v>0</v>
      </c>
      <c r="AW14" s="15">
        <f>'Tổng hợp VT'!K19</f>
        <v>24000</v>
      </c>
      <c r="AX14" s="17">
        <f t="shared" si="9"/>
        <v>24000</v>
      </c>
      <c r="AY14" s="17">
        <f t="shared" si="10"/>
        <v>412769</v>
      </c>
      <c r="AZ14" s="34">
        <v>1</v>
      </c>
    </row>
    <row r="15" spans="1:52" ht="28.5" customHeight="1">
      <c r="A15" s="106">
        <v>10</v>
      </c>
      <c r="B15" s="107" t="s">
        <v>395</v>
      </c>
      <c r="C15" s="14" t="s">
        <v>396</v>
      </c>
      <c r="D15" s="107" t="s">
        <v>43</v>
      </c>
      <c r="E15" s="108">
        <f>'Tổng hợp VT'!E20</f>
        <v>14.128399999999999</v>
      </c>
      <c r="F15" s="20" t="s">
        <v>745</v>
      </c>
      <c r="G15" s="109">
        <v>1</v>
      </c>
      <c r="H15" s="20"/>
      <c r="I15" s="110" t="s">
        <v>744</v>
      </c>
      <c r="J15" s="51">
        <v>1</v>
      </c>
      <c r="K15" s="81">
        <v>1</v>
      </c>
      <c r="L15" s="108"/>
      <c r="M15" s="89"/>
      <c r="N15" s="18"/>
      <c r="O15" s="17">
        <v>1</v>
      </c>
      <c r="P15" s="89"/>
      <c r="Q15" s="108">
        <v>0</v>
      </c>
      <c r="R15" s="111">
        <v>0</v>
      </c>
      <c r="S15" s="111">
        <v>0</v>
      </c>
      <c r="T15" s="108">
        <v>0</v>
      </c>
      <c r="U15" s="17">
        <v>1</v>
      </c>
      <c r="V15" s="17">
        <v>1</v>
      </c>
      <c r="W15" s="112"/>
      <c r="X15" s="112"/>
      <c r="Y15" s="112"/>
      <c r="Z15" s="112"/>
      <c r="AA15" s="112"/>
      <c r="AB15" s="113"/>
      <c r="AC15" s="15">
        <v>1</v>
      </c>
      <c r="AD15" s="114">
        <f t="shared" si="0"/>
        <v>0</v>
      </c>
      <c r="AE15" s="15">
        <v>0</v>
      </c>
      <c r="AF15" s="15">
        <f t="shared" si="1"/>
        <v>0</v>
      </c>
      <c r="AG15" s="17">
        <v>1</v>
      </c>
      <c r="AH15" s="15">
        <f t="shared" si="2"/>
        <v>0</v>
      </c>
      <c r="AI15" s="17"/>
      <c r="AJ15" s="17"/>
      <c r="AK15" s="17"/>
      <c r="AL15" s="17"/>
      <c r="AM15" s="17">
        <f t="shared" si="3"/>
        <v>0</v>
      </c>
      <c r="AN15" s="17"/>
      <c r="AO15" s="17">
        <f t="shared" si="4"/>
        <v>0</v>
      </c>
      <c r="AP15" s="17"/>
      <c r="AQ15" s="17"/>
      <c r="AR15" s="17">
        <f t="shared" si="5"/>
        <v>0</v>
      </c>
      <c r="AS15" s="17"/>
      <c r="AT15" s="17">
        <f t="shared" si="6"/>
        <v>0</v>
      </c>
      <c r="AU15" s="15">
        <f t="shared" si="7"/>
        <v>0</v>
      </c>
      <c r="AV15" s="17">
        <f t="shared" si="8"/>
        <v>0</v>
      </c>
      <c r="AW15" s="15">
        <f>'Tổng hợp VT'!K20</f>
        <v>340000</v>
      </c>
      <c r="AX15" s="17">
        <f t="shared" si="9"/>
        <v>340000</v>
      </c>
      <c r="AY15" s="17">
        <f t="shared" si="10"/>
        <v>4803656</v>
      </c>
      <c r="AZ15" s="34">
        <v>1</v>
      </c>
    </row>
    <row r="16" spans="1:52" ht="28.5" customHeight="1">
      <c r="A16" s="106">
        <v>11</v>
      </c>
      <c r="B16" s="107" t="s">
        <v>398</v>
      </c>
      <c r="C16" s="14" t="s">
        <v>399</v>
      </c>
      <c r="D16" s="107" t="s">
        <v>43</v>
      </c>
      <c r="E16" s="108">
        <f>'Tổng hợp VT'!E21</f>
        <v>305.17070000000001</v>
      </c>
      <c r="F16" s="20" t="s">
        <v>745</v>
      </c>
      <c r="G16" s="109">
        <v>1</v>
      </c>
      <c r="H16" s="20"/>
      <c r="I16" s="110" t="s">
        <v>744</v>
      </c>
      <c r="J16" s="51">
        <v>1</v>
      </c>
      <c r="K16" s="81">
        <v>1</v>
      </c>
      <c r="L16" s="108"/>
      <c r="M16" s="89"/>
      <c r="N16" s="18"/>
      <c r="O16" s="17">
        <v>1</v>
      </c>
      <c r="P16" s="89"/>
      <c r="Q16" s="108">
        <v>0</v>
      </c>
      <c r="R16" s="111">
        <v>0</v>
      </c>
      <c r="S16" s="111">
        <v>0</v>
      </c>
      <c r="T16" s="108">
        <v>0</v>
      </c>
      <c r="U16" s="17">
        <v>1</v>
      </c>
      <c r="V16" s="17">
        <v>1</v>
      </c>
      <c r="W16" s="112"/>
      <c r="X16" s="112"/>
      <c r="Y16" s="112"/>
      <c r="Z16" s="112"/>
      <c r="AA16" s="112"/>
      <c r="AB16" s="113"/>
      <c r="AC16" s="15">
        <v>1</v>
      </c>
      <c r="AD16" s="114">
        <f t="shared" si="0"/>
        <v>0</v>
      </c>
      <c r="AE16" s="15">
        <v>0</v>
      </c>
      <c r="AF16" s="15">
        <f t="shared" si="1"/>
        <v>0</v>
      </c>
      <c r="AG16" s="17">
        <v>1</v>
      </c>
      <c r="AH16" s="15">
        <f t="shared" si="2"/>
        <v>0</v>
      </c>
      <c r="AI16" s="17"/>
      <c r="AJ16" s="17"/>
      <c r="AK16" s="17"/>
      <c r="AL16" s="17"/>
      <c r="AM16" s="17">
        <f t="shared" si="3"/>
        <v>0</v>
      </c>
      <c r="AN16" s="17"/>
      <c r="AO16" s="17">
        <f t="shared" si="4"/>
        <v>0</v>
      </c>
      <c r="AP16" s="17"/>
      <c r="AQ16" s="17"/>
      <c r="AR16" s="17">
        <f t="shared" si="5"/>
        <v>0</v>
      </c>
      <c r="AS16" s="17"/>
      <c r="AT16" s="17">
        <f t="shared" si="6"/>
        <v>0</v>
      </c>
      <c r="AU16" s="15">
        <f t="shared" si="7"/>
        <v>0</v>
      </c>
      <c r="AV16" s="17">
        <f t="shared" si="8"/>
        <v>0</v>
      </c>
      <c r="AW16" s="15">
        <f>'Tổng hợp VT'!K21</f>
        <v>340000</v>
      </c>
      <c r="AX16" s="17">
        <f t="shared" si="9"/>
        <v>340000</v>
      </c>
      <c r="AY16" s="17">
        <f t="shared" si="10"/>
        <v>103758038</v>
      </c>
      <c r="AZ16" s="34">
        <v>1</v>
      </c>
    </row>
    <row r="17" spans="1:52" ht="28.5" customHeight="1">
      <c r="A17" s="106">
        <v>12</v>
      </c>
      <c r="B17" s="107" t="s">
        <v>401</v>
      </c>
      <c r="C17" s="14" t="s">
        <v>402</v>
      </c>
      <c r="D17" s="107" t="s">
        <v>43</v>
      </c>
      <c r="E17" s="108">
        <f>'Tổng hợp VT'!E22</f>
        <v>71.555999999999997</v>
      </c>
      <c r="F17" s="20" t="s">
        <v>745</v>
      </c>
      <c r="G17" s="109">
        <v>1</v>
      </c>
      <c r="H17" s="20"/>
      <c r="I17" s="110" t="s">
        <v>744</v>
      </c>
      <c r="J17" s="51">
        <v>1</v>
      </c>
      <c r="K17" s="81">
        <v>1</v>
      </c>
      <c r="L17" s="108"/>
      <c r="M17" s="89"/>
      <c r="N17" s="18"/>
      <c r="O17" s="17">
        <v>1</v>
      </c>
      <c r="P17" s="89"/>
      <c r="Q17" s="108">
        <v>0</v>
      </c>
      <c r="R17" s="111">
        <v>0</v>
      </c>
      <c r="S17" s="111">
        <v>0</v>
      </c>
      <c r="T17" s="108">
        <v>0</v>
      </c>
      <c r="U17" s="17">
        <v>1</v>
      </c>
      <c r="V17" s="17">
        <v>1</v>
      </c>
      <c r="W17" s="112"/>
      <c r="X17" s="112"/>
      <c r="Y17" s="112"/>
      <c r="Z17" s="112"/>
      <c r="AA17" s="112"/>
      <c r="AB17" s="113"/>
      <c r="AC17" s="15">
        <v>1</v>
      </c>
      <c r="AD17" s="114">
        <f t="shared" si="0"/>
        <v>0</v>
      </c>
      <c r="AE17" s="15">
        <v>0</v>
      </c>
      <c r="AF17" s="15">
        <f t="shared" si="1"/>
        <v>0</v>
      </c>
      <c r="AG17" s="17">
        <v>1</v>
      </c>
      <c r="AH17" s="15">
        <f t="shared" si="2"/>
        <v>0</v>
      </c>
      <c r="AI17" s="17"/>
      <c r="AJ17" s="17"/>
      <c r="AK17" s="17"/>
      <c r="AL17" s="17"/>
      <c r="AM17" s="17">
        <f t="shared" si="3"/>
        <v>0</v>
      </c>
      <c r="AN17" s="17"/>
      <c r="AO17" s="17">
        <f t="shared" si="4"/>
        <v>0</v>
      </c>
      <c r="AP17" s="17"/>
      <c r="AQ17" s="17"/>
      <c r="AR17" s="17">
        <f t="shared" si="5"/>
        <v>0</v>
      </c>
      <c r="AS17" s="17"/>
      <c r="AT17" s="17">
        <f t="shared" si="6"/>
        <v>0</v>
      </c>
      <c r="AU17" s="15">
        <f t="shared" si="7"/>
        <v>0</v>
      </c>
      <c r="AV17" s="17">
        <f t="shared" si="8"/>
        <v>0</v>
      </c>
      <c r="AW17" s="15">
        <f>'Tổng hợp VT'!K22</f>
        <v>340000</v>
      </c>
      <c r="AX17" s="17">
        <f t="shared" si="9"/>
        <v>340000</v>
      </c>
      <c r="AY17" s="17">
        <f t="shared" si="10"/>
        <v>24329040</v>
      </c>
      <c r="AZ17" s="34">
        <v>1</v>
      </c>
    </row>
    <row r="18" spans="1:52" ht="28.5" customHeight="1">
      <c r="A18" s="106">
        <v>13</v>
      </c>
      <c r="B18" s="107" t="s">
        <v>404</v>
      </c>
      <c r="C18" s="14" t="s">
        <v>405</v>
      </c>
      <c r="D18" s="107" t="s">
        <v>406</v>
      </c>
      <c r="E18" s="108">
        <f>'Tổng hợp VT'!E23</f>
        <v>0.28189999999999998</v>
      </c>
      <c r="F18" s="20"/>
      <c r="G18" s="109"/>
      <c r="H18" s="20"/>
      <c r="I18" s="110" t="s">
        <v>744</v>
      </c>
      <c r="J18" s="51">
        <v>1</v>
      </c>
      <c r="K18" s="81">
        <v>1</v>
      </c>
      <c r="L18" s="108"/>
      <c r="M18" s="89"/>
      <c r="N18" s="18"/>
      <c r="O18" s="17">
        <v>1</v>
      </c>
      <c r="P18" s="89"/>
      <c r="Q18" s="108">
        <v>0</v>
      </c>
      <c r="R18" s="111">
        <v>0</v>
      </c>
      <c r="S18" s="111">
        <v>0</v>
      </c>
      <c r="T18" s="108">
        <v>0</v>
      </c>
      <c r="U18" s="17">
        <v>1</v>
      </c>
      <c r="V18" s="17">
        <v>1</v>
      </c>
      <c r="W18" s="112"/>
      <c r="X18" s="112"/>
      <c r="Y18" s="112"/>
      <c r="Z18" s="112"/>
      <c r="AA18" s="112"/>
      <c r="AB18" s="113"/>
      <c r="AC18" s="15">
        <v>1</v>
      </c>
      <c r="AD18" s="114">
        <f t="shared" si="0"/>
        <v>0</v>
      </c>
      <c r="AE18" s="15">
        <v>0</v>
      </c>
      <c r="AF18" s="15">
        <f t="shared" si="1"/>
        <v>0</v>
      </c>
      <c r="AG18" s="17">
        <v>1</v>
      </c>
      <c r="AH18" s="15">
        <f t="shared" si="2"/>
        <v>0</v>
      </c>
      <c r="AI18" s="17"/>
      <c r="AJ18" s="17"/>
      <c r="AK18" s="17"/>
      <c r="AL18" s="17"/>
      <c r="AM18" s="17">
        <f t="shared" si="3"/>
        <v>0</v>
      </c>
      <c r="AN18" s="17"/>
      <c r="AO18" s="17">
        <f t="shared" si="4"/>
        <v>0</v>
      </c>
      <c r="AP18" s="17"/>
      <c r="AQ18" s="17"/>
      <c r="AR18" s="17">
        <f t="shared" si="5"/>
        <v>0</v>
      </c>
      <c r="AS18" s="17"/>
      <c r="AT18" s="17">
        <f t="shared" si="6"/>
        <v>0</v>
      </c>
      <c r="AU18" s="15">
        <f t="shared" si="7"/>
        <v>0</v>
      </c>
      <c r="AV18" s="17">
        <f t="shared" si="8"/>
        <v>0</v>
      </c>
      <c r="AW18" s="15">
        <f>'Tổng hợp VT'!K23</f>
        <v>35000</v>
      </c>
      <c r="AX18" s="17">
        <f t="shared" si="9"/>
        <v>35000</v>
      </c>
      <c r="AY18" s="17">
        <f t="shared" si="10"/>
        <v>9867</v>
      </c>
      <c r="AZ18" s="34">
        <v>1</v>
      </c>
    </row>
    <row r="19" spans="1:52" ht="41.25" customHeight="1">
      <c r="A19" s="106">
        <v>14</v>
      </c>
      <c r="B19" s="107" t="s">
        <v>408</v>
      </c>
      <c r="C19" s="14" t="s">
        <v>409</v>
      </c>
      <c r="D19" s="107" t="s">
        <v>393</v>
      </c>
      <c r="E19" s="108">
        <f>'Tổng hợp VT'!E24</f>
        <v>8.8440999999999992</v>
      </c>
      <c r="F19" s="20" t="s">
        <v>746</v>
      </c>
      <c r="G19" s="109">
        <v>1E-3</v>
      </c>
      <c r="H19" s="20"/>
      <c r="I19" s="110" t="s">
        <v>743</v>
      </c>
      <c r="J19" s="51">
        <v>1</v>
      </c>
      <c r="K19" s="81">
        <v>1</v>
      </c>
      <c r="L19" s="108"/>
      <c r="M19" s="89"/>
      <c r="N19" s="18"/>
      <c r="O19" s="17">
        <v>1</v>
      </c>
      <c r="P19" s="89"/>
      <c r="Q19" s="108">
        <v>0</v>
      </c>
      <c r="R19" s="111">
        <v>0</v>
      </c>
      <c r="S19" s="111">
        <v>0</v>
      </c>
      <c r="T19" s="108">
        <v>0</v>
      </c>
      <c r="U19" s="17">
        <v>1</v>
      </c>
      <c r="V19" s="17">
        <v>1</v>
      </c>
      <c r="W19" s="112"/>
      <c r="X19" s="112"/>
      <c r="Y19" s="112"/>
      <c r="Z19" s="112"/>
      <c r="AA19" s="112"/>
      <c r="AB19" s="113"/>
      <c r="AC19" s="15">
        <v>1</v>
      </c>
      <c r="AD19" s="114">
        <f t="shared" si="0"/>
        <v>0</v>
      </c>
      <c r="AE19" s="15">
        <v>0</v>
      </c>
      <c r="AF19" s="15">
        <f t="shared" si="1"/>
        <v>0</v>
      </c>
      <c r="AG19" s="17">
        <v>1</v>
      </c>
      <c r="AH19" s="15">
        <f t="shared" si="2"/>
        <v>0</v>
      </c>
      <c r="AI19" s="17"/>
      <c r="AJ19" s="17"/>
      <c r="AK19" s="17"/>
      <c r="AL19" s="17"/>
      <c r="AM19" s="17">
        <f t="shared" si="3"/>
        <v>0</v>
      </c>
      <c r="AN19" s="17"/>
      <c r="AO19" s="17">
        <f t="shared" si="4"/>
        <v>0</v>
      </c>
      <c r="AP19" s="17"/>
      <c r="AQ19" s="17"/>
      <c r="AR19" s="17">
        <f t="shared" si="5"/>
        <v>0</v>
      </c>
      <c r="AS19" s="17"/>
      <c r="AT19" s="17">
        <f t="shared" si="6"/>
        <v>0</v>
      </c>
      <c r="AU19" s="15">
        <f t="shared" si="7"/>
        <v>0</v>
      </c>
      <c r="AV19" s="17">
        <f t="shared" si="8"/>
        <v>0</v>
      </c>
      <c r="AW19" s="15">
        <f>'Tổng hợp VT'!K24</f>
        <v>23000</v>
      </c>
      <c r="AX19" s="17">
        <f t="shared" si="9"/>
        <v>23000</v>
      </c>
      <c r="AY19" s="17">
        <f t="shared" si="10"/>
        <v>203414</v>
      </c>
      <c r="AZ19" s="34">
        <v>1</v>
      </c>
    </row>
    <row r="20" spans="1:52" ht="41.25" customHeight="1">
      <c r="A20" s="106">
        <v>15</v>
      </c>
      <c r="B20" s="107" t="s">
        <v>411</v>
      </c>
      <c r="C20" s="14" t="s">
        <v>412</v>
      </c>
      <c r="D20" s="107" t="s">
        <v>406</v>
      </c>
      <c r="E20" s="108">
        <f>'Tổng hợp VT'!E25</f>
        <v>11858</v>
      </c>
      <c r="F20" s="20" t="s">
        <v>747</v>
      </c>
      <c r="G20" s="109">
        <v>2.3E-3</v>
      </c>
      <c r="H20" s="20"/>
      <c r="I20" s="110" t="s">
        <v>743</v>
      </c>
      <c r="J20" s="51">
        <v>1</v>
      </c>
      <c r="K20" s="81">
        <v>1</v>
      </c>
      <c r="L20" s="108"/>
      <c r="M20" s="89"/>
      <c r="N20" s="18"/>
      <c r="O20" s="17">
        <v>1</v>
      </c>
      <c r="P20" s="89"/>
      <c r="Q20" s="108">
        <v>0</v>
      </c>
      <c r="R20" s="111">
        <v>0</v>
      </c>
      <c r="S20" s="111">
        <v>0</v>
      </c>
      <c r="T20" s="108">
        <v>0</v>
      </c>
      <c r="U20" s="17">
        <v>1</v>
      </c>
      <c r="V20" s="17">
        <v>1</v>
      </c>
      <c r="W20" s="112"/>
      <c r="X20" s="112"/>
      <c r="Y20" s="112"/>
      <c r="Z20" s="112"/>
      <c r="AA20" s="112"/>
      <c r="AB20" s="113"/>
      <c r="AC20" s="15">
        <v>1</v>
      </c>
      <c r="AD20" s="114">
        <f t="shared" si="0"/>
        <v>0</v>
      </c>
      <c r="AE20" s="15">
        <v>0</v>
      </c>
      <c r="AF20" s="15">
        <f t="shared" si="1"/>
        <v>0</v>
      </c>
      <c r="AG20" s="17">
        <v>1</v>
      </c>
      <c r="AH20" s="15">
        <f t="shared" si="2"/>
        <v>0</v>
      </c>
      <c r="AI20" s="17"/>
      <c r="AJ20" s="17"/>
      <c r="AK20" s="17"/>
      <c r="AL20" s="17"/>
      <c r="AM20" s="17">
        <f t="shared" si="3"/>
        <v>0</v>
      </c>
      <c r="AN20" s="17"/>
      <c r="AO20" s="17">
        <f t="shared" si="4"/>
        <v>0</v>
      </c>
      <c r="AP20" s="17"/>
      <c r="AQ20" s="17"/>
      <c r="AR20" s="17">
        <f t="shared" si="5"/>
        <v>0</v>
      </c>
      <c r="AS20" s="17"/>
      <c r="AT20" s="17">
        <f t="shared" si="6"/>
        <v>0</v>
      </c>
      <c r="AU20" s="15">
        <f t="shared" si="7"/>
        <v>0</v>
      </c>
      <c r="AV20" s="17">
        <f t="shared" si="8"/>
        <v>0</v>
      </c>
      <c r="AW20" s="15">
        <f>'Tổng hợp VT'!K25</f>
        <v>1250</v>
      </c>
      <c r="AX20" s="17">
        <f t="shared" si="9"/>
        <v>1250</v>
      </c>
      <c r="AY20" s="17">
        <f t="shared" si="10"/>
        <v>14822500</v>
      </c>
      <c r="AZ20" s="34">
        <v>1</v>
      </c>
    </row>
    <row r="21" spans="1:52" ht="41.25" customHeight="1">
      <c r="A21" s="106">
        <v>16</v>
      </c>
      <c r="B21" s="107" t="s">
        <v>414</v>
      </c>
      <c r="C21" s="14" t="s">
        <v>415</v>
      </c>
      <c r="D21" s="107" t="s">
        <v>43</v>
      </c>
      <c r="E21" s="108">
        <f>'Tổng hợp VT'!E26</f>
        <v>0.40160000000000001</v>
      </c>
      <c r="F21" s="20" t="s">
        <v>748</v>
      </c>
      <c r="G21" s="109"/>
      <c r="H21" s="20"/>
      <c r="I21" s="110" t="s">
        <v>743</v>
      </c>
      <c r="J21" s="51">
        <v>1</v>
      </c>
      <c r="K21" s="81">
        <v>1</v>
      </c>
      <c r="L21" s="108"/>
      <c r="M21" s="89"/>
      <c r="N21" s="18"/>
      <c r="O21" s="17">
        <v>1</v>
      </c>
      <c r="P21" s="89"/>
      <c r="Q21" s="108">
        <v>0</v>
      </c>
      <c r="R21" s="111">
        <v>0</v>
      </c>
      <c r="S21" s="111">
        <v>0</v>
      </c>
      <c r="T21" s="108">
        <v>0</v>
      </c>
      <c r="U21" s="17">
        <v>1</v>
      </c>
      <c r="V21" s="17">
        <v>1</v>
      </c>
      <c r="W21" s="112"/>
      <c r="X21" s="112"/>
      <c r="Y21" s="112"/>
      <c r="Z21" s="112"/>
      <c r="AA21" s="112"/>
      <c r="AB21" s="113"/>
      <c r="AC21" s="15">
        <v>1</v>
      </c>
      <c r="AD21" s="114">
        <f t="shared" si="0"/>
        <v>0</v>
      </c>
      <c r="AE21" s="15">
        <v>0</v>
      </c>
      <c r="AF21" s="15">
        <f t="shared" si="1"/>
        <v>0</v>
      </c>
      <c r="AG21" s="17">
        <v>1</v>
      </c>
      <c r="AH21" s="15">
        <f t="shared" si="2"/>
        <v>0</v>
      </c>
      <c r="AI21" s="17"/>
      <c r="AJ21" s="17"/>
      <c r="AK21" s="17"/>
      <c r="AL21" s="17"/>
      <c r="AM21" s="17">
        <f t="shared" si="3"/>
        <v>0</v>
      </c>
      <c r="AN21" s="17"/>
      <c r="AO21" s="17">
        <f t="shared" si="4"/>
        <v>0</v>
      </c>
      <c r="AP21" s="17"/>
      <c r="AQ21" s="17"/>
      <c r="AR21" s="17">
        <f t="shared" si="5"/>
        <v>0</v>
      </c>
      <c r="AS21" s="17"/>
      <c r="AT21" s="17">
        <f t="shared" si="6"/>
        <v>0</v>
      </c>
      <c r="AU21" s="15">
        <f t="shared" si="7"/>
        <v>0</v>
      </c>
      <c r="AV21" s="17">
        <f t="shared" si="8"/>
        <v>0</v>
      </c>
      <c r="AW21" s="15">
        <f>'Tổng hợp VT'!K26</f>
        <v>4318182</v>
      </c>
      <c r="AX21" s="17">
        <f t="shared" si="9"/>
        <v>4318182</v>
      </c>
      <c r="AY21" s="17">
        <f t="shared" si="10"/>
        <v>1734182</v>
      </c>
      <c r="AZ21" s="34">
        <v>1</v>
      </c>
    </row>
    <row r="22" spans="1:52" ht="41.25" customHeight="1">
      <c r="A22" s="106">
        <v>17</v>
      </c>
      <c r="B22" s="107" t="s">
        <v>417</v>
      </c>
      <c r="C22" s="14" t="s">
        <v>418</v>
      </c>
      <c r="D22" s="107" t="s">
        <v>43</v>
      </c>
      <c r="E22" s="108">
        <f>'Tổng hợp VT'!E27</f>
        <v>0.1069</v>
      </c>
      <c r="F22" s="20" t="s">
        <v>748</v>
      </c>
      <c r="G22" s="109"/>
      <c r="H22" s="20"/>
      <c r="I22" s="110" t="s">
        <v>743</v>
      </c>
      <c r="J22" s="51">
        <v>1</v>
      </c>
      <c r="K22" s="81">
        <v>1</v>
      </c>
      <c r="L22" s="108"/>
      <c r="M22" s="89"/>
      <c r="N22" s="18"/>
      <c r="O22" s="17">
        <v>1</v>
      </c>
      <c r="P22" s="89"/>
      <c r="Q22" s="108">
        <v>0</v>
      </c>
      <c r="R22" s="111">
        <v>0</v>
      </c>
      <c r="S22" s="111">
        <v>0</v>
      </c>
      <c r="T22" s="108">
        <v>0</v>
      </c>
      <c r="U22" s="17">
        <v>1</v>
      </c>
      <c r="V22" s="17">
        <v>1</v>
      </c>
      <c r="W22" s="112"/>
      <c r="X22" s="112"/>
      <c r="Y22" s="112"/>
      <c r="Z22" s="112"/>
      <c r="AA22" s="112"/>
      <c r="AB22" s="113"/>
      <c r="AC22" s="15">
        <v>1</v>
      </c>
      <c r="AD22" s="114">
        <f t="shared" si="0"/>
        <v>0</v>
      </c>
      <c r="AE22" s="15">
        <v>0</v>
      </c>
      <c r="AF22" s="15">
        <f t="shared" si="1"/>
        <v>0</v>
      </c>
      <c r="AG22" s="17">
        <v>1</v>
      </c>
      <c r="AH22" s="15">
        <f t="shared" si="2"/>
        <v>0</v>
      </c>
      <c r="AI22" s="17"/>
      <c r="AJ22" s="17"/>
      <c r="AK22" s="17"/>
      <c r="AL22" s="17"/>
      <c r="AM22" s="17">
        <f t="shared" si="3"/>
        <v>0</v>
      </c>
      <c r="AN22" s="17"/>
      <c r="AO22" s="17">
        <f t="shared" si="4"/>
        <v>0</v>
      </c>
      <c r="AP22" s="17"/>
      <c r="AQ22" s="17"/>
      <c r="AR22" s="17">
        <f t="shared" si="5"/>
        <v>0</v>
      </c>
      <c r="AS22" s="17"/>
      <c r="AT22" s="17">
        <f t="shared" si="6"/>
        <v>0</v>
      </c>
      <c r="AU22" s="15">
        <f t="shared" si="7"/>
        <v>0</v>
      </c>
      <c r="AV22" s="17">
        <f t="shared" si="8"/>
        <v>0</v>
      </c>
      <c r="AW22" s="15">
        <f>'Tổng hợp VT'!K27</f>
        <v>4318182</v>
      </c>
      <c r="AX22" s="17">
        <f t="shared" si="9"/>
        <v>4318182</v>
      </c>
      <c r="AY22" s="17">
        <f t="shared" si="10"/>
        <v>461614</v>
      </c>
      <c r="AZ22" s="34">
        <v>1</v>
      </c>
    </row>
    <row r="23" spans="1:52" ht="41.25" customHeight="1">
      <c r="A23" s="106">
        <v>18</v>
      </c>
      <c r="B23" s="107" t="s">
        <v>420</v>
      </c>
      <c r="C23" s="14" t="s">
        <v>421</v>
      </c>
      <c r="D23" s="107" t="s">
        <v>43</v>
      </c>
      <c r="E23" s="108">
        <f>'Tổng hợp VT'!E28</f>
        <v>0.44690000000000002</v>
      </c>
      <c r="F23" s="20" t="s">
        <v>748</v>
      </c>
      <c r="G23" s="109"/>
      <c r="H23" s="20"/>
      <c r="I23" s="110" t="s">
        <v>743</v>
      </c>
      <c r="J23" s="51">
        <v>1</v>
      </c>
      <c r="K23" s="81">
        <v>1</v>
      </c>
      <c r="L23" s="108"/>
      <c r="M23" s="89"/>
      <c r="N23" s="18"/>
      <c r="O23" s="17">
        <v>1</v>
      </c>
      <c r="P23" s="89"/>
      <c r="Q23" s="108">
        <v>0</v>
      </c>
      <c r="R23" s="111">
        <v>0</v>
      </c>
      <c r="S23" s="111">
        <v>0</v>
      </c>
      <c r="T23" s="108">
        <v>0</v>
      </c>
      <c r="U23" s="17">
        <v>1</v>
      </c>
      <c r="V23" s="17">
        <v>1</v>
      </c>
      <c r="W23" s="112"/>
      <c r="X23" s="112"/>
      <c r="Y23" s="112"/>
      <c r="Z23" s="112"/>
      <c r="AA23" s="112"/>
      <c r="AB23" s="113"/>
      <c r="AC23" s="15">
        <v>1</v>
      </c>
      <c r="AD23" s="114">
        <f t="shared" si="0"/>
        <v>0</v>
      </c>
      <c r="AE23" s="15">
        <v>0</v>
      </c>
      <c r="AF23" s="15">
        <f t="shared" si="1"/>
        <v>0</v>
      </c>
      <c r="AG23" s="17">
        <v>1</v>
      </c>
      <c r="AH23" s="15">
        <f t="shared" si="2"/>
        <v>0</v>
      </c>
      <c r="AI23" s="17"/>
      <c r="AJ23" s="17"/>
      <c r="AK23" s="17"/>
      <c r="AL23" s="17"/>
      <c r="AM23" s="17">
        <f t="shared" si="3"/>
        <v>0</v>
      </c>
      <c r="AN23" s="17"/>
      <c r="AO23" s="17">
        <f t="shared" si="4"/>
        <v>0</v>
      </c>
      <c r="AP23" s="17"/>
      <c r="AQ23" s="17"/>
      <c r="AR23" s="17">
        <f t="shared" si="5"/>
        <v>0</v>
      </c>
      <c r="AS23" s="17"/>
      <c r="AT23" s="17">
        <f t="shared" si="6"/>
        <v>0</v>
      </c>
      <c r="AU23" s="15">
        <f t="shared" si="7"/>
        <v>0</v>
      </c>
      <c r="AV23" s="17">
        <f t="shared" si="8"/>
        <v>0</v>
      </c>
      <c r="AW23" s="15">
        <f>'Tổng hợp VT'!K28</f>
        <v>4318182</v>
      </c>
      <c r="AX23" s="17">
        <f t="shared" si="9"/>
        <v>4318182</v>
      </c>
      <c r="AY23" s="17">
        <f t="shared" si="10"/>
        <v>1929796</v>
      </c>
      <c r="AZ23" s="34">
        <v>1</v>
      </c>
    </row>
    <row r="24" spans="1:52" ht="41.25" customHeight="1">
      <c r="A24" s="106">
        <v>19</v>
      </c>
      <c r="B24" s="107" t="s">
        <v>423</v>
      </c>
      <c r="C24" s="14" t="s">
        <v>424</v>
      </c>
      <c r="D24" s="107" t="s">
        <v>43</v>
      </c>
      <c r="E24" s="108">
        <f>'Tổng hợp VT'!E29</f>
        <v>7.1999999999999998E-3</v>
      </c>
      <c r="F24" s="20" t="s">
        <v>748</v>
      </c>
      <c r="G24" s="109"/>
      <c r="H24" s="20"/>
      <c r="I24" s="110" t="s">
        <v>743</v>
      </c>
      <c r="J24" s="51">
        <v>1</v>
      </c>
      <c r="K24" s="81">
        <v>1</v>
      </c>
      <c r="L24" s="108"/>
      <c r="M24" s="89"/>
      <c r="N24" s="18"/>
      <c r="O24" s="17">
        <v>1</v>
      </c>
      <c r="P24" s="89"/>
      <c r="Q24" s="108">
        <v>0</v>
      </c>
      <c r="R24" s="111">
        <v>0</v>
      </c>
      <c r="S24" s="111">
        <v>0</v>
      </c>
      <c r="T24" s="108">
        <v>0</v>
      </c>
      <c r="U24" s="17">
        <v>1</v>
      </c>
      <c r="V24" s="17">
        <v>1</v>
      </c>
      <c r="W24" s="112"/>
      <c r="X24" s="112"/>
      <c r="Y24" s="112"/>
      <c r="Z24" s="112"/>
      <c r="AA24" s="112"/>
      <c r="AB24" s="113"/>
      <c r="AC24" s="15">
        <v>1</v>
      </c>
      <c r="AD24" s="114">
        <f t="shared" si="0"/>
        <v>0</v>
      </c>
      <c r="AE24" s="15">
        <v>0</v>
      </c>
      <c r="AF24" s="15">
        <f t="shared" si="1"/>
        <v>0</v>
      </c>
      <c r="AG24" s="17">
        <v>1</v>
      </c>
      <c r="AH24" s="15">
        <f t="shared" si="2"/>
        <v>0</v>
      </c>
      <c r="AI24" s="17"/>
      <c r="AJ24" s="17"/>
      <c r="AK24" s="17"/>
      <c r="AL24" s="17"/>
      <c r="AM24" s="17">
        <f t="shared" si="3"/>
        <v>0</v>
      </c>
      <c r="AN24" s="17"/>
      <c r="AO24" s="17">
        <f t="shared" si="4"/>
        <v>0</v>
      </c>
      <c r="AP24" s="17"/>
      <c r="AQ24" s="17"/>
      <c r="AR24" s="17">
        <f t="shared" si="5"/>
        <v>0</v>
      </c>
      <c r="AS24" s="17"/>
      <c r="AT24" s="17">
        <f t="shared" si="6"/>
        <v>0</v>
      </c>
      <c r="AU24" s="15">
        <f t="shared" si="7"/>
        <v>0</v>
      </c>
      <c r="AV24" s="17">
        <f t="shared" si="8"/>
        <v>0</v>
      </c>
      <c r="AW24" s="15">
        <f>'Tổng hợp VT'!K29</f>
        <v>4318182</v>
      </c>
      <c r="AX24" s="17">
        <f t="shared" si="9"/>
        <v>4318182</v>
      </c>
      <c r="AY24" s="17">
        <f t="shared" si="10"/>
        <v>31091</v>
      </c>
      <c r="AZ24" s="34">
        <v>1</v>
      </c>
    </row>
    <row r="25" spans="1:52" ht="41.25" customHeight="1">
      <c r="A25" s="106">
        <v>20</v>
      </c>
      <c r="B25" s="107" t="s">
        <v>425</v>
      </c>
      <c r="C25" s="14" t="s">
        <v>426</v>
      </c>
      <c r="D25" s="107" t="s">
        <v>427</v>
      </c>
      <c r="E25" s="108">
        <f>'Tổng hợp VT'!E30</f>
        <v>210</v>
      </c>
      <c r="F25" s="20"/>
      <c r="G25" s="109"/>
      <c r="H25" s="20"/>
      <c r="I25" s="110" t="s">
        <v>743</v>
      </c>
      <c r="J25" s="51">
        <v>1</v>
      </c>
      <c r="K25" s="81">
        <v>1</v>
      </c>
      <c r="L25" s="108"/>
      <c r="M25" s="89"/>
      <c r="N25" s="18"/>
      <c r="O25" s="17">
        <v>1</v>
      </c>
      <c r="P25" s="89"/>
      <c r="Q25" s="108">
        <v>0</v>
      </c>
      <c r="R25" s="111">
        <v>0</v>
      </c>
      <c r="S25" s="111">
        <v>0</v>
      </c>
      <c r="T25" s="108">
        <v>0</v>
      </c>
      <c r="U25" s="17">
        <v>1</v>
      </c>
      <c r="V25" s="17">
        <v>1</v>
      </c>
      <c r="W25" s="112"/>
      <c r="X25" s="112"/>
      <c r="Y25" s="112"/>
      <c r="Z25" s="112"/>
      <c r="AA25" s="112"/>
      <c r="AB25" s="113"/>
      <c r="AC25" s="15">
        <v>1</v>
      </c>
      <c r="AD25" s="114">
        <f t="shared" si="0"/>
        <v>0</v>
      </c>
      <c r="AE25" s="15">
        <v>0</v>
      </c>
      <c r="AF25" s="15">
        <f t="shared" si="1"/>
        <v>0</v>
      </c>
      <c r="AG25" s="17">
        <v>1</v>
      </c>
      <c r="AH25" s="15">
        <f t="shared" si="2"/>
        <v>0</v>
      </c>
      <c r="AI25" s="17"/>
      <c r="AJ25" s="17"/>
      <c r="AK25" s="17"/>
      <c r="AL25" s="17"/>
      <c r="AM25" s="17">
        <f t="shared" si="3"/>
        <v>0</v>
      </c>
      <c r="AN25" s="17"/>
      <c r="AO25" s="17">
        <f t="shared" si="4"/>
        <v>0</v>
      </c>
      <c r="AP25" s="17"/>
      <c r="AQ25" s="17"/>
      <c r="AR25" s="17">
        <f t="shared" si="5"/>
        <v>0</v>
      </c>
      <c r="AS25" s="17"/>
      <c r="AT25" s="17">
        <f t="shared" si="6"/>
        <v>0</v>
      </c>
      <c r="AU25" s="15">
        <f t="shared" si="7"/>
        <v>0</v>
      </c>
      <c r="AV25" s="17">
        <f t="shared" si="8"/>
        <v>0</v>
      </c>
      <c r="AW25" s="15">
        <f>'Tổng hợp VT'!K30</f>
        <v>120000</v>
      </c>
      <c r="AX25" s="17">
        <f t="shared" si="9"/>
        <v>120000</v>
      </c>
      <c r="AY25" s="17">
        <f t="shared" si="10"/>
        <v>25200000</v>
      </c>
      <c r="AZ25" s="34">
        <v>1</v>
      </c>
    </row>
    <row r="26" spans="1:52" ht="41.25" customHeight="1">
      <c r="A26" s="106">
        <v>21</v>
      </c>
      <c r="B26" s="107" t="s">
        <v>429</v>
      </c>
      <c r="C26" s="14" t="s">
        <v>430</v>
      </c>
      <c r="D26" s="107" t="s">
        <v>393</v>
      </c>
      <c r="E26" s="108">
        <f>'Tổng hợp VT'!E31</f>
        <v>2.5274999999999999</v>
      </c>
      <c r="F26" s="20"/>
      <c r="G26" s="109"/>
      <c r="H26" s="20"/>
      <c r="I26" s="110" t="s">
        <v>743</v>
      </c>
      <c r="J26" s="51">
        <v>1</v>
      </c>
      <c r="K26" s="81">
        <v>1</v>
      </c>
      <c r="L26" s="108"/>
      <c r="M26" s="89"/>
      <c r="N26" s="18"/>
      <c r="O26" s="17">
        <v>1</v>
      </c>
      <c r="P26" s="89"/>
      <c r="Q26" s="108">
        <v>0</v>
      </c>
      <c r="R26" s="111">
        <v>0</v>
      </c>
      <c r="S26" s="111">
        <v>0</v>
      </c>
      <c r="T26" s="108">
        <v>0</v>
      </c>
      <c r="U26" s="17">
        <v>1</v>
      </c>
      <c r="V26" s="17">
        <v>1</v>
      </c>
      <c r="W26" s="112"/>
      <c r="X26" s="112"/>
      <c r="Y26" s="112"/>
      <c r="Z26" s="112"/>
      <c r="AA26" s="112"/>
      <c r="AB26" s="113"/>
      <c r="AC26" s="15">
        <v>1</v>
      </c>
      <c r="AD26" s="114">
        <f t="shared" si="0"/>
        <v>0</v>
      </c>
      <c r="AE26" s="15">
        <v>0</v>
      </c>
      <c r="AF26" s="15">
        <f t="shared" si="1"/>
        <v>0</v>
      </c>
      <c r="AG26" s="17">
        <v>1</v>
      </c>
      <c r="AH26" s="15">
        <f t="shared" si="2"/>
        <v>0</v>
      </c>
      <c r="AI26" s="17"/>
      <c r="AJ26" s="17"/>
      <c r="AK26" s="17"/>
      <c r="AL26" s="17"/>
      <c r="AM26" s="17">
        <f t="shared" si="3"/>
        <v>0</v>
      </c>
      <c r="AN26" s="17"/>
      <c r="AO26" s="17">
        <f t="shared" si="4"/>
        <v>0</v>
      </c>
      <c r="AP26" s="17"/>
      <c r="AQ26" s="17"/>
      <c r="AR26" s="17">
        <f t="shared" si="5"/>
        <v>0</v>
      </c>
      <c r="AS26" s="17"/>
      <c r="AT26" s="17">
        <f t="shared" si="6"/>
        <v>0</v>
      </c>
      <c r="AU26" s="15">
        <f t="shared" si="7"/>
        <v>0</v>
      </c>
      <c r="AV26" s="17">
        <f t="shared" si="8"/>
        <v>0</v>
      </c>
      <c r="AW26" s="15">
        <f>'Tổng hợp VT'!K31</f>
        <v>35000</v>
      </c>
      <c r="AX26" s="17">
        <f t="shared" si="9"/>
        <v>35000</v>
      </c>
      <c r="AY26" s="17">
        <f t="shared" si="10"/>
        <v>88463</v>
      </c>
      <c r="AZ26" s="34">
        <v>1</v>
      </c>
    </row>
    <row r="27" spans="1:52" ht="41.25" customHeight="1">
      <c r="A27" s="106">
        <v>22</v>
      </c>
      <c r="B27" s="107" t="s">
        <v>432</v>
      </c>
      <c r="C27" s="14" t="s">
        <v>433</v>
      </c>
      <c r="D27" s="107" t="s">
        <v>393</v>
      </c>
      <c r="E27" s="108">
        <f>'Tổng hợp VT'!E32</f>
        <v>482.85</v>
      </c>
      <c r="F27" s="20"/>
      <c r="G27" s="109"/>
      <c r="H27" s="20"/>
      <c r="I27" s="110" t="s">
        <v>743</v>
      </c>
      <c r="J27" s="51">
        <v>1</v>
      </c>
      <c r="K27" s="81">
        <v>1</v>
      </c>
      <c r="L27" s="108"/>
      <c r="M27" s="89"/>
      <c r="N27" s="18"/>
      <c r="O27" s="17">
        <v>1</v>
      </c>
      <c r="P27" s="89"/>
      <c r="Q27" s="108">
        <v>0</v>
      </c>
      <c r="R27" s="111">
        <v>0</v>
      </c>
      <c r="S27" s="111">
        <v>0</v>
      </c>
      <c r="T27" s="108">
        <v>0</v>
      </c>
      <c r="U27" s="17">
        <v>1</v>
      </c>
      <c r="V27" s="17">
        <v>1</v>
      </c>
      <c r="W27" s="112"/>
      <c r="X27" s="112"/>
      <c r="Y27" s="112"/>
      <c r="Z27" s="112"/>
      <c r="AA27" s="112"/>
      <c r="AB27" s="113"/>
      <c r="AC27" s="15">
        <v>1</v>
      </c>
      <c r="AD27" s="114">
        <f t="shared" si="0"/>
        <v>0</v>
      </c>
      <c r="AE27" s="15">
        <v>0</v>
      </c>
      <c r="AF27" s="15">
        <f t="shared" si="1"/>
        <v>0</v>
      </c>
      <c r="AG27" s="17">
        <v>1</v>
      </c>
      <c r="AH27" s="15">
        <f t="shared" si="2"/>
        <v>0</v>
      </c>
      <c r="AI27" s="17"/>
      <c r="AJ27" s="17"/>
      <c r="AK27" s="17"/>
      <c r="AL27" s="17"/>
      <c r="AM27" s="17">
        <f t="shared" si="3"/>
        <v>0</v>
      </c>
      <c r="AN27" s="17"/>
      <c r="AO27" s="17">
        <f t="shared" si="4"/>
        <v>0</v>
      </c>
      <c r="AP27" s="17"/>
      <c r="AQ27" s="17"/>
      <c r="AR27" s="17">
        <f t="shared" si="5"/>
        <v>0</v>
      </c>
      <c r="AS27" s="17"/>
      <c r="AT27" s="17">
        <f t="shared" si="6"/>
        <v>0</v>
      </c>
      <c r="AU27" s="15">
        <f t="shared" si="7"/>
        <v>0</v>
      </c>
      <c r="AV27" s="17">
        <f t="shared" si="8"/>
        <v>0</v>
      </c>
      <c r="AW27" s="15">
        <f>'Tổng hợp VT'!K32</f>
        <v>4700</v>
      </c>
      <c r="AX27" s="17">
        <f t="shared" si="9"/>
        <v>4700</v>
      </c>
      <c r="AY27" s="17">
        <f t="shared" si="10"/>
        <v>2269395</v>
      </c>
      <c r="AZ27" s="34">
        <v>1</v>
      </c>
    </row>
    <row r="28" spans="1:52" ht="41.25" customHeight="1">
      <c r="A28" s="106">
        <v>23</v>
      </c>
      <c r="B28" s="107" t="s">
        <v>435</v>
      </c>
      <c r="C28" s="14" t="s">
        <v>436</v>
      </c>
      <c r="D28" s="107" t="s">
        <v>393</v>
      </c>
      <c r="E28" s="108">
        <f>'Tổng hợp VT'!E33</f>
        <v>13.86</v>
      </c>
      <c r="F28" s="20"/>
      <c r="G28" s="109"/>
      <c r="H28" s="20"/>
      <c r="I28" s="110" t="s">
        <v>743</v>
      </c>
      <c r="J28" s="51">
        <v>1</v>
      </c>
      <c r="K28" s="81">
        <v>1</v>
      </c>
      <c r="L28" s="108"/>
      <c r="M28" s="89"/>
      <c r="N28" s="18"/>
      <c r="O28" s="17">
        <v>1</v>
      </c>
      <c r="P28" s="89"/>
      <c r="Q28" s="108">
        <v>0</v>
      </c>
      <c r="R28" s="111">
        <v>0</v>
      </c>
      <c r="S28" s="111">
        <v>0</v>
      </c>
      <c r="T28" s="108">
        <v>0</v>
      </c>
      <c r="U28" s="17">
        <v>1</v>
      </c>
      <c r="V28" s="17">
        <v>1</v>
      </c>
      <c r="W28" s="112"/>
      <c r="X28" s="112"/>
      <c r="Y28" s="112"/>
      <c r="Z28" s="112"/>
      <c r="AA28" s="112"/>
      <c r="AB28" s="113"/>
      <c r="AC28" s="15">
        <v>1</v>
      </c>
      <c r="AD28" s="114">
        <f t="shared" si="0"/>
        <v>0</v>
      </c>
      <c r="AE28" s="15">
        <v>0</v>
      </c>
      <c r="AF28" s="15">
        <f t="shared" si="1"/>
        <v>0</v>
      </c>
      <c r="AG28" s="17">
        <v>1</v>
      </c>
      <c r="AH28" s="15">
        <f t="shared" si="2"/>
        <v>0</v>
      </c>
      <c r="AI28" s="17"/>
      <c r="AJ28" s="17"/>
      <c r="AK28" s="17"/>
      <c r="AL28" s="17"/>
      <c r="AM28" s="17">
        <f t="shared" si="3"/>
        <v>0</v>
      </c>
      <c r="AN28" s="17"/>
      <c r="AO28" s="17">
        <f t="shared" si="4"/>
        <v>0</v>
      </c>
      <c r="AP28" s="17"/>
      <c r="AQ28" s="17"/>
      <c r="AR28" s="17">
        <f t="shared" si="5"/>
        <v>0</v>
      </c>
      <c r="AS28" s="17"/>
      <c r="AT28" s="17">
        <f t="shared" si="6"/>
        <v>0</v>
      </c>
      <c r="AU28" s="15">
        <f t="shared" si="7"/>
        <v>0</v>
      </c>
      <c r="AV28" s="17">
        <f t="shared" si="8"/>
        <v>0</v>
      </c>
      <c r="AW28" s="15">
        <f>'Tổng hợp VT'!K33</f>
        <v>20000</v>
      </c>
      <c r="AX28" s="17">
        <f t="shared" si="9"/>
        <v>20000</v>
      </c>
      <c r="AY28" s="17">
        <f t="shared" si="10"/>
        <v>277200</v>
      </c>
      <c r="AZ28" s="34">
        <v>1</v>
      </c>
    </row>
    <row r="29" spans="1:52" ht="41.25" customHeight="1">
      <c r="A29" s="106">
        <v>24</v>
      </c>
      <c r="B29" s="107" t="s">
        <v>438</v>
      </c>
      <c r="C29" s="14" t="s">
        <v>439</v>
      </c>
      <c r="D29" s="107" t="s">
        <v>393</v>
      </c>
      <c r="E29" s="108">
        <f>'Tổng hợp VT'!E34</f>
        <v>38.270000000000003</v>
      </c>
      <c r="F29" s="20"/>
      <c r="G29" s="109"/>
      <c r="H29" s="20"/>
      <c r="I29" s="110" t="s">
        <v>743</v>
      </c>
      <c r="J29" s="51">
        <v>1</v>
      </c>
      <c r="K29" s="81">
        <v>1</v>
      </c>
      <c r="L29" s="108"/>
      <c r="M29" s="89"/>
      <c r="N29" s="18"/>
      <c r="O29" s="17">
        <v>1</v>
      </c>
      <c r="P29" s="89"/>
      <c r="Q29" s="108">
        <v>0</v>
      </c>
      <c r="R29" s="111">
        <v>0</v>
      </c>
      <c r="S29" s="111">
        <v>0</v>
      </c>
      <c r="T29" s="108">
        <v>0</v>
      </c>
      <c r="U29" s="17">
        <v>1</v>
      </c>
      <c r="V29" s="17">
        <v>1</v>
      </c>
      <c r="W29" s="112"/>
      <c r="X29" s="112"/>
      <c r="Y29" s="112"/>
      <c r="Z29" s="112"/>
      <c r="AA29" s="112"/>
      <c r="AB29" s="113"/>
      <c r="AC29" s="15">
        <v>1</v>
      </c>
      <c r="AD29" s="114">
        <f t="shared" si="0"/>
        <v>0</v>
      </c>
      <c r="AE29" s="15">
        <v>0</v>
      </c>
      <c r="AF29" s="15">
        <f t="shared" si="1"/>
        <v>0</v>
      </c>
      <c r="AG29" s="17">
        <v>1</v>
      </c>
      <c r="AH29" s="15">
        <f t="shared" si="2"/>
        <v>0</v>
      </c>
      <c r="AI29" s="17"/>
      <c r="AJ29" s="17"/>
      <c r="AK29" s="17"/>
      <c r="AL29" s="17"/>
      <c r="AM29" s="17">
        <f t="shared" si="3"/>
        <v>0</v>
      </c>
      <c r="AN29" s="17"/>
      <c r="AO29" s="17">
        <f t="shared" si="4"/>
        <v>0</v>
      </c>
      <c r="AP29" s="17"/>
      <c r="AQ29" s="17"/>
      <c r="AR29" s="17">
        <f t="shared" si="5"/>
        <v>0</v>
      </c>
      <c r="AS29" s="17"/>
      <c r="AT29" s="17">
        <f t="shared" si="6"/>
        <v>0</v>
      </c>
      <c r="AU29" s="15">
        <f t="shared" si="7"/>
        <v>0</v>
      </c>
      <c r="AV29" s="17">
        <f t="shared" si="8"/>
        <v>0</v>
      </c>
      <c r="AW29" s="15">
        <f>'Tổng hợp VT'!K34</f>
        <v>233</v>
      </c>
      <c r="AX29" s="17">
        <f t="shared" si="9"/>
        <v>233</v>
      </c>
      <c r="AY29" s="17">
        <f t="shared" si="10"/>
        <v>8917</v>
      </c>
      <c r="AZ29" s="34">
        <v>1</v>
      </c>
    </row>
    <row r="30" spans="1:52" ht="41.25" customHeight="1">
      <c r="A30" s="106">
        <v>25</v>
      </c>
      <c r="B30" s="107" t="s">
        <v>441</v>
      </c>
      <c r="C30" s="14" t="s">
        <v>442</v>
      </c>
      <c r="D30" s="107" t="s">
        <v>109</v>
      </c>
      <c r="E30" s="108">
        <f>'Tổng hợp VT'!E35</f>
        <v>1821.96</v>
      </c>
      <c r="F30" s="20"/>
      <c r="G30" s="109"/>
      <c r="H30" s="20"/>
      <c r="I30" s="110" t="s">
        <v>743</v>
      </c>
      <c r="J30" s="51">
        <v>1</v>
      </c>
      <c r="K30" s="81">
        <v>1</v>
      </c>
      <c r="L30" s="108"/>
      <c r="M30" s="89"/>
      <c r="N30" s="18"/>
      <c r="O30" s="17">
        <v>1</v>
      </c>
      <c r="P30" s="89"/>
      <c r="Q30" s="108">
        <v>0</v>
      </c>
      <c r="R30" s="111">
        <v>0</v>
      </c>
      <c r="S30" s="111">
        <v>0</v>
      </c>
      <c r="T30" s="108">
        <v>0</v>
      </c>
      <c r="U30" s="17">
        <v>1</v>
      </c>
      <c r="V30" s="17">
        <v>1</v>
      </c>
      <c r="W30" s="112"/>
      <c r="X30" s="112"/>
      <c r="Y30" s="112"/>
      <c r="Z30" s="112"/>
      <c r="AA30" s="112"/>
      <c r="AB30" s="113"/>
      <c r="AC30" s="15">
        <v>1</v>
      </c>
      <c r="AD30" s="114">
        <f t="shared" si="0"/>
        <v>0</v>
      </c>
      <c r="AE30" s="15">
        <v>0</v>
      </c>
      <c r="AF30" s="15">
        <f t="shared" si="1"/>
        <v>0</v>
      </c>
      <c r="AG30" s="17">
        <v>1</v>
      </c>
      <c r="AH30" s="15">
        <f t="shared" si="2"/>
        <v>0</v>
      </c>
      <c r="AI30" s="17"/>
      <c r="AJ30" s="17"/>
      <c r="AK30" s="17"/>
      <c r="AL30" s="17"/>
      <c r="AM30" s="17">
        <f t="shared" si="3"/>
        <v>0</v>
      </c>
      <c r="AN30" s="17"/>
      <c r="AO30" s="17">
        <f t="shared" si="4"/>
        <v>0</v>
      </c>
      <c r="AP30" s="17"/>
      <c r="AQ30" s="17"/>
      <c r="AR30" s="17">
        <f t="shared" si="5"/>
        <v>0</v>
      </c>
      <c r="AS30" s="17"/>
      <c r="AT30" s="17">
        <f t="shared" si="6"/>
        <v>0</v>
      </c>
      <c r="AU30" s="15">
        <f t="shared" si="7"/>
        <v>0</v>
      </c>
      <c r="AV30" s="17">
        <f t="shared" si="8"/>
        <v>0</v>
      </c>
      <c r="AW30" s="15">
        <f>'Tổng hợp VT'!K35</f>
        <v>10500</v>
      </c>
      <c r="AX30" s="17">
        <f t="shared" si="9"/>
        <v>10500</v>
      </c>
      <c r="AY30" s="17">
        <f t="shared" si="10"/>
        <v>19130580</v>
      </c>
      <c r="AZ30" s="34">
        <v>1</v>
      </c>
    </row>
    <row r="31" spans="1:52" ht="41.25" customHeight="1">
      <c r="A31" s="106">
        <v>26</v>
      </c>
      <c r="B31" s="107" t="s">
        <v>444</v>
      </c>
      <c r="C31" s="14" t="s">
        <v>445</v>
      </c>
      <c r="D31" s="107" t="s">
        <v>446</v>
      </c>
      <c r="E31" s="108">
        <f>'Tổng hợp VT'!E36+'Tổng hợp VT'!E37</f>
        <v>68867.745299999995</v>
      </c>
      <c r="F31" s="20"/>
      <c r="G31" s="109"/>
      <c r="H31" s="20"/>
      <c r="I31" s="110" t="s">
        <v>743</v>
      </c>
      <c r="J31" s="51">
        <v>1</v>
      </c>
      <c r="K31" s="81">
        <v>1</v>
      </c>
      <c r="L31" s="108"/>
      <c r="M31" s="89"/>
      <c r="N31" s="18"/>
      <c r="O31" s="17">
        <v>1</v>
      </c>
      <c r="P31" s="89"/>
      <c r="Q31" s="108">
        <v>0</v>
      </c>
      <c r="R31" s="111">
        <v>0</v>
      </c>
      <c r="S31" s="111">
        <v>0</v>
      </c>
      <c r="T31" s="108">
        <v>0</v>
      </c>
      <c r="U31" s="17">
        <v>1</v>
      </c>
      <c r="V31" s="17">
        <v>1</v>
      </c>
      <c r="W31" s="112"/>
      <c r="X31" s="112"/>
      <c r="Y31" s="112"/>
      <c r="Z31" s="112"/>
      <c r="AA31" s="112"/>
      <c r="AB31" s="113"/>
      <c r="AC31" s="15">
        <v>1</v>
      </c>
      <c r="AD31" s="114">
        <f t="shared" si="0"/>
        <v>0</v>
      </c>
      <c r="AE31" s="15">
        <v>0</v>
      </c>
      <c r="AF31" s="15">
        <f t="shared" si="1"/>
        <v>0</v>
      </c>
      <c r="AG31" s="17">
        <v>1</v>
      </c>
      <c r="AH31" s="15">
        <f t="shared" si="2"/>
        <v>0</v>
      </c>
      <c r="AI31" s="17"/>
      <c r="AJ31" s="17"/>
      <c r="AK31" s="17"/>
      <c r="AL31" s="17"/>
      <c r="AM31" s="17">
        <f t="shared" si="3"/>
        <v>0</v>
      </c>
      <c r="AN31" s="17"/>
      <c r="AO31" s="17">
        <f t="shared" si="4"/>
        <v>0</v>
      </c>
      <c r="AP31" s="17"/>
      <c r="AQ31" s="17"/>
      <c r="AR31" s="17">
        <f t="shared" si="5"/>
        <v>0</v>
      </c>
      <c r="AS31" s="17"/>
      <c r="AT31" s="17">
        <f t="shared" si="6"/>
        <v>0</v>
      </c>
      <c r="AU31" s="15">
        <f t="shared" si="7"/>
        <v>0</v>
      </c>
      <c r="AV31" s="17">
        <f t="shared" si="8"/>
        <v>0</v>
      </c>
      <c r="AW31" s="15">
        <f>'Tổng hợp VT'!K36</f>
        <v>20</v>
      </c>
      <c r="AX31" s="17">
        <f t="shared" si="9"/>
        <v>20</v>
      </c>
      <c r="AY31" s="17">
        <f t="shared" si="10"/>
        <v>1377355</v>
      </c>
      <c r="AZ31" s="34">
        <v>1</v>
      </c>
    </row>
    <row r="32" spans="1:52" ht="41.25" customHeight="1">
      <c r="A32" s="106">
        <v>27</v>
      </c>
      <c r="B32" s="107" t="s">
        <v>449</v>
      </c>
      <c r="C32" s="14" t="s">
        <v>450</v>
      </c>
      <c r="D32" s="107" t="s">
        <v>393</v>
      </c>
      <c r="E32" s="108">
        <f>'Tổng hợp VT'!E38</f>
        <v>57.09</v>
      </c>
      <c r="F32" s="20" t="s">
        <v>450</v>
      </c>
      <c r="G32" s="109">
        <v>1E-3</v>
      </c>
      <c r="H32" s="20"/>
      <c r="I32" s="110" t="s">
        <v>743</v>
      </c>
      <c r="J32" s="51">
        <v>1</v>
      </c>
      <c r="K32" s="81">
        <v>1</v>
      </c>
      <c r="L32" s="108"/>
      <c r="M32" s="89"/>
      <c r="N32" s="18"/>
      <c r="O32" s="17">
        <v>1</v>
      </c>
      <c r="P32" s="89"/>
      <c r="Q32" s="108">
        <v>0</v>
      </c>
      <c r="R32" s="111">
        <v>0</v>
      </c>
      <c r="S32" s="111">
        <v>0</v>
      </c>
      <c r="T32" s="108">
        <v>0</v>
      </c>
      <c r="U32" s="17">
        <v>1</v>
      </c>
      <c r="V32" s="17">
        <v>1</v>
      </c>
      <c r="W32" s="112"/>
      <c r="X32" s="112"/>
      <c r="Y32" s="112"/>
      <c r="Z32" s="112"/>
      <c r="AA32" s="112"/>
      <c r="AB32" s="113"/>
      <c r="AC32" s="15">
        <v>1</v>
      </c>
      <c r="AD32" s="114">
        <f t="shared" si="0"/>
        <v>0</v>
      </c>
      <c r="AE32" s="15">
        <v>0</v>
      </c>
      <c r="AF32" s="15">
        <f t="shared" si="1"/>
        <v>0</v>
      </c>
      <c r="AG32" s="17">
        <v>1</v>
      </c>
      <c r="AH32" s="15">
        <f t="shared" si="2"/>
        <v>0</v>
      </c>
      <c r="AI32" s="17"/>
      <c r="AJ32" s="17"/>
      <c r="AK32" s="17"/>
      <c r="AL32" s="17"/>
      <c r="AM32" s="17">
        <f t="shared" si="3"/>
        <v>0</v>
      </c>
      <c r="AN32" s="17"/>
      <c r="AO32" s="17">
        <f t="shared" si="4"/>
        <v>0</v>
      </c>
      <c r="AP32" s="17"/>
      <c r="AQ32" s="17"/>
      <c r="AR32" s="17">
        <f t="shared" si="5"/>
        <v>0</v>
      </c>
      <c r="AS32" s="17"/>
      <c r="AT32" s="17">
        <f t="shared" si="6"/>
        <v>0</v>
      </c>
      <c r="AU32" s="15">
        <f t="shared" si="7"/>
        <v>0</v>
      </c>
      <c r="AV32" s="17">
        <f t="shared" si="8"/>
        <v>0</v>
      </c>
      <c r="AW32" s="15">
        <f>'Tổng hợp VT'!K38</f>
        <v>17100</v>
      </c>
      <c r="AX32" s="17">
        <f t="shared" si="9"/>
        <v>17100</v>
      </c>
      <c r="AY32" s="17">
        <f t="shared" si="10"/>
        <v>976239</v>
      </c>
      <c r="AZ32" s="34">
        <v>1</v>
      </c>
    </row>
    <row r="33" spans="1:52" ht="41.25" customHeight="1">
      <c r="A33" s="106">
        <v>28</v>
      </c>
      <c r="B33" s="107" t="s">
        <v>452</v>
      </c>
      <c r="C33" s="14" t="s">
        <v>453</v>
      </c>
      <c r="D33" s="107" t="s">
        <v>454</v>
      </c>
      <c r="E33" s="108">
        <f>'Tổng hợp VT'!E39</f>
        <v>1.2638</v>
      </c>
      <c r="F33" s="20"/>
      <c r="G33" s="109"/>
      <c r="H33" s="20"/>
      <c r="I33" s="110" t="s">
        <v>743</v>
      </c>
      <c r="J33" s="51">
        <v>1</v>
      </c>
      <c r="K33" s="81">
        <v>1</v>
      </c>
      <c r="L33" s="108"/>
      <c r="M33" s="89"/>
      <c r="N33" s="18"/>
      <c r="O33" s="17">
        <v>1</v>
      </c>
      <c r="P33" s="89"/>
      <c r="Q33" s="108">
        <v>0</v>
      </c>
      <c r="R33" s="111">
        <v>0</v>
      </c>
      <c r="S33" s="111">
        <v>0</v>
      </c>
      <c r="T33" s="108">
        <v>0</v>
      </c>
      <c r="U33" s="17">
        <v>1</v>
      </c>
      <c r="V33" s="17">
        <v>1</v>
      </c>
      <c r="W33" s="112"/>
      <c r="X33" s="112"/>
      <c r="Y33" s="112"/>
      <c r="Z33" s="112"/>
      <c r="AA33" s="112"/>
      <c r="AB33" s="113"/>
      <c r="AC33" s="15">
        <v>1</v>
      </c>
      <c r="AD33" s="114">
        <f t="shared" si="0"/>
        <v>0</v>
      </c>
      <c r="AE33" s="15">
        <v>0</v>
      </c>
      <c r="AF33" s="15">
        <f t="shared" si="1"/>
        <v>0</v>
      </c>
      <c r="AG33" s="17">
        <v>1</v>
      </c>
      <c r="AH33" s="15">
        <f t="shared" si="2"/>
        <v>0</v>
      </c>
      <c r="AI33" s="17"/>
      <c r="AJ33" s="17"/>
      <c r="AK33" s="17"/>
      <c r="AL33" s="17"/>
      <c r="AM33" s="17">
        <f t="shared" si="3"/>
        <v>0</v>
      </c>
      <c r="AN33" s="17"/>
      <c r="AO33" s="17">
        <f t="shared" si="4"/>
        <v>0</v>
      </c>
      <c r="AP33" s="17"/>
      <c r="AQ33" s="17"/>
      <c r="AR33" s="17">
        <f t="shared" si="5"/>
        <v>0</v>
      </c>
      <c r="AS33" s="17"/>
      <c r="AT33" s="17">
        <f t="shared" si="6"/>
        <v>0</v>
      </c>
      <c r="AU33" s="15">
        <f t="shared" si="7"/>
        <v>0</v>
      </c>
      <c r="AV33" s="17">
        <f t="shared" si="8"/>
        <v>0</v>
      </c>
      <c r="AW33" s="15">
        <f>'Tổng hợp VT'!K39</f>
        <v>83000</v>
      </c>
      <c r="AX33" s="17">
        <f t="shared" si="9"/>
        <v>83000</v>
      </c>
      <c r="AY33" s="17">
        <f t="shared" si="10"/>
        <v>104895</v>
      </c>
      <c r="AZ33" s="34">
        <v>1</v>
      </c>
    </row>
    <row r="34" spans="1:52" ht="41.25" customHeight="1">
      <c r="A34" s="106">
        <v>29</v>
      </c>
      <c r="B34" s="107" t="s">
        <v>456</v>
      </c>
      <c r="C34" s="14" t="s">
        <v>457</v>
      </c>
      <c r="D34" s="107" t="s">
        <v>458</v>
      </c>
      <c r="E34" s="108">
        <f>'Tổng hợp VT'!E40</f>
        <v>213</v>
      </c>
      <c r="F34" s="20" t="s">
        <v>749</v>
      </c>
      <c r="G34" s="109"/>
      <c r="H34" s="20"/>
      <c r="I34" s="110" t="s">
        <v>743</v>
      </c>
      <c r="J34" s="51">
        <v>1</v>
      </c>
      <c r="K34" s="81">
        <v>1</v>
      </c>
      <c r="L34" s="108"/>
      <c r="M34" s="89"/>
      <c r="N34" s="18"/>
      <c r="O34" s="17">
        <v>1</v>
      </c>
      <c r="P34" s="89"/>
      <c r="Q34" s="108">
        <v>0</v>
      </c>
      <c r="R34" s="111">
        <v>0</v>
      </c>
      <c r="S34" s="111">
        <v>0</v>
      </c>
      <c r="T34" s="108">
        <v>0</v>
      </c>
      <c r="U34" s="17">
        <v>1</v>
      </c>
      <c r="V34" s="17">
        <v>1</v>
      </c>
      <c r="W34" s="112"/>
      <c r="X34" s="112"/>
      <c r="Y34" s="112"/>
      <c r="Z34" s="112"/>
      <c r="AA34" s="112"/>
      <c r="AB34" s="113"/>
      <c r="AC34" s="15">
        <v>1</v>
      </c>
      <c r="AD34" s="114">
        <f t="shared" si="0"/>
        <v>0</v>
      </c>
      <c r="AE34" s="15">
        <v>0</v>
      </c>
      <c r="AF34" s="15">
        <f t="shared" si="1"/>
        <v>0</v>
      </c>
      <c r="AG34" s="17">
        <v>1</v>
      </c>
      <c r="AH34" s="15">
        <f t="shared" si="2"/>
        <v>0</v>
      </c>
      <c r="AI34" s="17"/>
      <c r="AJ34" s="17"/>
      <c r="AK34" s="17"/>
      <c r="AL34" s="17"/>
      <c r="AM34" s="17">
        <f t="shared" si="3"/>
        <v>0</v>
      </c>
      <c r="AN34" s="17"/>
      <c r="AO34" s="17">
        <f t="shared" si="4"/>
        <v>0</v>
      </c>
      <c r="AP34" s="17"/>
      <c r="AQ34" s="17"/>
      <c r="AR34" s="17">
        <f t="shared" si="5"/>
        <v>0</v>
      </c>
      <c r="AS34" s="17"/>
      <c r="AT34" s="17">
        <f t="shared" si="6"/>
        <v>0</v>
      </c>
      <c r="AU34" s="15">
        <f t="shared" si="7"/>
        <v>0</v>
      </c>
      <c r="AV34" s="17">
        <f t="shared" si="8"/>
        <v>0</v>
      </c>
      <c r="AW34" s="15">
        <f>'Tổng hợp VT'!K40</f>
        <v>890000</v>
      </c>
      <c r="AX34" s="17">
        <f t="shared" si="9"/>
        <v>890000</v>
      </c>
      <c r="AY34" s="17">
        <f t="shared" si="10"/>
        <v>189570000</v>
      </c>
      <c r="AZ34" s="34">
        <v>1</v>
      </c>
    </row>
    <row r="35" spans="1:52" ht="41.25" customHeight="1">
      <c r="A35" s="106">
        <v>30</v>
      </c>
      <c r="B35" s="107" t="s">
        <v>460</v>
      </c>
      <c r="C35" s="14" t="s">
        <v>461</v>
      </c>
      <c r="D35" s="107" t="s">
        <v>116</v>
      </c>
      <c r="E35" s="108">
        <f>'Tổng hợp VT'!E41</f>
        <v>141.51</v>
      </c>
      <c r="F35" s="20"/>
      <c r="G35" s="109"/>
      <c r="H35" s="20"/>
      <c r="I35" s="110" t="s">
        <v>743</v>
      </c>
      <c r="J35" s="51">
        <v>1</v>
      </c>
      <c r="K35" s="81">
        <v>1</v>
      </c>
      <c r="L35" s="108"/>
      <c r="M35" s="89"/>
      <c r="N35" s="18"/>
      <c r="O35" s="17">
        <v>1</v>
      </c>
      <c r="P35" s="89"/>
      <c r="Q35" s="108">
        <v>0</v>
      </c>
      <c r="R35" s="111">
        <v>0</v>
      </c>
      <c r="S35" s="111">
        <v>0</v>
      </c>
      <c r="T35" s="108">
        <v>0</v>
      </c>
      <c r="U35" s="17">
        <v>1</v>
      </c>
      <c r="V35" s="17">
        <v>1</v>
      </c>
      <c r="W35" s="112"/>
      <c r="X35" s="112"/>
      <c r="Y35" s="112"/>
      <c r="Z35" s="112"/>
      <c r="AA35" s="112"/>
      <c r="AB35" s="113"/>
      <c r="AC35" s="15">
        <v>1</v>
      </c>
      <c r="AD35" s="114">
        <f t="shared" si="0"/>
        <v>0</v>
      </c>
      <c r="AE35" s="15">
        <v>0</v>
      </c>
      <c r="AF35" s="15">
        <f t="shared" si="1"/>
        <v>0</v>
      </c>
      <c r="AG35" s="17">
        <v>1</v>
      </c>
      <c r="AH35" s="15">
        <f t="shared" si="2"/>
        <v>0</v>
      </c>
      <c r="AI35" s="17"/>
      <c r="AJ35" s="17"/>
      <c r="AK35" s="17"/>
      <c r="AL35" s="17"/>
      <c r="AM35" s="17">
        <f t="shared" si="3"/>
        <v>0</v>
      </c>
      <c r="AN35" s="17"/>
      <c r="AO35" s="17">
        <f t="shared" si="4"/>
        <v>0</v>
      </c>
      <c r="AP35" s="17"/>
      <c r="AQ35" s="17"/>
      <c r="AR35" s="17">
        <f t="shared" si="5"/>
        <v>0</v>
      </c>
      <c r="AS35" s="17"/>
      <c r="AT35" s="17">
        <f t="shared" si="6"/>
        <v>0</v>
      </c>
      <c r="AU35" s="15">
        <f t="shared" si="7"/>
        <v>0</v>
      </c>
      <c r="AV35" s="17">
        <f t="shared" si="8"/>
        <v>0</v>
      </c>
      <c r="AW35" s="15">
        <f>'Tổng hợp VT'!K41</f>
        <v>18500</v>
      </c>
      <c r="AX35" s="17">
        <f t="shared" si="9"/>
        <v>18500</v>
      </c>
      <c r="AY35" s="17">
        <f t="shared" si="10"/>
        <v>2617935</v>
      </c>
      <c r="AZ35" s="34">
        <v>1</v>
      </c>
    </row>
    <row r="36" spans="1:52" ht="41.25" customHeight="1">
      <c r="A36" s="106">
        <v>31</v>
      </c>
      <c r="B36" s="107" t="s">
        <v>463</v>
      </c>
      <c r="C36" s="14" t="s">
        <v>464</v>
      </c>
      <c r="D36" s="107" t="s">
        <v>393</v>
      </c>
      <c r="E36" s="108">
        <f>'Tổng hợp VT'!E42</f>
        <v>8.2032000000000007</v>
      </c>
      <c r="F36" s="20" t="s">
        <v>746</v>
      </c>
      <c r="G36" s="109">
        <v>1E-3</v>
      </c>
      <c r="H36" s="20"/>
      <c r="I36" s="110" t="s">
        <v>743</v>
      </c>
      <c r="J36" s="51">
        <v>1</v>
      </c>
      <c r="K36" s="81">
        <v>1</v>
      </c>
      <c r="L36" s="108"/>
      <c r="M36" s="89"/>
      <c r="N36" s="18"/>
      <c r="O36" s="17">
        <v>1</v>
      </c>
      <c r="P36" s="89"/>
      <c r="Q36" s="108">
        <v>0</v>
      </c>
      <c r="R36" s="111">
        <v>0</v>
      </c>
      <c r="S36" s="111">
        <v>0</v>
      </c>
      <c r="T36" s="108">
        <v>0</v>
      </c>
      <c r="U36" s="17">
        <v>1</v>
      </c>
      <c r="V36" s="17">
        <v>1</v>
      </c>
      <c r="W36" s="112"/>
      <c r="X36" s="112"/>
      <c r="Y36" s="112"/>
      <c r="Z36" s="112"/>
      <c r="AA36" s="112"/>
      <c r="AB36" s="113"/>
      <c r="AC36" s="15">
        <v>1</v>
      </c>
      <c r="AD36" s="114">
        <f t="shared" si="0"/>
        <v>0</v>
      </c>
      <c r="AE36" s="15">
        <v>0</v>
      </c>
      <c r="AF36" s="15">
        <f t="shared" si="1"/>
        <v>0</v>
      </c>
      <c r="AG36" s="17">
        <v>1</v>
      </c>
      <c r="AH36" s="15">
        <f t="shared" si="2"/>
        <v>0</v>
      </c>
      <c r="AI36" s="17"/>
      <c r="AJ36" s="17"/>
      <c r="AK36" s="17"/>
      <c r="AL36" s="17"/>
      <c r="AM36" s="17">
        <f t="shared" si="3"/>
        <v>0</v>
      </c>
      <c r="AN36" s="17"/>
      <c r="AO36" s="17">
        <f t="shared" si="4"/>
        <v>0</v>
      </c>
      <c r="AP36" s="17"/>
      <c r="AQ36" s="17"/>
      <c r="AR36" s="17">
        <f t="shared" si="5"/>
        <v>0</v>
      </c>
      <c r="AS36" s="17"/>
      <c r="AT36" s="17">
        <f t="shared" si="6"/>
        <v>0</v>
      </c>
      <c r="AU36" s="15">
        <f t="shared" si="7"/>
        <v>0</v>
      </c>
      <c r="AV36" s="17">
        <f t="shared" si="8"/>
        <v>0</v>
      </c>
      <c r="AW36" s="15">
        <f>'Tổng hợp VT'!K42</f>
        <v>25000</v>
      </c>
      <c r="AX36" s="17">
        <f t="shared" si="9"/>
        <v>25000</v>
      </c>
      <c r="AY36" s="17">
        <f t="shared" si="10"/>
        <v>205080</v>
      </c>
      <c r="AZ36" s="34">
        <v>1</v>
      </c>
    </row>
    <row r="37" spans="1:52" ht="41.25" customHeight="1">
      <c r="A37" s="106">
        <v>32</v>
      </c>
      <c r="B37" s="107" t="s">
        <v>466</v>
      </c>
      <c r="C37" s="14" t="s">
        <v>467</v>
      </c>
      <c r="D37" s="107" t="s">
        <v>393</v>
      </c>
      <c r="E37" s="108">
        <f>'Tổng hợp VT'!E43</f>
        <v>1699.25</v>
      </c>
      <c r="F37" s="20" t="s">
        <v>746</v>
      </c>
      <c r="G37" s="109">
        <v>1E-3</v>
      </c>
      <c r="H37" s="20"/>
      <c r="I37" s="110" t="s">
        <v>743</v>
      </c>
      <c r="J37" s="51">
        <v>1</v>
      </c>
      <c r="K37" s="81">
        <v>1</v>
      </c>
      <c r="L37" s="108"/>
      <c r="M37" s="89"/>
      <c r="N37" s="18"/>
      <c r="O37" s="17">
        <v>1</v>
      </c>
      <c r="P37" s="89"/>
      <c r="Q37" s="108">
        <v>0</v>
      </c>
      <c r="R37" s="111">
        <v>0</v>
      </c>
      <c r="S37" s="111">
        <v>0</v>
      </c>
      <c r="T37" s="108">
        <v>0</v>
      </c>
      <c r="U37" s="17">
        <v>1</v>
      </c>
      <c r="V37" s="17">
        <v>1</v>
      </c>
      <c r="W37" s="112"/>
      <c r="X37" s="112"/>
      <c r="Y37" s="112"/>
      <c r="Z37" s="112"/>
      <c r="AA37" s="112"/>
      <c r="AB37" s="113"/>
      <c r="AC37" s="15">
        <v>1</v>
      </c>
      <c r="AD37" s="114">
        <f t="shared" si="0"/>
        <v>0</v>
      </c>
      <c r="AE37" s="15">
        <v>0</v>
      </c>
      <c r="AF37" s="15">
        <f t="shared" si="1"/>
        <v>0</v>
      </c>
      <c r="AG37" s="17">
        <v>1</v>
      </c>
      <c r="AH37" s="15">
        <f t="shared" si="2"/>
        <v>0</v>
      </c>
      <c r="AI37" s="17"/>
      <c r="AJ37" s="17"/>
      <c r="AK37" s="17"/>
      <c r="AL37" s="17"/>
      <c r="AM37" s="17">
        <f t="shared" si="3"/>
        <v>0</v>
      </c>
      <c r="AN37" s="17"/>
      <c r="AO37" s="17">
        <f t="shared" si="4"/>
        <v>0</v>
      </c>
      <c r="AP37" s="17"/>
      <c r="AQ37" s="17"/>
      <c r="AR37" s="17">
        <f t="shared" si="5"/>
        <v>0</v>
      </c>
      <c r="AS37" s="17"/>
      <c r="AT37" s="17">
        <f t="shared" si="6"/>
        <v>0</v>
      </c>
      <c r="AU37" s="15">
        <f t="shared" si="7"/>
        <v>0</v>
      </c>
      <c r="AV37" s="17">
        <f t="shared" si="8"/>
        <v>0</v>
      </c>
      <c r="AW37" s="15">
        <f>'Tổng hợp VT'!K43</f>
        <v>19500</v>
      </c>
      <c r="AX37" s="17">
        <f t="shared" si="9"/>
        <v>19500</v>
      </c>
      <c r="AY37" s="17">
        <f t="shared" si="10"/>
        <v>33135375</v>
      </c>
      <c r="AZ37" s="34">
        <v>1</v>
      </c>
    </row>
    <row r="38" spans="1:52" ht="41.25" customHeight="1">
      <c r="A38" s="106">
        <v>33</v>
      </c>
      <c r="B38" s="107" t="s">
        <v>469</v>
      </c>
      <c r="C38" s="14" t="s">
        <v>470</v>
      </c>
      <c r="D38" s="107" t="s">
        <v>393</v>
      </c>
      <c r="E38" s="108">
        <f>'Tổng hợp VT'!E44</f>
        <v>57.087499999999999</v>
      </c>
      <c r="F38" s="20" t="s">
        <v>746</v>
      </c>
      <c r="G38" s="109">
        <v>1E-3</v>
      </c>
      <c r="H38" s="20"/>
      <c r="I38" s="110" t="s">
        <v>743</v>
      </c>
      <c r="J38" s="51">
        <v>1</v>
      </c>
      <c r="K38" s="81">
        <v>1</v>
      </c>
      <c r="L38" s="108"/>
      <c r="M38" s="89"/>
      <c r="N38" s="18"/>
      <c r="O38" s="17">
        <v>1</v>
      </c>
      <c r="P38" s="89"/>
      <c r="Q38" s="108">
        <v>0</v>
      </c>
      <c r="R38" s="111">
        <v>0</v>
      </c>
      <c r="S38" s="111">
        <v>0</v>
      </c>
      <c r="T38" s="108">
        <v>0</v>
      </c>
      <c r="U38" s="17">
        <v>1</v>
      </c>
      <c r="V38" s="17">
        <v>1</v>
      </c>
      <c r="W38" s="112"/>
      <c r="X38" s="112"/>
      <c r="Y38" s="112"/>
      <c r="Z38" s="112"/>
      <c r="AA38" s="112"/>
      <c r="AB38" s="113"/>
      <c r="AC38" s="15">
        <v>1</v>
      </c>
      <c r="AD38" s="114">
        <f t="shared" si="0"/>
        <v>0</v>
      </c>
      <c r="AE38" s="15">
        <v>0</v>
      </c>
      <c r="AF38" s="15">
        <f t="shared" si="1"/>
        <v>0</v>
      </c>
      <c r="AG38" s="17">
        <v>1</v>
      </c>
      <c r="AH38" s="15">
        <f t="shared" si="2"/>
        <v>0</v>
      </c>
      <c r="AI38" s="17"/>
      <c r="AJ38" s="17"/>
      <c r="AK38" s="17"/>
      <c r="AL38" s="17"/>
      <c r="AM38" s="17">
        <f t="shared" si="3"/>
        <v>0</v>
      </c>
      <c r="AN38" s="17"/>
      <c r="AO38" s="17">
        <f t="shared" si="4"/>
        <v>0</v>
      </c>
      <c r="AP38" s="17"/>
      <c r="AQ38" s="17"/>
      <c r="AR38" s="17">
        <f t="shared" si="5"/>
        <v>0</v>
      </c>
      <c r="AS38" s="17"/>
      <c r="AT38" s="17">
        <f t="shared" si="6"/>
        <v>0</v>
      </c>
      <c r="AU38" s="15">
        <f t="shared" si="7"/>
        <v>0</v>
      </c>
      <c r="AV38" s="17">
        <f t="shared" si="8"/>
        <v>0</v>
      </c>
      <c r="AW38" s="15">
        <f>'Tổng hợp VT'!K44</f>
        <v>19500</v>
      </c>
      <c r="AX38" s="17">
        <f t="shared" si="9"/>
        <v>19500</v>
      </c>
      <c r="AY38" s="17">
        <f t="shared" si="10"/>
        <v>1113206</v>
      </c>
      <c r="AZ38" s="34">
        <v>1</v>
      </c>
    </row>
    <row r="39" spans="1:52" ht="41.25" customHeight="1">
      <c r="A39" s="106">
        <v>34</v>
      </c>
      <c r="B39" s="107" t="s">
        <v>472</v>
      </c>
      <c r="C39" s="14" t="s">
        <v>473</v>
      </c>
      <c r="D39" s="107" t="s">
        <v>393</v>
      </c>
      <c r="E39" s="108">
        <f>'Tổng hợp VT'!E45</f>
        <v>369.73259999999999</v>
      </c>
      <c r="F39" s="20" t="s">
        <v>746</v>
      </c>
      <c r="G39" s="109">
        <v>1E-3</v>
      </c>
      <c r="H39" s="20"/>
      <c r="I39" s="110" t="s">
        <v>743</v>
      </c>
      <c r="J39" s="51">
        <v>1</v>
      </c>
      <c r="K39" s="81">
        <v>1</v>
      </c>
      <c r="L39" s="108"/>
      <c r="M39" s="89"/>
      <c r="N39" s="18"/>
      <c r="O39" s="17">
        <v>1</v>
      </c>
      <c r="P39" s="89"/>
      <c r="Q39" s="108">
        <v>0</v>
      </c>
      <c r="R39" s="111">
        <v>0</v>
      </c>
      <c r="S39" s="111">
        <v>0</v>
      </c>
      <c r="T39" s="108">
        <v>0</v>
      </c>
      <c r="U39" s="17">
        <v>1</v>
      </c>
      <c r="V39" s="17">
        <v>1</v>
      </c>
      <c r="W39" s="112"/>
      <c r="X39" s="112"/>
      <c r="Y39" s="112"/>
      <c r="Z39" s="112"/>
      <c r="AA39" s="112"/>
      <c r="AB39" s="113"/>
      <c r="AC39" s="15">
        <v>1</v>
      </c>
      <c r="AD39" s="114">
        <f t="shared" si="0"/>
        <v>0</v>
      </c>
      <c r="AE39" s="15">
        <v>0</v>
      </c>
      <c r="AF39" s="15">
        <f t="shared" si="1"/>
        <v>0</v>
      </c>
      <c r="AG39" s="17">
        <v>1</v>
      </c>
      <c r="AH39" s="15">
        <f t="shared" si="2"/>
        <v>0</v>
      </c>
      <c r="AI39" s="17"/>
      <c r="AJ39" s="17"/>
      <c r="AK39" s="17"/>
      <c r="AL39" s="17"/>
      <c r="AM39" s="17">
        <f t="shared" si="3"/>
        <v>0</v>
      </c>
      <c r="AN39" s="17"/>
      <c r="AO39" s="17">
        <f t="shared" si="4"/>
        <v>0</v>
      </c>
      <c r="AP39" s="17"/>
      <c r="AQ39" s="17"/>
      <c r="AR39" s="17">
        <f t="shared" si="5"/>
        <v>0</v>
      </c>
      <c r="AS39" s="17"/>
      <c r="AT39" s="17">
        <f t="shared" si="6"/>
        <v>0</v>
      </c>
      <c r="AU39" s="15">
        <f t="shared" si="7"/>
        <v>0</v>
      </c>
      <c r="AV39" s="17">
        <f t="shared" si="8"/>
        <v>0</v>
      </c>
      <c r="AW39" s="15">
        <f>'Tổng hợp VT'!K45</f>
        <v>19500</v>
      </c>
      <c r="AX39" s="17">
        <f t="shared" si="9"/>
        <v>19500</v>
      </c>
      <c r="AY39" s="17">
        <f t="shared" si="10"/>
        <v>7209786</v>
      </c>
      <c r="AZ39" s="34">
        <v>1</v>
      </c>
    </row>
    <row r="40" spans="1:52" ht="41.25" customHeight="1">
      <c r="A40" s="106">
        <v>35</v>
      </c>
      <c r="B40" s="107" t="s">
        <v>474</v>
      </c>
      <c r="C40" s="14" t="s">
        <v>475</v>
      </c>
      <c r="D40" s="107" t="s">
        <v>393</v>
      </c>
      <c r="E40" s="108">
        <f>'Tổng hợp VT'!E46</f>
        <v>1190.4774</v>
      </c>
      <c r="F40" s="20" t="s">
        <v>746</v>
      </c>
      <c r="G40" s="109">
        <v>1E-3</v>
      </c>
      <c r="H40" s="20"/>
      <c r="I40" s="110" t="s">
        <v>743</v>
      </c>
      <c r="J40" s="51">
        <v>1</v>
      </c>
      <c r="K40" s="81">
        <v>1</v>
      </c>
      <c r="L40" s="108"/>
      <c r="M40" s="89"/>
      <c r="N40" s="18"/>
      <c r="O40" s="17">
        <v>1</v>
      </c>
      <c r="P40" s="89"/>
      <c r="Q40" s="108">
        <v>0</v>
      </c>
      <c r="R40" s="111">
        <v>0</v>
      </c>
      <c r="S40" s="111">
        <v>0</v>
      </c>
      <c r="T40" s="108">
        <v>0</v>
      </c>
      <c r="U40" s="17">
        <v>1</v>
      </c>
      <c r="V40" s="17">
        <v>1</v>
      </c>
      <c r="W40" s="112"/>
      <c r="X40" s="112"/>
      <c r="Y40" s="112"/>
      <c r="Z40" s="112"/>
      <c r="AA40" s="112"/>
      <c r="AB40" s="113"/>
      <c r="AC40" s="15">
        <v>1</v>
      </c>
      <c r="AD40" s="114">
        <f t="shared" si="0"/>
        <v>0</v>
      </c>
      <c r="AE40" s="15">
        <v>0</v>
      </c>
      <c r="AF40" s="15">
        <f t="shared" si="1"/>
        <v>0</v>
      </c>
      <c r="AG40" s="17">
        <v>1</v>
      </c>
      <c r="AH40" s="15">
        <f t="shared" si="2"/>
        <v>0</v>
      </c>
      <c r="AI40" s="17"/>
      <c r="AJ40" s="17"/>
      <c r="AK40" s="17"/>
      <c r="AL40" s="17"/>
      <c r="AM40" s="17">
        <f t="shared" si="3"/>
        <v>0</v>
      </c>
      <c r="AN40" s="17"/>
      <c r="AO40" s="17">
        <f t="shared" si="4"/>
        <v>0</v>
      </c>
      <c r="AP40" s="17"/>
      <c r="AQ40" s="17"/>
      <c r="AR40" s="17">
        <f t="shared" si="5"/>
        <v>0</v>
      </c>
      <c r="AS40" s="17"/>
      <c r="AT40" s="17">
        <f t="shared" si="6"/>
        <v>0</v>
      </c>
      <c r="AU40" s="15">
        <f t="shared" si="7"/>
        <v>0</v>
      </c>
      <c r="AV40" s="17">
        <f t="shared" si="8"/>
        <v>0</v>
      </c>
      <c r="AW40" s="15">
        <f>'Tổng hợp VT'!K46</f>
        <v>16500</v>
      </c>
      <c r="AX40" s="17">
        <f t="shared" si="9"/>
        <v>16500</v>
      </c>
      <c r="AY40" s="17">
        <f t="shared" si="10"/>
        <v>19642877</v>
      </c>
      <c r="AZ40" s="34">
        <v>1</v>
      </c>
    </row>
    <row r="41" spans="1:52" ht="41.25" customHeight="1">
      <c r="A41" s="106">
        <v>36</v>
      </c>
      <c r="B41" s="107" t="s">
        <v>477</v>
      </c>
      <c r="C41" s="14" t="s">
        <v>478</v>
      </c>
      <c r="D41" s="107" t="s">
        <v>393</v>
      </c>
      <c r="E41" s="108">
        <f>'Tổng hợp VT'!E47</f>
        <v>3.1154999999999999</v>
      </c>
      <c r="F41" s="20" t="s">
        <v>746</v>
      </c>
      <c r="G41" s="109">
        <v>1E-3</v>
      </c>
      <c r="H41" s="20"/>
      <c r="I41" s="110" t="s">
        <v>743</v>
      </c>
      <c r="J41" s="51">
        <v>1</v>
      </c>
      <c r="K41" s="81">
        <v>1</v>
      </c>
      <c r="L41" s="108"/>
      <c r="M41" s="89"/>
      <c r="N41" s="18"/>
      <c r="O41" s="17">
        <v>1</v>
      </c>
      <c r="P41" s="89"/>
      <c r="Q41" s="108">
        <v>0</v>
      </c>
      <c r="R41" s="111">
        <v>0</v>
      </c>
      <c r="S41" s="111">
        <v>0</v>
      </c>
      <c r="T41" s="108">
        <v>0</v>
      </c>
      <c r="U41" s="17">
        <v>1</v>
      </c>
      <c r="V41" s="17">
        <v>1</v>
      </c>
      <c r="W41" s="112"/>
      <c r="X41" s="112"/>
      <c r="Y41" s="112"/>
      <c r="Z41" s="112"/>
      <c r="AA41" s="112"/>
      <c r="AB41" s="113"/>
      <c r="AC41" s="15">
        <v>1</v>
      </c>
      <c r="AD41" s="114">
        <f t="shared" si="0"/>
        <v>0</v>
      </c>
      <c r="AE41" s="15">
        <v>0</v>
      </c>
      <c r="AF41" s="15">
        <f t="shared" si="1"/>
        <v>0</v>
      </c>
      <c r="AG41" s="17">
        <v>1</v>
      </c>
      <c r="AH41" s="15">
        <f t="shared" si="2"/>
        <v>0</v>
      </c>
      <c r="AI41" s="17"/>
      <c r="AJ41" s="17"/>
      <c r="AK41" s="17"/>
      <c r="AL41" s="17"/>
      <c r="AM41" s="17">
        <f t="shared" si="3"/>
        <v>0</v>
      </c>
      <c r="AN41" s="17"/>
      <c r="AO41" s="17">
        <f t="shared" si="4"/>
        <v>0</v>
      </c>
      <c r="AP41" s="17"/>
      <c r="AQ41" s="17"/>
      <c r="AR41" s="17">
        <f t="shared" si="5"/>
        <v>0</v>
      </c>
      <c r="AS41" s="17"/>
      <c r="AT41" s="17">
        <f t="shared" si="6"/>
        <v>0</v>
      </c>
      <c r="AU41" s="15">
        <f t="shared" si="7"/>
        <v>0</v>
      </c>
      <c r="AV41" s="17">
        <f t="shared" si="8"/>
        <v>0</v>
      </c>
      <c r="AW41" s="15">
        <f>'Tổng hợp VT'!K47</f>
        <v>16500</v>
      </c>
      <c r="AX41" s="17">
        <f t="shared" si="9"/>
        <v>16500</v>
      </c>
      <c r="AY41" s="17">
        <f t="shared" si="10"/>
        <v>51406</v>
      </c>
      <c r="AZ41" s="34">
        <v>1</v>
      </c>
    </row>
    <row r="42" spans="1:52" ht="41.25" customHeight="1">
      <c r="A42" s="106">
        <v>37</v>
      </c>
      <c r="B42" s="107" t="s">
        <v>481</v>
      </c>
      <c r="C42" s="14" t="s">
        <v>482</v>
      </c>
      <c r="D42" s="107" t="s">
        <v>393</v>
      </c>
      <c r="E42" s="108">
        <f>'Tổng hợp VT'!E48</f>
        <v>37.332000000000001</v>
      </c>
      <c r="F42" s="20" t="s">
        <v>746</v>
      </c>
      <c r="G42" s="109">
        <v>1E-3</v>
      </c>
      <c r="H42" s="20"/>
      <c r="I42" s="110" t="s">
        <v>743</v>
      </c>
      <c r="J42" s="51">
        <v>1</v>
      </c>
      <c r="K42" s="81">
        <v>1</v>
      </c>
      <c r="L42" s="108"/>
      <c r="M42" s="89"/>
      <c r="N42" s="18"/>
      <c r="O42" s="17">
        <v>1</v>
      </c>
      <c r="P42" s="89"/>
      <c r="Q42" s="108">
        <v>0</v>
      </c>
      <c r="R42" s="111">
        <v>0</v>
      </c>
      <c r="S42" s="111">
        <v>0</v>
      </c>
      <c r="T42" s="108">
        <v>0</v>
      </c>
      <c r="U42" s="17">
        <v>1</v>
      </c>
      <c r="V42" s="17">
        <v>1</v>
      </c>
      <c r="W42" s="112"/>
      <c r="X42" s="112"/>
      <c r="Y42" s="112"/>
      <c r="Z42" s="112"/>
      <c r="AA42" s="112"/>
      <c r="AB42" s="113"/>
      <c r="AC42" s="15">
        <v>1</v>
      </c>
      <c r="AD42" s="114">
        <f t="shared" si="0"/>
        <v>0</v>
      </c>
      <c r="AE42" s="15">
        <v>0</v>
      </c>
      <c r="AF42" s="15">
        <f t="shared" si="1"/>
        <v>0</v>
      </c>
      <c r="AG42" s="17">
        <v>1</v>
      </c>
      <c r="AH42" s="15">
        <f t="shared" si="2"/>
        <v>0</v>
      </c>
      <c r="AI42" s="17"/>
      <c r="AJ42" s="17"/>
      <c r="AK42" s="17"/>
      <c r="AL42" s="17"/>
      <c r="AM42" s="17">
        <f t="shared" si="3"/>
        <v>0</v>
      </c>
      <c r="AN42" s="17"/>
      <c r="AO42" s="17">
        <f t="shared" si="4"/>
        <v>0</v>
      </c>
      <c r="AP42" s="17"/>
      <c r="AQ42" s="17"/>
      <c r="AR42" s="17">
        <f t="shared" si="5"/>
        <v>0</v>
      </c>
      <c r="AS42" s="17"/>
      <c r="AT42" s="17">
        <f t="shared" si="6"/>
        <v>0</v>
      </c>
      <c r="AU42" s="15">
        <f t="shared" si="7"/>
        <v>0</v>
      </c>
      <c r="AV42" s="17">
        <f t="shared" si="8"/>
        <v>0</v>
      </c>
      <c r="AW42" s="15">
        <f>'Tổng hợp VT'!K48</f>
        <v>16500</v>
      </c>
      <c r="AX42" s="17">
        <f t="shared" si="9"/>
        <v>16500</v>
      </c>
      <c r="AY42" s="17">
        <f t="shared" si="10"/>
        <v>615978</v>
      </c>
      <c r="AZ42" s="34">
        <v>1</v>
      </c>
    </row>
    <row r="43" spans="1:52" ht="41.25" customHeight="1">
      <c r="A43" s="106">
        <v>38</v>
      </c>
      <c r="B43" s="107" t="s">
        <v>484</v>
      </c>
      <c r="C43" s="14" t="s">
        <v>485</v>
      </c>
      <c r="D43" s="107" t="s">
        <v>393</v>
      </c>
      <c r="E43" s="108">
        <f>'Tổng hợp VT'!E49</f>
        <v>145509.2438</v>
      </c>
      <c r="F43" s="20" t="s">
        <v>750</v>
      </c>
      <c r="G43" s="109">
        <v>1E-3</v>
      </c>
      <c r="H43" s="20"/>
      <c r="I43" s="110" t="s">
        <v>743</v>
      </c>
      <c r="J43" s="51">
        <v>1</v>
      </c>
      <c r="K43" s="81">
        <v>1</v>
      </c>
      <c r="L43" s="108"/>
      <c r="M43" s="89"/>
      <c r="N43" s="18"/>
      <c r="O43" s="17">
        <v>1</v>
      </c>
      <c r="P43" s="89"/>
      <c r="Q43" s="108">
        <v>0</v>
      </c>
      <c r="R43" s="111">
        <v>0</v>
      </c>
      <c r="S43" s="111">
        <v>0</v>
      </c>
      <c r="T43" s="108">
        <v>0</v>
      </c>
      <c r="U43" s="17">
        <v>1</v>
      </c>
      <c r="V43" s="17">
        <v>1</v>
      </c>
      <c r="W43" s="112"/>
      <c r="X43" s="112"/>
      <c r="Y43" s="112"/>
      <c r="Z43" s="112"/>
      <c r="AA43" s="112"/>
      <c r="AB43" s="113"/>
      <c r="AC43" s="15">
        <v>1</v>
      </c>
      <c r="AD43" s="114">
        <f t="shared" si="0"/>
        <v>0</v>
      </c>
      <c r="AE43" s="15">
        <v>0</v>
      </c>
      <c r="AF43" s="15">
        <f t="shared" si="1"/>
        <v>0</v>
      </c>
      <c r="AG43" s="17">
        <v>1</v>
      </c>
      <c r="AH43" s="15">
        <f t="shared" si="2"/>
        <v>0</v>
      </c>
      <c r="AI43" s="17"/>
      <c r="AJ43" s="17"/>
      <c r="AK43" s="17"/>
      <c r="AL43" s="17"/>
      <c r="AM43" s="17">
        <f t="shared" si="3"/>
        <v>0</v>
      </c>
      <c r="AN43" s="17"/>
      <c r="AO43" s="17">
        <f t="shared" si="4"/>
        <v>0</v>
      </c>
      <c r="AP43" s="17"/>
      <c r="AQ43" s="17"/>
      <c r="AR43" s="17">
        <f t="shared" si="5"/>
        <v>0</v>
      </c>
      <c r="AS43" s="17"/>
      <c r="AT43" s="17">
        <f t="shared" si="6"/>
        <v>0</v>
      </c>
      <c r="AU43" s="15">
        <f t="shared" si="7"/>
        <v>0</v>
      </c>
      <c r="AV43" s="17">
        <f t="shared" si="8"/>
        <v>0</v>
      </c>
      <c r="AW43" s="15">
        <f>'Tổng hợp VT'!K49</f>
        <v>1481</v>
      </c>
      <c r="AX43" s="17">
        <f t="shared" si="9"/>
        <v>1481</v>
      </c>
      <c r="AY43" s="17">
        <f t="shared" si="10"/>
        <v>215499190</v>
      </c>
      <c r="AZ43" s="34">
        <v>1</v>
      </c>
    </row>
    <row r="44" spans="1:52" ht="41.25" customHeight="1">
      <c r="A44" s="115">
        <v>39</v>
      </c>
      <c r="B44" s="116" t="s">
        <v>487</v>
      </c>
      <c r="C44" s="25" t="s">
        <v>488</v>
      </c>
      <c r="D44" s="116" t="s">
        <v>393</v>
      </c>
      <c r="E44" s="117">
        <f>'Tổng hợp VT'!E50</f>
        <v>453.54669999999999</v>
      </c>
      <c r="F44" s="31" t="s">
        <v>750</v>
      </c>
      <c r="G44" s="118">
        <v>1E-3</v>
      </c>
      <c r="H44" s="31"/>
      <c r="I44" s="119" t="s">
        <v>743</v>
      </c>
      <c r="J44" s="56">
        <v>1</v>
      </c>
      <c r="K44" s="85">
        <v>1</v>
      </c>
      <c r="L44" s="117"/>
      <c r="M44" s="96"/>
      <c r="N44" s="29"/>
      <c r="O44" s="28">
        <v>1</v>
      </c>
      <c r="P44" s="96"/>
      <c r="Q44" s="117">
        <v>0</v>
      </c>
      <c r="R44" s="120">
        <v>0</v>
      </c>
      <c r="S44" s="120">
        <v>0</v>
      </c>
      <c r="T44" s="117">
        <v>0</v>
      </c>
      <c r="U44" s="28">
        <v>1</v>
      </c>
      <c r="V44" s="28">
        <v>1</v>
      </c>
      <c r="W44" s="121"/>
      <c r="X44" s="121"/>
      <c r="Y44" s="121"/>
      <c r="Z44" s="121"/>
      <c r="AA44" s="121"/>
      <c r="AB44" s="122"/>
      <c r="AC44" s="26">
        <v>1</v>
      </c>
      <c r="AD44" s="123">
        <f t="shared" si="0"/>
        <v>0</v>
      </c>
      <c r="AE44" s="26">
        <v>0</v>
      </c>
      <c r="AF44" s="26">
        <f t="shared" si="1"/>
        <v>0</v>
      </c>
      <c r="AG44" s="28">
        <v>1</v>
      </c>
      <c r="AH44" s="26">
        <f t="shared" si="2"/>
        <v>0</v>
      </c>
      <c r="AI44" s="28"/>
      <c r="AJ44" s="28"/>
      <c r="AK44" s="28"/>
      <c r="AL44" s="28"/>
      <c r="AM44" s="28">
        <f t="shared" si="3"/>
        <v>0</v>
      </c>
      <c r="AN44" s="28"/>
      <c r="AO44" s="28">
        <f t="shared" si="4"/>
        <v>0</v>
      </c>
      <c r="AP44" s="28"/>
      <c r="AQ44" s="28"/>
      <c r="AR44" s="28">
        <f t="shared" si="5"/>
        <v>0</v>
      </c>
      <c r="AS44" s="28"/>
      <c r="AT44" s="28">
        <f t="shared" si="6"/>
        <v>0</v>
      </c>
      <c r="AU44" s="26">
        <f t="shared" si="7"/>
        <v>0</v>
      </c>
      <c r="AV44" s="28">
        <f t="shared" si="8"/>
        <v>0</v>
      </c>
      <c r="AW44" s="26">
        <f>'Tổng hợp VT'!K50</f>
        <v>1500</v>
      </c>
      <c r="AX44" s="28">
        <f t="shared" si="9"/>
        <v>1500</v>
      </c>
      <c r="AY44" s="28">
        <f t="shared" si="10"/>
        <v>680320</v>
      </c>
      <c r="AZ44" s="34">
        <v>1</v>
      </c>
    </row>
  </sheetData>
  <mergeCells count="46">
    <mergeCell ref="A1:AY1"/>
    <mergeCell ref="A2:AY2"/>
    <mergeCell ref="A4:A5"/>
    <mergeCell ref="B4:B5"/>
    <mergeCell ref="C4:C5"/>
    <mergeCell ref="D4:D5"/>
    <mergeCell ref="E4:E5"/>
    <mergeCell ref="F4:F5"/>
    <mergeCell ref="G4:G5"/>
    <mergeCell ref="H4:H5"/>
    <mergeCell ref="I4:I5"/>
    <mergeCell ref="J4:J5"/>
    <mergeCell ref="K4:K5"/>
    <mergeCell ref="L4:L5"/>
    <mergeCell ref="U4:U5"/>
    <mergeCell ref="AS4:AS5"/>
    <mergeCell ref="V4:V5"/>
    <mergeCell ref="AA4:AA5"/>
    <mergeCell ref="AU4:AU5"/>
    <mergeCell ref="AV4:AV5"/>
    <mergeCell ref="AW4:AW5"/>
    <mergeCell ref="Y4:Y5"/>
    <mergeCell ref="Z4:Z5"/>
    <mergeCell ref="AT4:AT5"/>
    <mergeCell ref="AI4:AI5"/>
    <mergeCell ref="AJ4:AJ5"/>
    <mergeCell ref="AK4:AK5"/>
    <mergeCell ref="AL4:AL5"/>
    <mergeCell ref="AM4:AM5"/>
    <mergeCell ref="AN4:AN5"/>
    <mergeCell ref="AX4:AX5"/>
    <mergeCell ref="AY4:AY5"/>
    <mergeCell ref="M4:T4"/>
    <mergeCell ref="AO4:AO5"/>
    <mergeCell ref="AP4:AP5"/>
    <mergeCell ref="AQ4:AQ5"/>
    <mergeCell ref="AR4:AR5"/>
    <mergeCell ref="AG4:AG5"/>
    <mergeCell ref="AH4:AH5"/>
    <mergeCell ref="AB4:AB5"/>
    <mergeCell ref="AC4:AC5"/>
    <mergeCell ref="AD4:AD5"/>
    <mergeCell ref="AE4:AE5"/>
    <mergeCell ref="AF4:AF5"/>
    <mergeCell ref="W4:W5"/>
    <mergeCell ref="X4:X5"/>
  </mergeCells>
  <pageMargins left="1.0208333333333333"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B44"/>
  <sheetViews>
    <sheetView workbookViewId="0"/>
  </sheetViews>
  <sheetFormatPr defaultColWidth="10" defaultRowHeight="15" customHeight="1"/>
  <cols>
    <col min="1" max="1" width="6.6640625" style="124" customWidth="1"/>
    <col min="2" max="2" width="13.1640625" style="124" customWidth="1"/>
    <col min="3" max="3" width="15.83203125" style="34" customWidth="1"/>
    <col min="4" max="4" width="6.6640625" style="124" customWidth="1"/>
    <col min="5" max="5" width="13.33203125" style="124" hidden="1" customWidth="1"/>
    <col min="6" max="6" width="46.1640625" style="34" hidden="1" customWidth="1"/>
    <col min="7" max="7" width="11.1640625" style="34" customWidth="1"/>
    <col min="8" max="8" width="5.83203125" style="34" customWidth="1"/>
    <col min="9" max="9" width="9.5" style="34" customWidth="1"/>
    <col min="10" max="10" width="6" style="34" customWidth="1"/>
    <col min="11" max="11" width="9.5" style="124" customWidth="1"/>
    <col min="12" max="17" width="13.33203125" style="34" customWidth="1"/>
    <col min="18" max="18" width="7.5" style="34" customWidth="1"/>
    <col min="19" max="19" width="13.1640625" style="34" customWidth="1"/>
    <col min="20" max="22" width="7.5" style="34" customWidth="1"/>
    <col min="23" max="23" width="13.1640625" style="34" customWidth="1"/>
    <col min="24" max="24" width="18" style="124" hidden="1" customWidth="1"/>
    <col min="25" max="27" width="13.33203125" style="124" hidden="1" customWidth="1"/>
    <col min="28" max="16384" width="10" style="34"/>
  </cols>
  <sheetData>
    <row r="1" spans="1:28" ht="26.25" customHeight="1">
      <c r="A1" s="1015" t="s">
        <v>751</v>
      </c>
      <c r="B1" s="1016"/>
      <c r="C1" s="985"/>
      <c r="D1" s="1016"/>
      <c r="E1" s="1016"/>
      <c r="F1" s="985"/>
      <c r="G1" s="985"/>
      <c r="H1" s="985"/>
      <c r="I1" s="985"/>
      <c r="J1" s="985"/>
      <c r="K1" s="1016"/>
      <c r="L1" s="985"/>
      <c r="M1" s="985"/>
      <c r="N1" s="985"/>
      <c r="O1" s="985"/>
      <c r="P1" s="985"/>
      <c r="Q1" s="985"/>
      <c r="R1" s="985"/>
      <c r="S1" s="985"/>
      <c r="T1" s="985"/>
      <c r="U1" s="985"/>
      <c r="V1" s="985"/>
      <c r="W1" s="985"/>
      <c r="X1" s="1016"/>
      <c r="Y1" s="1016"/>
      <c r="Z1" s="1016"/>
      <c r="AA1" s="1016"/>
    </row>
    <row r="2" spans="1:28" ht="30" customHeight="1">
      <c r="A2" s="1017" t="str">
        <f>'Công trình'!A2</f>
        <v>CÔNG TRÌNH : SỬA CHỮA TUYẾN ĐƯỜNG TỪ NHÀ BÀ TRƯỜNG, TỔ 5 PHƯỜNG VẠN HƯƠNG ĐẾN NHÀ BÀ KIM, TỔ DÂN PHỐ BẮC HẢI PHƯỜNG BÀNG LA</v>
      </c>
      <c r="B2" s="1016"/>
      <c r="C2" s="985"/>
      <c r="D2" s="1016"/>
      <c r="E2" s="1016"/>
      <c r="F2" s="985"/>
      <c r="G2" s="985"/>
      <c r="H2" s="985"/>
      <c r="I2" s="985"/>
      <c r="J2" s="985"/>
      <c r="K2" s="1016"/>
      <c r="L2" s="985"/>
      <c r="M2" s="985"/>
      <c r="N2" s="985"/>
      <c r="O2" s="985"/>
      <c r="P2" s="985"/>
      <c r="Q2" s="985"/>
      <c r="R2" s="985"/>
      <c r="S2" s="985"/>
      <c r="T2" s="985"/>
      <c r="U2" s="985"/>
      <c r="V2" s="985"/>
      <c r="W2" s="985"/>
      <c r="X2" s="1016"/>
      <c r="Y2" s="1016"/>
      <c r="Z2" s="1016"/>
      <c r="AA2" s="1016"/>
    </row>
    <row r="3" spans="1:28" ht="15" hidden="1" customHeight="1"/>
    <row r="4" spans="1:28" ht="67.5" customHeight="1">
      <c r="A4" s="1018" t="s">
        <v>4</v>
      </c>
      <c r="B4" s="1013" t="s">
        <v>357</v>
      </c>
      <c r="C4" s="1002" t="s">
        <v>752</v>
      </c>
      <c r="D4" s="1013" t="s">
        <v>694</v>
      </c>
      <c r="E4" s="1013" t="s">
        <v>695</v>
      </c>
      <c r="F4" s="1002" t="s">
        <v>696</v>
      </c>
      <c r="G4" s="1002" t="s">
        <v>753</v>
      </c>
      <c r="H4" s="1002" t="s">
        <v>754</v>
      </c>
      <c r="I4" s="1002" t="s">
        <v>755</v>
      </c>
      <c r="J4" s="1002" t="s">
        <v>756</v>
      </c>
      <c r="K4" s="1013" t="s">
        <v>757</v>
      </c>
      <c r="L4" s="1005" t="s">
        <v>758</v>
      </c>
      <c r="M4" s="1005" t="str">
        <f>""</f>
        <v/>
      </c>
      <c r="N4" s="1006" t="str">
        <f>""</f>
        <v/>
      </c>
      <c r="O4" s="1005" t="s">
        <v>759</v>
      </c>
      <c r="P4" s="1005" t="str">
        <f>""</f>
        <v/>
      </c>
      <c r="Q4" s="1006" t="str">
        <f>""</f>
        <v/>
      </c>
      <c r="R4" s="1002" t="s">
        <v>760</v>
      </c>
      <c r="S4" s="1002" t="s">
        <v>761</v>
      </c>
      <c r="T4" s="1002" t="s">
        <v>762</v>
      </c>
      <c r="U4" s="1002" t="s">
        <v>763</v>
      </c>
      <c r="V4" s="1002" t="s">
        <v>764</v>
      </c>
      <c r="W4" s="1002" t="s">
        <v>765</v>
      </c>
      <c r="X4" s="1013" t="s">
        <v>766</v>
      </c>
      <c r="Y4" s="1013" t="s">
        <v>732</v>
      </c>
      <c r="Z4" s="1013" t="s">
        <v>733</v>
      </c>
      <c r="AA4" s="1013" t="s">
        <v>734</v>
      </c>
      <c r="AB4" s="125" t="s">
        <v>767</v>
      </c>
    </row>
    <row r="5" spans="1:28" ht="28.5" customHeight="1">
      <c r="A5" s="1019" t="str">
        <f>""</f>
        <v/>
      </c>
      <c r="B5" s="1014" t="str">
        <f>""</f>
        <v/>
      </c>
      <c r="C5" s="1010" t="str">
        <f>""</f>
        <v/>
      </c>
      <c r="D5" s="1014" t="str">
        <f>""</f>
        <v/>
      </c>
      <c r="E5" s="1014" t="str">
        <f>""</f>
        <v/>
      </c>
      <c r="F5" s="1010" t="str">
        <f>""</f>
        <v/>
      </c>
      <c r="G5" s="1010" t="str">
        <f>""</f>
        <v/>
      </c>
      <c r="H5" s="1010" t="str">
        <f>""</f>
        <v/>
      </c>
      <c r="I5" s="1010" t="str">
        <f>""</f>
        <v/>
      </c>
      <c r="J5" s="1010" t="str">
        <f>""</f>
        <v/>
      </c>
      <c r="K5" s="1014" t="str">
        <f>""</f>
        <v/>
      </c>
      <c r="L5" s="2" t="s">
        <v>768</v>
      </c>
      <c r="M5" s="2" t="s">
        <v>769</v>
      </c>
      <c r="N5" s="2" t="s">
        <v>770</v>
      </c>
      <c r="O5" s="2" t="s">
        <v>768</v>
      </c>
      <c r="P5" s="2" t="s">
        <v>769</v>
      </c>
      <c r="Q5" s="2" t="s">
        <v>770</v>
      </c>
      <c r="R5" s="1010" t="str">
        <f>""</f>
        <v/>
      </c>
      <c r="S5" s="1010" t="str">
        <f>""</f>
        <v/>
      </c>
      <c r="T5" s="1010" t="str">
        <f>""</f>
        <v/>
      </c>
      <c r="U5" s="1010" t="str">
        <f>""</f>
        <v/>
      </c>
      <c r="V5" s="1010" t="str">
        <f>""</f>
        <v/>
      </c>
      <c r="W5" s="1010" t="str">
        <f>""</f>
        <v/>
      </c>
      <c r="X5" s="1014" t="str">
        <f>""</f>
        <v/>
      </c>
      <c r="Y5" s="1014" t="str">
        <f>""</f>
        <v/>
      </c>
      <c r="Z5" s="1014" t="str">
        <f>""</f>
        <v/>
      </c>
      <c r="AA5" s="1014" t="str">
        <f>""</f>
        <v/>
      </c>
      <c r="AB5" s="126">
        <v>100000</v>
      </c>
    </row>
    <row r="6" spans="1:28" ht="16.5" customHeight="1">
      <c r="A6" s="106">
        <v>1</v>
      </c>
      <c r="B6" s="107" t="s">
        <v>366</v>
      </c>
      <c r="C6" s="14" t="s">
        <v>367</v>
      </c>
      <c r="D6" s="107" t="s">
        <v>116</v>
      </c>
      <c r="E6" s="108">
        <f>'Tổng hợp VT'!E11</f>
        <v>106.8</v>
      </c>
      <c r="F6" s="20"/>
      <c r="G6" s="110"/>
      <c r="H6" s="18" t="b">
        <v>0</v>
      </c>
      <c r="I6" s="89"/>
      <c r="J6" s="17">
        <v>1</v>
      </c>
      <c r="K6" s="108"/>
      <c r="L6" s="113"/>
      <c r="M6" s="113"/>
      <c r="N6" s="113"/>
      <c r="O6" s="15"/>
      <c r="P6" s="15"/>
      <c r="Q6" s="15"/>
      <c r="R6" s="17">
        <v>1</v>
      </c>
      <c r="S6" s="15"/>
      <c r="T6" s="17">
        <v>1</v>
      </c>
      <c r="U6" s="17">
        <v>1</v>
      </c>
      <c r="V6" s="113">
        <v>1</v>
      </c>
      <c r="W6" s="15">
        <f t="shared" ref="W6:W44" si="0">ROUND(SUM(S6:S6)*T6*U6*V6,1)</f>
        <v>0</v>
      </c>
      <c r="X6" s="114"/>
      <c r="Y6" s="114">
        <f>'Tổng hợp VT'!K11</f>
        <v>12000</v>
      </c>
      <c r="Z6" s="111">
        <f t="shared" ref="Z6:Z44" si="1">ROUND(W6+Y6,0)</f>
        <v>12000</v>
      </c>
      <c r="AA6" s="111">
        <f t="shared" ref="AA6:AA44" si="2">ROUND(E6*Z6,0)</f>
        <v>1281600</v>
      </c>
    </row>
    <row r="7" spans="1:28" ht="16.5" customHeight="1">
      <c r="A7" s="106">
        <v>2</v>
      </c>
      <c r="B7" s="107" t="s">
        <v>370</v>
      </c>
      <c r="C7" s="14" t="s">
        <v>371</v>
      </c>
      <c r="D7" s="107" t="s">
        <v>43</v>
      </c>
      <c r="E7" s="108">
        <f>'Tổng hợp VT'!E12</f>
        <v>18.181799999999999</v>
      </c>
      <c r="F7" s="20" t="s">
        <v>771</v>
      </c>
      <c r="G7" s="110"/>
      <c r="H7" s="18" t="b">
        <v>0</v>
      </c>
      <c r="I7" s="89"/>
      <c r="J7" s="17">
        <v>1</v>
      </c>
      <c r="K7" s="108"/>
      <c r="L7" s="113"/>
      <c r="M7" s="113"/>
      <c r="N7" s="113"/>
      <c r="O7" s="15"/>
      <c r="P7" s="15"/>
      <c r="Q7" s="15"/>
      <c r="R7" s="17">
        <v>1</v>
      </c>
      <c r="S7" s="15"/>
      <c r="T7" s="17">
        <v>1</v>
      </c>
      <c r="U7" s="17">
        <v>1</v>
      </c>
      <c r="V7" s="113">
        <v>1</v>
      </c>
      <c r="W7" s="15">
        <f t="shared" si="0"/>
        <v>0</v>
      </c>
      <c r="X7" s="114"/>
      <c r="Y7" s="114">
        <f>'Tổng hợp VT'!K12</f>
        <v>150000</v>
      </c>
      <c r="Z7" s="111">
        <f t="shared" si="1"/>
        <v>150000</v>
      </c>
      <c r="AA7" s="111">
        <f t="shared" si="2"/>
        <v>2727270</v>
      </c>
    </row>
    <row r="8" spans="1:28" ht="28.5" customHeight="1">
      <c r="A8" s="106">
        <v>3</v>
      </c>
      <c r="B8" s="107" t="s">
        <v>373</v>
      </c>
      <c r="C8" s="14" t="s">
        <v>374</v>
      </c>
      <c r="D8" s="107" t="s">
        <v>43</v>
      </c>
      <c r="E8" s="108">
        <f>'Tổng hợp VT'!E13</f>
        <v>0.27310000000000001</v>
      </c>
      <c r="F8" s="20" t="s">
        <v>771</v>
      </c>
      <c r="G8" s="110"/>
      <c r="H8" s="18" t="b">
        <v>0</v>
      </c>
      <c r="I8" s="89"/>
      <c r="J8" s="17">
        <v>1</v>
      </c>
      <c r="K8" s="108"/>
      <c r="L8" s="113"/>
      <c r="M8" s="113"/>
      <c r="N8" s="113"/>
      <c r="O8" s="15"/>
      <c r="P8" s="15"/>
      <c r="Q8" s="15"/>
      <c r="R8" s="17">
        <v>1</v>
      </c>
      <c r="S8" s="15"/>
      <c r="T8" s="17">
        <v>1</v>
      </c>
      <c r="U8" s="17">
        <v>1</v>
      </c>
      <c r="V8" s="113">
        <v>1</v>
      </c>
      <c r="W8" s="15">
        <f t="shared" si="0"/>
        <v>0</v>
      </c>
      <c r="X8" s="114"/>
      <c r="Y8" s="114">
        <f>'Tổng hợp VT'!K13</f>
        <v>445000</v>
      </c>
      <c r="Z8" s="111">
        <f t="shared" si="1"/>
        <v>445000</v>
      </c>
      <c r="AA8" s="111">
        <f t="shared" si="2"/>
        <v>121530</v>
      </c>
    </row>
    <row r="9" spans="1:28" ht="28.5" customHeight="1">
      <c r="A9" s="106">
        <v>4</v>
      </c>
      <c r="B9" s="107" t="s">
        <v>376</v>
      </c>
      <c r="C9" s="14" t="s">
        <v>377</v>
      </c>
      <c r="D9" s="107" t="s">
        <v>43</v>
      </c>
      <c r="E9" s="108">
        <f>'Tổng hợp VT'!E14</f>
        <v>10.3908</v>
      </c>
      <c r="F9" s="20" t="s">
        <v>771</v>
      </c>
      <c r="G9" s="110"/>
      <c r="H9" s="18" t="b">
        <v>0</v>
      </c>
      <c r="I9" s="89"/>
      <c r="J9" s="17">
        <v>1</v>
      </c>
      <c r="K9" s="108"/>
      <c r="L9" s="113"/>
      <c r="M9" s="113"/>
      <c r="N9" s="113"/>
      <c r="O9" s="15"/>
      <c r="P9" s="15"/>
      <c r="Q9" s="15"/>
      <c r="R9" s="17">
        <v>1</v>
      </c>
      <c r="S9" s="15"/>
      <c r="T9" s="17">
        <v>1</v>
      </c>
      <c r="U9" s="17">
        <v>1</v>
      </c>
      <c r="V9" s="113">
        <v>1</v>
      </c>
      <c r="W9" s="15">
        <f t="shared" si="0"/>
        <v>0</v>
      </c>
      <c r="X9" s="114"/>
      <c r="Y9" s="114">
        <f>'Tổng hợp VT'!K14</f>
        <v>445000</v>
      </c>
      <c r="Z9" s="111">
        <f t="shared" si="1"/>
        <v>445000</v>
      </c>
      <c r="AA9" s="111">
        <f t="shared" si="2"/>
        <v>4623906</v>
      </c>
    </row>
    <row r="10" spans="1:28" ht="16.5" customHeight="1">
      <c r="A10" s="106">
        <v>5</v>
      </c>
      <c r="B10" s="107" t="s">
        <v>378</v>
      </c>
      <c r="C10" s="14" t="s">
        <v>379</v>
      </c>
      <c r="D10" s="107" t="s">
        <v>43</v>
      </c>
      <c r="E10" s="108">
        <f>'Tổng hợp VT'!E15</f>
        <v>198.0514</v>
      </c>
      <c r="F10" s="20" t="s">
        <v>771</v>
      </c>
      <c r="G10" s="110"/>
      <c r="H10" s="18" t="b">
        <v>0</v>
      </c>
      <c r="I10" s="89"/>
      <c r="J10" s="17">
        <v>1</v>
      </c>
      <c r="K10" s="108"/>
      <c r="L10" s="113"/>
      <c r="M10" s="113"/>
      <c r="N10" s="113"/>
      <c r="O10" s="15"/>
      <c r="P10" s="15"/>
      <c r="Q10" s="15"/>
      <c r="R10" s="17">
        <v>1</v>
      </c>
      <c r="S10" s="15"/>
      <c r="T10" s="17">
        <v>1</v>
      </c>
      <c r="U10" s="17">
        <v>1</v>
      </c>
      <c r="V10" s="113">
        <v>1</v>
      </c>
      <c r="W10" s="15">
        <f t="shared" si="0"/>
        <v>0</v>
      </c>
      <c r="X10" s="114"/>
      <c r="Y10" s="114">
        <f>'Tổng hợp VT'!K15</f>
        <v>480000</v>
      </c>
      <c r="Z10" s="111">
        <f t="shared" si="1"/>
        <v>480000</v>
      </c>
      <c r="AA10" s="111">
        <f t="shared" si="2"/>
        <v>95064672</v>
      </c>
    </row>
    <row r="11" spans="1:28" ht="28.5" customHeight="1">
      <c r="A11" s="106">
        <v>6</v>
      </c>
      <c r="B11" s="107" t="s">
        <v>381</v>
      </c>
      <c r="C11" s="14" t="s">
        <v>382</v>
      </c>
      <c r="D11" s="107" t="s">
        <v>43</v>
      </c>
      <c r="E11" s="108">
        <f>'Tổng hợp VT'!E16</f>
        <v>418.53559999999999</v>
      </c>
      <c r="F11" s="20" t="s">
        <v>772</v>
      </c>
      <c r="G11" s="110"/>
      <c r="H11" s="18" t="b">
        <v>0</v>
      </c>
      <c r="I11" s="89"/>
      <c r="J11" s="17">
        <v>1</v>
      </c>
      <c r="K11" s="108"/>
      <c r="L11" s="113"/>
      <c r="M11" s="113"/>
      <c r="N11" s="113"/>
      <c r="O11" s="15"/>
      <c r="P11" s="15"/>
      <c r="Q11" s="15"/>
      <c r="R11" s="17">
        <v>1</v>
      </c>
      <c r="S11" s="15"/>
      <c r="T11" s="17">
        <v>1</v>
      </c>
      <c r="U11" s="17">
        <v>1</v>
      </c>
      <c r="V11" s="113">
        <v>1</v>
      </c>
      <c r="W11" s="15">
        <f t="shared" si="0"/>
        <v>0</v>
      </c>
      <c r="X11" s="114"/>
      <c r="Y11" s="114">
        <f>'Tổng hợp VT'!K16</f>
        <v>270000</v>
      </c>
      <c r="Z11" s="111">
        <f t="shared" si="1"/>
        <v>270000</v>
      </c>
      <c r="AA11" s="111">
        <f t="shared" si="2"/>
        <v>113004612</v>
      </c>
    </row>
    <row r="12" spans="1:28" ht="16.5" customHeight="1">
      <c r="A12" s="106">
        <v>7</v>
      </c>
      <c r="B12" s="107" t="s">
        <v>384</v>
      </c>
      <c r="C12" s="14" t="s">
        <v>385</v>
      </c>
      <c r="D12" s="107" t="s">
        <v>386</v>
      </c>
      <c r="E12" s="108">
        <f>'Tổng hợp VT'!E17</f>
        <v>2.4750000000000001</v>
      </c>
      <c r="F12" s="20" t="s">
        <v>773</v>
      </c>
      <c r="G12" s="110"/>
      <c r="H12" s="18" t="b">
        <v>0</v>
      </c>
      <c r="I12" s="89"/>
      <c r="J12" s="17">
        <v>1</v>
      </c>
      <c r="K12" s="108"/>
      <c r="L12" s="113"/>
      <c r="M12" s="113"/>
      <c r="N12" s="113"/>
      <c r="O12" s="15"/>
      <c r="P12" s="15"/>
      <c r="Q12" s="15"/>
      <c r="R12" s="17">
        <v>1</v>
      </c>
      <c r="S12" s="15"/>
      <c r="T12" s="17">
        <v>1</v>
      </c>
      <c r="U12" s="17">
        <v>1</v>
      </c>
      <c r="V12" s="113">
        <v>0.01</v>
      </c>
      <c r="W12" s="15">
        <f t="shared" si="0"/>
        <v>0</v>
      </c>
      <c r="X12" s="114"/>
      <c r="Y12" s="114">
        <f>'Tổng hợp VT'!K17</f>
        <v>22000</v>
      </c>
      <c r="Z12" s="111">
        <f t="shared" si="1"/>
        <v>22000</v>
      </c>
      <c r="AA12" s="111">
        <f t="shared" si="2"/>
        <v>54450</v>
      </c>
    </row>
    <row r="13" spans="1:28" ht="16.5" customHeight="1">
      <c r="A13" s="106">
        <v>8</v>
      </c>
      <c r="B13" s="107" t="s">
        <v>388</v>
      </c>
      <c r="C13" s="14" t="s">
        <v>389</v>
      </c>
      <c r="D13" s="107" t="s">
        <v>116</v>
      </c>
      <c r="E13" s="108">
        <f>'Tổng hợp VT'!E18</f>
        <v>627.9</v>
      </c>
      <c r="F13" s="20"/>
      <c r="G13" s="110"/>
      <c r="H13" s="18" t="b">
        <v>0</v>
      </c>
      <c r="I13" s="89"/>
      <c r="J13" s="17">
        <v>1</v>
      </c>
      <c r="K13" s="108"/>
      <c r="L13" s="113"/>
      <c r="M13" s="113"/>
      <c r="N13" s="113"/>
      <c r="O13" s="15"/>
      <c r="P13" s="15"/>
      <c r="Q13" s="15"/>
      <c r="R13" s="17">
        <v>1</v>
      </c>
      <c r="S13" s="15"/>
      <c r="T13" s="17">
        <v>1</v>
      </c>
      <c r="U13" s="17">
        <v>1</v>
      </c>
      <c r="V13" s="113">
        <v>1</v>
      </c>
      <c r="W13" s="15">
        <f t="shared" si="0"/>
        <v>0</v>
      </c>
      <c r="X13" s="114"/>
      <c r="Y13" s="114">
        <f>'Tổng hợp VT'!K18</f>
        <v>5200</v>
      </c>
      <c r="Z13" s="111">
        <f t="shared" si="1"/>
        <v>5200</v>
      </c>
      <c r="AA13" s="111">
        <f t="shared" si="2"/>
        <v>3265080</v>
      </c>
    </row>
    <row r="14" spans="1:28" ht="16.5" customHeight="1">
      <c r="A14" s="106">
        <v>9</v>
      </c>
      <c r="B14" s="107" t="s">
        <v>391</v>
      </c>
      <c r="C14" s="14" t="s">
        <v>392</v>
      </c>
      <c r="D14" s="107" t="s">
        <v>393</v>
      </c>
      <c r="E14" s="108">
        <f>'Tổng hợp VT'!E19</f>
        <v>17.198699999999999</v>
      </c>
      <c r="F14" s="20" t="s">
        <v>746</v>
      </c>
      <c r="G14" s="110"/>
      <c r="H14" s="18" t="b">
        <v>0</v>
      </c>
      <c r="I14" s="89"/>
      <c r="J14" s="17">
        <v>1</v>
      </c>
      <c r="K14" s="108"/>
      <c r="L14" s="113"/>
      <c r="M14" s="113"/>
      <c r="N14" s="113"/>
      <c r="O14" s="15"/>
      <c r="P14" s="15"/>
      <c r="Q14" s="15"/>
      <c r="R14" s="17">
        <v>1</v>
      </c>
      <c r="S14" s="15"/>
      <c r="T14" s="17">
        <v>1</v>
      </c>
      <c r="U14" s="17">
        <v>1</v>
      </c>
      <c r="V14" s="113">
        <v>1E-3</v>
      </c>
      <c r="W14" s="15">
        <f t="shared" si="0"/>
        <v>0</v>
      </c>
      <c r="X14" s="114"/>
      <c r="Y14" s="114">
        <f>'Tổng hợp VT'!K19</f>
        <v>24000</v>
      </c>
      <c r="Z14" s="111">
        <f t="shared" si="1"/>
        <v>24000</v>
      </c>
      <c r="AA14" s="111">
        <f t="shared" si="2"/>
        <v>412769</v>
      </c>
    </row>
    <row r="15" spans="1:28" ht="16.5" customHeight="1">
      <c r="A15" s="106">
        <v>10</v>
      </c>
      <c r="B15" s="107" t="s">
        <v>395</v>
      </c>
      <c r="C15" s="14" t="s">
        <v>396</v>
      </c>
      <c r="D15" s="107" t="s">
        <v>43</v>
      </c>
      <c r="E15" s="108">
        <f>'Tổng hợp VT'!E20</f>
        <v>14.128399999999999</v>
      </c>
      <c r="F15" s="20" t="s">
        <v>772</v>
      </c>
      <c r="G15" s="110"/>
      <c r="H15" s="18" t="b">
        <v>0</v>
      </c>
      <c r="I15" s="89"/>
      <c r="J15" s="17">
        <v>1</v>
      </c>
      <c r="K15" s="108"/>
      <c r="L15" s="113"/>
      <c r="M15" s="113"/>
      <c r="N15" s="113"/>
      <c r="O15" s="15"/>
      <c r="P15" s="15"/>
      <c r="Q15" s="15"/>
      <c r="R15" s="17">
        <v>1</v>
      </c>
      <c r="S15" s="15"/>
      <c r="T15" s="17">
        <v>1</v>
      </c>
      <c r="U15" s="17">
        <v>1</v>
      </c>
      <c r="V15" s="113">
        <v>1</v>
      </c>
      <c r="W15" s="15">
        <f t="shared" si="0"/>
        <v>0</v>
      </c>
      <c r="X15" s="114"/>
      <c r="Y15" s="114">
        <f>'Tổng hợp VT'!K20</f>
        <v>340000</v>
      </c>
      <c r="Z15" s="111">
        <f t="shared" si="1"/>
        <v>340000</v>
      </c>
      <c r="AA15" s="111">
        <f t="shared" si="2"/>
        <v>4803656</v>
      </c>
    </row>
    <row r="16" spans="1:28" ht="16.5" customHeight="1">
      <c r="A16" s="106">
        <v>11</v>
      </c>
      <c r="B16" s="107" t="s">
        <v>398</v>
      </c>
      <c r="C16" s="14" t="s">
        <v>399</v>
      </c>
      <c r="D16" s="107" t="s">
        <v>43</v>
      </c>
      <c r="E16" s="108">
        <f>'Tổng hợp VT'!E21</f>
        <v>305.17070000000001</v>
      </c>
      <c r="F16" s="20" t="s">
        <v>772</v>
      </c>
      <c r="G16" s="110"/>
      <c r="H16" s="18" t="b">
        <v>0</v>
      </c>
      <c r="I16" s="89"/>
      <c r="J16" s="17">
        <v>1</v>
      </c>
      <c r="K16" s="108"/>
      <c r="L16" s="113"/>
      <c r="M16" s="113"/>
      <c r="N16" s="113"/>
      <c r="O16" s="15"/>
      <c r="P16" s="15"/>
      <c r="Q16" s="15"/>
      <c r="R16" s="17">
        <v>1</v>
      </c>
      <c r="S16" s="15"/>
      <c r="T16" s="17">
        <v>1</v>
      </c>
      <c r="U16" s="17">
        <v>1</v>
      </c>
      <c r="V16" s="113">
        <v>1</v>
      </c>
      <c r="W16" s="15">
        <f t="shared" si="0"/>
        <v>0</v>
      </c>
      <c r="X16" s="114"/>
      <c r="Y16" s="114">
        <f>'Tổng hợp VT'!K21</f>
        <v>340000</v>
      </c>
      <c r="Z16" s="111">
        <f t="shared" si="1"/>
        <v>340000</v>
      </c>
      <c r="AA16" s="111">
        <f t="shared" si="2"/>
        <v>103758038</v>
      </c>
    </row>
    <row r="17" spans="1:27" ht="28.5" customHeight="1">
      <c r="A17" s="106">
        <v>12</v>
      </c>
      <c r="B17" s="107" t="s">
        <v>401</v>
      </c>
      <c r="C17" s="14" t="s">
        <v>402</v>
      </c>
      <c r="D17" s="107" t="s">
        <v>43</v>
      </c>
      <c r="E17" s="108">
        <f>'Tổng hợp VT'!E22</f>
        <v>71.555999999999997</v>
      </c>
      <c r="F17" s="20" t="s">
        <v>772</v>
      </c>
      <c r="G17" s="110"/>
      <c r="H17" s="18" t="b">
        <v>0</v>
      </c>
      <c r="I17" s="89"/>
      <c r="J17" s="17">
        <v>1</v>
      </c>
      <c r="K17" s="108"/>
      <c r="L17" s="113"/>
      <c r="M17" s="113"/>
      <c r="N17" s="113"/>
      <c r="O17" s="15"/>
      <c r="P17" s="15"/>
      <c r="Q17" s="15"/>
      <c r="R17" s="17">
        <v>1</v>
      </c>
      <c r="S17" s="15"/>
      <c r="T17" s="17">
        <v>1</v>
      </c>
      <c r="U17" s="17">
        <v>1</v>
      </c>
      <c r="V17" s="113">
        <v>1</v>
      </c>
      <c r="W17" s="15">
        <f t="shared" si="0"/>
        <v>0</v>
      </c>
      <c r="X17" s="114"/>
      <c r="Y17" s="114">
        <f>'Tổng hợp VT'!K22</f>
        <v>340000</v>
      </c>
      <c r="Z17" s="111">
        <f t="shared" si="1"/>
        <v>340000</v>
      </c>
      <c r="AA17" s="111">
        <f t="shared" si="2"/>
        <v>24329040</v>
      </c>
    </row>
    <row r="18" spans="1:27" ht="16.5" customHeight="1">
      <c r="A18" s="106">
        <v>13</v>
      </c>
      <c r="B18" s="107" t="s">
        <v>404</v>
      </c>
      <c r="C18" s="14" t="s">
        <v>405</v>
      </c>
      <c r="D18" s="107" t="s">
        <v>406</v>
      </c>
      <c r="E18" s="108">
        <f>'Tổng hợp VT'!E23</f>
        <v>0.28189999999999998</v>
      </c>
      <c r="F18" s="20"/>
      <c r="G18" s="110"/>
      <c r="H18" s="18" t="b">
        <v>0</v>
      </c>
      <c r="I18" s="89"/>
      <c r="J18" s="17">
        <v>1</v>
      </c>
      <c r="K18" s="108"/>
      <c r="L18" s="113"/>
      <c r="M18" s="113"/>
      <c r="N18" s="113"/>
      <c r="O18" s="15"/>
      <c r="P18" s="15"/>
      <c r="Q18" s="15"/>
      <c r="R18" s="17">
        <v>1</v>
      </c>
      <c r="S18" s="15"/>
      <c r="T18" s="17">
        <v>1</v>
      </c>
      <c r="U18" s="17">
        <v>1</v>
      </c>
      <c r="V18" s="113">
        <v>1</v>
      </c>
      <c r="W18" s="15">
        <f t="shared" si="0"/>
        <v>0</v>
      </c>
      <c r="X18" s="114"/>
      <c r="Y18" s="114">
        <f>'Tổng hợp VT'!K23</f>
        <v>35000</v>
      </c>
      <c r="Z18" s="111">
        <f t="shared" si="1"/>
        <v>35000</v>
      </c>
      <c r="AA18" s="111">
        <f t="shared" si="2"/>
        <v>9867</v>
      </c>
    </row>
    <row r="19" spans="1:27" ht="16.5" customHeight="1">
      <c r="A19" s="106">
        <v>14</v>
      </c>
      <c r="B19" s="107" t="s">
        <v>408</v>
      </c>
      <c r="C19" s="14" t="s">
        <v>409</v>
      </c>
      <c r="D19" s="107" t="s">
        <v>393</v>
      </c>
      <c r="E19" s="108">
        <f>'Tổng hợp VT'!E24</f>
        <v>8.8440999999999992</v>
      </c>
      <c r="F19" s="20" t="s">
        <v>746</v>
      </c>
      <c r="G19" s="110"/>
      <c r="H19" s="18" t="b">
        <v>0</v>
      </c>
      <c r="I19" s="89"/>
      <c r="J19" s="17">
        <v>1</v>
      </c>
      <c r="K19" s="108"/>
      <c r="L19" s="113"/>
      <c r="M19" s="113"/>
      <c r="N19" s="113"/>
      <c r="O19" s="15"/>
      <c r="P19" s="15"/>
      <c r="Q19" s="15"/>
      <c r="R19" s="17">
        <v>1</v>
      </c>
      <c r="S19" s="15"/>
      <c r="T19" s="17">
        <v>1</v>
      </c>
      <c r="U19" s="17">
        <v>1</v>
      </c>
      <c r="V19" s="113">
        <v>1E-3</v>
      </c>
      <c r="W19" s="15">
        <f t="shared" si="0"/>
        <v>0</v>
      </c>
      <c r="X19" s="114"/>
      <c r="Y19" s="114">
        <f>'Tổng hợp VT'!K24</f>
        <v>23000</v>
      </c>
      <c r="Z19" s="111">
        <f t="shared" si="1"/>
        <v>23000</v>
      </c>
      <c r="AA19" s="111">
        <f t="shared" si="2"/>
        <v>203414</v>
      </c>
    </row>
    <row r="20" spans="1:27" ht="41.25" customHeight="1">
      <c r="A20" s="106">
        <v>15</v>
      </c>
      <c r="B20" s="107" t="s">
        <v>411</v>
      </c>
      <c r="C20" s="14" t="s">
        <v>412</v>
      </c>
      <c r="D20" s="107" t="s">
        <v>406</v>
      </c>
      <c r="E20" s="108">
        <f>'Tổng hợp VT'!E25</f>
        <v>11858</v>
      </c>
      <c r="F20" s="20" t="s">
        <v>747</v>
      </c>
      <c r="G20" s="110"/>
      <c r="H20" s="18" t="b">
        <v>0</v>
      </c>
      <c r="I20" s="89"/>
      <c r="J20" s="17">
        <v>1</v>
      </c>
      <c r="K20" s="108"/>
      <c r="L20" s="113"/>
      <c r="M20" s="113"/>
      <c r="N20" s="113"/>
      <c r="O20" s="15"/>
      <c r="P20" s="15"/>
      <c r="Q20" s="15"/>
      <c r="R20" s="17">
        <v>1</v>
      </c>
      <c r="S20" s="15"/>
      <c r="T20" s="17">
        <v>1</v>
      </c>
      <c r="U20" s="17">
        <v>1</v>
      </c>
      <c r="V20" s="113">
        <v>1E-3</v>
      </c>
      <c r="W20" s="15">
        <f t="shared" si="0"/>
        <v>0</v>
      </c>
      <c r="X20" s="114"/>
      <c r="Y20" s="114">
        <f>'Tổng hợp VT'!K25</f>
        <v>1250</v>
      </c>
      <c r="Z20" s="111">
        <f t="shared" si="1"/>
        <v>1250</v>
      </c>
      <c r="AA20" s="111">
        <f t="shared" si="2"/>
        <v>14822500</v>
      </c>
    </row>
    <row r="21" spans="1:27" ht="16.5" customHeight="1">
      <c r="A21" s="106">
        <v>16</v>
      </c>
      <c r="B21" s="107" t="s">
        <v>414</v>
      </c>
      <c r="C21" s="14" t="s">
        <v>415</v>
      </c>
      <c r="D21" s="107" t="s">
        <v>43</v>
      </c>
      <c r="E21" s="108">
        <f>'Tổng hợp VT'!E26</f>
        <v>0.40160000000000001</v>
      </c>
      <c r="F21" s="20" t="s">
        <v>748</v>
      </c>
      <c r="G21" s="110"/>
      <c r="H21" s="18" t="b">
        <v>0</v>
      </c>
      <c r="I21" s="89"/>
      <c r="J21" s="17">
        <v>1</v>
      </c>
      <c r="K21" s="108"/>
      <c r="L21" s="113"/>
      <c r="M21" s="113"/>
      <c r="N21" s="113"/>
      <c r="O21" s="15"/>
      <c r="P21" s="15"/>
      <c r="Q21" s="15"/>
      <c r="R21" s="17">
        <v>1</v>
      </c>
      <c r="S21" s="15"/>
      <c r="T21" s="17">
        <v>1</v>
      </c>
      <c r="U21" s="17">
        <v>1</v>
      </c>
      <c r="V21" s="113">
        <v>1</v>
      </c>
      <c r="W21" s="15">
        <f t="shared" si="0"/>
        <v>0</v>
      </c>
      <c r="X21" s="114"/>
      <c r="Y21" s="114">
        <f>'Tổng hợp VT'!K26</f>
        <v>4318182</v>
      </c>
      <c r="Z21" s="111">
        <f t="shared" si="1"/>
        <v>4318182</v>
      </c>
      <c r="AA21" s="111">
        <f t="shared" si="2"/>
        <v>1734182</v>
      </c>
    </row>
    <row r="22" spans="1:27" ht="16.5" customHeight="1">
      <c r="A22" s="106">
        <v>17</v>
      </c>
      <c r="B22" s="107" t="s">
        <v>417</v>
      </c>
      <c r="C22" s="14" t="s">
        <v>418</v>
      </c>
      <c r="D22" s="107" t="s">
        <v>43</v>
      </c>
      <c r="E22" s="108">
        <f>'Tổng hợp VT'!E27</f>
        <v>0.1069</v>
      </c>
      <c r="F22" s="20" t="s">
        <v>748</v>
      </c>
      <c r="G22" s="110"/>
      <c r="H22" s="18" t="b">
        <v>0</v>
      </c>
      <c r="I22" s="89"/>
      <c r="J22" s="17">
        <v>1</v>
      </c>
      <c r="K22" s="108"/>
      <c r="L22" s="113"/>
      <c r="M22" s="113"/>
      <c r="N22" s="113"/>
      <c r="O22" s="15"/>
      <c r="P22" s="15"/>
      <c r="Q22" s="15"/>
      <c r="R22" s="17">
        <v>1</v>
      </c>
      <c r="S22" s="15"/>
      <c r="T22" s="17">
        <v>1</v>
      </c>
      <c r="U22" s="17">
        <v>1</v>
      </c>
      <c r="V22" s="113">
        <v>1</v>
      </c>
      <c r="W22" s="15">
        <f t="shared" si="0"/>
        <v>0</v>
      </c>
      <c r="X22" s="114"/>
      <c r="Y22" s="114">
        <f>'Tổng hợp VT'!K27</f>
        <v>4318182</v>
      </c>
      <c r="Z22" s="111">
        <f t="shared" si="1"/>
        <v>4318182</v>
      </c>
      <c r="AA22" s="111">
        <f t="shared" si="2"/>
        <v>461614</v>
      </c>
    </row>
    <row r="23" spans="1:27" ht="16.5" customHeight="1">
      <c r="A23" s="106">
        <v>18</v>
      </c>
      <c r="B23" s="107" t="s">
        <v>420</v>
      </c>
      <c r="C23" s="14" t="s">
        <v>421</v>
      </c>
      <c r="D23" s="107" t="s">
        <v>43</v>
      </c>
      <c r="E23" s="108">
        <f>'Tổng hợp VT'!E28</f>
        <v>0.44690000000000002</v>
      </c>
      <c r="F23" s="20" t="s">
        <v>748</v>
      </c>
      <c r="G23" s="110"/>
      <c r="H23" s="18" t="b">
        <v>0</v>
      </c>
      <c r="I23" s="89"/>
      <c r="J23" s="17">
        <v>1</v>
      </c>
      <c r="K23" s="108"/>
      <c r="L23" s="113"/>
      <c r="M23" s="113"/>
      <c r="N23" s="113"/>
      <c r="O23" s="15"/>
      <c r="P23" s="15"/>
      <c r="Q23" s="15"/>
      <c r="R23" s="17">
        <v>1</v>
      </c>
      <c r="S23" s="15"/>
      <c r="T23" s="17">
        <v>1</v>
      </c>
      <c r="U23" s="17">
        <v>1</v>
      </c>
      <c r="V23" s="113">
        <v>1</v>
      </c>
      <c r="W23" s="15">
        <f t="shared" si="0"/>
        <v>0</v>
      </c>
      <c r="X23" s="114"/>
      <c r="Y23" s="114">
        <f>'Tổng hợp VT'!K28</f>
        <v>4318182</v>
      </c>
      <c r="Z23" s="111">
        <f t="shared" si="1"/>
        <v>4318182</v>
      </c>
      <c r="AA23" s="111">
        <f t="shared" si="2"/>
        <v>1929796</v>
      </c>
    </row>
    <row r="24" spans="1:27" ht="28.5" customHeight="1">
      <c r="A24" s="106">
        <v>19</v>
      </c>
      <c r="B24" s="107" t="s">
        <v>423</v>
      </c>
      <c r="C24" s="14" t="s">
        <v>424</v>
      </c>
      <c r="D24" s="107" t="s">
        <v>43</v>
      </c>
      <c r="E24" s="108">
        <f>'Tổng hợp VT'!E29</f>
        <v>7.1999999999999998E-3</v>
      </c>
      <c r="F24" s="20" t="s">
        <v>748</v>
      </c>
      <c r="G24" s="110"/>
      <c r="H24" s="18" t="b">
        <v>0</v>
      </c>
      <c r="I24" s="89"/>
      <c r="J24" s="17">
        <v>1</v>
      </c>
      <c r="K24" s="108"/>
      <c r="L24" s="113"/>
      <c r="M24" s="113"/>
      <c r="N24" s="113"/>
      <c r="O24" s="15"/>
      <c r="P24" s="15"/>
      <c r="Q24" s="15"/>
      <c r="R24" s="17">
        <v>1</v>
      </c>
      <c r="S24" s="15"/>
      <c r="T24" s="17">
        <v>1</v>
      </c>
      <c r="U24" s="17">
        <v>1</v>
      </c>
      <c r="V24" s="113">
        <v>1</v>
      </c>
      <c r="W24" s="15">
        <f t="shared" si="0"/>
        <v>0</v>
      </c>
      <c r="X24" s="114"/>
      <c r="Y24" s="114">
        <f>'Tổng hợp VT'!K29</f>
        <v>4318182</v>
      </c>
      <c r="Z24" s="111">
        <f t="shared" si="1"/>
        <v>4318182</v>
      </c>
      <c r="AA24" s="111">
        <f t="shared" si="2"/>
        <v>31091</v>
      </c>
    </row>
    <row r="25" spans="1:27" ht="28.5" customHeight="1">
      <c r="A25" s="106">
        <v>20</v>
      </c>
      <c r="B25" s="107" t="s">
        <v>425</v>
      </c>
      <c r="C25" s="14" t="s">
        <v>426</v>
      </c>
      <c r="D25" s="107" t="s">
        <v>427</v>
      </c>
      <c r="E25" s="108">
        <f>'Tổng hợp VT'!E30</f>
        <v>210</v>
      </c>
      <c r="F25" s="20"/>
      <c r="G25" s="110"/>
      <c r="H25" s="18" t="b">
        <v>0</v>
      </c>
      <c r="I25" s="89"/>
      <c r="J25" s="17">
        <v>1</v>
      </c>
      <c r="K25" s="108"/>
      <c r="L25" s="113"/>
      <c r="M25" s="113"/>
      <c r="N25" s="113"/>
      <c r="O25" s="15"/>
      <c r="P25" s="15"/>
      <c r="Q25" s="15"/>
      <c r="R25" s="17">
        <v>1</v>
      </c>
      <c r="S25" s="15"/>
      <c r="T25" s="17">
        <v>1</v>
      </c>
      <c r="U25" s="17">
        <v>1</v>
      </c>
      <c r="V25" s="113">
        <v>1</v>
      </c>
      <c r="W25" s="15">
        <f t="shared" si="0"/>
        <v>0</v>
      </c>
      <c r="X25" s="114"/>
      <c r="Y25" s="114">
        <f>'Tổng hợp VT'!K30</f>
        <v>120000</v>
      </c>
      <c r="Z25" s="111">
        <f t="shared" si="1"/>
        <v>120000</v>
      </c>
      <c r="AA25" s="111">
        <f t="shared" si="2"/>
        <v>25200000</v>
      </c>
    </row>
    <row r="26" spans="1:27" ht="16.5" customHeight="1">
      <c r="A26" s="106">
        <v>21</v>
      </c>
      <c r="B26" s="107" t="s">
        <v>429</v>
      </c>
      <c r="C26" s="14" t="s">
        <v>430</v>
      </c>
      <c r="D26" s="107" t="s">
        <v>393</v>
      </c>
      <c r="E26" s="108">
        <f>'Tổng hợp VT'!E31</f>
        <v>2.5274999999999999</v>
      </c>
      <c r="F26" s="20"/>
      <c r="G26" s="110"/>
      <c r="H26" s="18" t="b">
        <v>0</v>
      </c>
      <c r="I26" s="89"/>
      <c r="J26" s="17">
        <v>1</v>
      </c>
      <c r="K26" s="108"/>
      <c r="L26" s="113"/>
      <c r="M26" s="113"/>
      <c r="N26" s="113"/>
      <c r="O26" s="15"/>
      <c r="P26" s="15"/>
      <c r="Q26" s="15"/>
      <c r="R26" s="17">
        <v>1</v>
      </c>
      <c r="S26" s="15"/>
      <c r="T26" s="17">
        <v>1</v>
      </c>
      <c r="U26" s="17">
        <v>1</v>
      </c>
      <c r="V26" s="113">
        <v>1</v>
      </c>
      <c r="W26" s="15">
        <f t="shared" si="0"/>
        <v>0</v>
      </c>
      <c r="X26" s="114"/>
      <c r="Y26" s="114">
        <f>'Tổng hợp VT'!K31</f>
        <v>35000</v>
      </c>
      <c r="Z26" s="111">
        <f t="shared" si="1"/>
        <v>35000</v>
      </c>
      <c r="AA26" s="111">
        <f t="shared" si="2"/>
        <v>88463</v>
      </c>
    </row>
    <row r="27" spans="1:27" ht="16.5" customHeight="1">
      <c r="A27" s="106">
        <v>22</v>
      </c>
      <c r="B27" s="107" t="s">
        <v>432</v>
      </c>
      <c r="C27" s="14" t="s">
        <v>433</v>
      </c>
      <c r="D27" s="107" t="s">
        <v>393</v>
      </c>
      <c r="E27" s="108">
        <f>'Tổng hợp VT'!E32</f>
        <v>482.85</v>
      </c>
      <c r="F27" s="20"/>
      <c r="G27" s="110"/>
      <c r="H27" s="18" t="b">
        <v>0</v>
      </c>
      <c r="I27" s="89"/>
      <c r="J27" s="17">
        <v>1</v>
      </c>
      <c r="K27" s="108"/>
      <c r="L27" s="113"/>
      <c r="M27" s="113"/>
      <c r="N27" s="113"/>
      <c r="O27" s="15"/>
      <c r="P27" s="15"/>
      <c r="Q27" s="15"/>
      <c r="R27" s="17">
        <v>1</v>
      </c>
      <c r="S27" s="15"/>
      <c r="T27" s="17">
        <v>1</v>
      </c>
      <c r="U27" s="17">
        <v>1</v>
      </c>
      <c r="V27" s="113">
        <v>1</v>
      </c>
      <c r="W27" s="15">
        <f t="shared" si="0"/>
        <v>0</v>
      </c>
      <c r="X27" s="114"/>
      <c r="Y27" s="114">
        <f>'Tổng hợp VT'!K32</f>
        <v>4700</v>
      </c>
      <c r="Z27" s="111">
        <f t="shared" si="1"/>
        <v>4700</v>
      </c>
      <c r="AA27" s="111">
        <f t="shared" si="2"/>
        <v>2269395</v>
      </c>
    </row>
    <row r="28" spans="1:27" ht="16.5" customHeight="1">
      <c r="A28" s="106">
        <v>23</v>
      </c>
      <c r="B28" s="107" t="s">
        <v>435</v>
      </c>
      <c r="C28" s="14" t="s">
        <v>436</v>
      </c>
      <c r="D28" s="107" t="s">
        <v>393</v>
      </c>
      <c r="E28" s="108">
        <f>'Tổng hợp VT'!E33</f>
        <v>13.86</v>
      </c>
      <c r="F28" s="20"/>
      <c r="G28" s="110"/>
      <c r="H28" s="18" t="b">
        <v>0</v>
      </c>
      <c r="I28" s="89"/>
      <c r="J28" s="17">
        <v>1</v>
      </c>
      <c r="K28" s="108"/>
      <c r="L28" s="113"/>
      <c r="M28" s="113"/>
      <c r="N28" s="113"/>
      <c r="O28" s="15"/>
      <c r="P28" s="15"/>
      <c r="Q28" s="15"/>
      <c r="R28" s="17">
        <v>1</v>
      </c>
      <c r="S28" s="15"/>
      <c r="T28" s="17">
        <v>1</v>
      </c>
      <c r="U28" s="17">
        <v>1</v>
      </c>
      <c r="V28" s="113">
        <v>1</v>
      </c>
      <c r="W28" s="15">
        <f t="shared" si="0"/>
        <v>0</v>
      </c>
      <c r="X28" s="114"/>
      <c r="Y28" s="114">
        <f>'Tổng hợp VT'!K33</f>
        <v>20000</v>
      </c>
      <c r="Z28" s="111">
        <f t="shared" si="1"/>
        <v>20000</v>
      </c>
      <c r="AA28" s="111">
        <f t="shared" si="2"/>
        <v>277200</v>
      </c>
    </row>
    <row r="29" spans="1:27" ht="16.5" customHeight="1">
      <c r="A29" s="106">
        <v>24</v>
      </c>
      <c r="B29" s="107" t="s">
        <v>438</v>
      </c>
      <c r="C29" s="14" t="s">
        <v>439</v>
      </c>
      <c r="D29" s="107" t="s">
        <v>393</v>
      </c>
      <c r="E29" s="108">
        <f>'Tổng hợp VT'!E34</f>
        <v>38.270000000000003</v>
      </c>
      <c r="F29" s="20"/>
      <c r="G29" s="110"/>
      <c r="H29" s="18" t="b">
        <v>0</v>
      </c>
      <c r="I29" s="89"/>
      <c r="J29" s="17">
        <v>1</v>
      </c>
      <c r="K29" s="108"/>
      <c r="L29" s="113"/>
      <c r="M29" s="113"/>
      <c r="N29" s="113"/>
      <c r="O29" s="15"/>
      <c r="P29" s="15"/>
      <c r="Q29" s="15"/>
      <c r="R29" s="17">
        <v>1</v>
      </c>
      <c r="S29" s="15"/>
      <c r="T29" s="17">
        <v>1</v>
      </c>
      <c r="U29" s="17">
        <v>1</v>
      </c>
      <c r="V29" s="113">
        <v>1</v>
      </c>
      <c r="W29" s="15">
        <f t="shared" si="0"/>
        <v>0</v>
      </c>
      <c r="X29" s="114"/>
      <c r="Y29" s="114">
        <f>'Tổng hợp VT'!K34</f>
        <v>233</v>
      </c>
      <c r="Z29" s="111">
        <f t="shared" si="1"/>
        <v>233</v>
      </c>
      <c r="AA29" s="111">
        <f t="shared" si="2"/>
        <v>8917</v>
      </c>
    </row>
    <row r="30" spans="1:27" ht="28.5" customHeight="1">
      <c r="A30" s="106">
        <v>25</v>
      </c>
      <c r="B30" s="107" t="s">
        <v>441</v>
      </c>
      <c r="C30" s="14" t="s">
        <v>442</v>
      </c>
      <c r="D30" s="107" t="s">
        <v>109</v>
      </c>
      <c r="E30" s="108">
        <f>'Tổng hợp VT'!E35</f>
        <v>1821.96</v>
      </c>
      <c r="F30" s="20"/>
      <c r="G30" s="110"/>
      <c r="H30" s="18" t="b">
        <v>0</v>
      </c>
      <c r="I30" s="89"/>
      <c r="J30" s="17">
        <v>1</v>
      </c>
      <c r="K30" s="108"/>
      <c r="L30" s="113"/>
      <c r="M30" s="113"/>
      <c r="N30" s="113"/>
      <c r="O30" s="15"/>
      <c r="P30" s="15"/>
      <c r="Q30" s="15"/>
      <c r="R30" s="17">
        <v>1</v>
      </c>
      <c r="S30" s="15"/>
      <c r="T30" s="17">
        <v>1</v>
      </c>
      <c r="U30" s="17">
        <v>1</v>
      </c>
      <c r="V30" s="113">
        <v>1</v>
      </c>
      <c r="W30" s="15">
        <f t="shared" si="0"/>
        <v>0</v>
      </c>
      <c r="X30" s="114"/>
      <c r="Y30" s="114">
        <f>'Tổng hợp VT'!K35</f>
        <v>10500</v>
      </c>
      <c r="Z30" s="111">
        <f t="shared" si="1"/>
        <v>10500</v>
      </c>
      <c r="AA30" s="111">
        <f t="shared" si="2"/>
        <v>19130580</v>
      </c>
    </row>
    <row r="31" spans="1:27" ht="16.5" customHeight="1">
      <c r="A31" s="106">
        <v>26</v>
      </c>
      <c r="B31" s="107" t="s">
        <v>444</v>
      </c>
      <c r="C31" s="14" t="s">
        <v>445</v>
      </c>
      <c r="D31" s="107" t="s">
        <v>446</v>
      </c>
      <c r="E31" s="108">
        <f>'Tổng hợp VT'!E36+'Tổng hợp VT'!E37</f>
        <v>68867.745299999995</v>
      </c>
      <c r="F31" s="20"/>
      <c r="G31" s="110"/>
      <c r="H31" s="18" t="b">
        <v>0</v>
      </c>
      <c r="I31" s="89"/>
      <c r="J31" s="17">
        <v>1</v>
      </c>
      <c r="K31" s="108"/>
      <c r="L31" s="113"/>
      <c r="M31" s="113"/>
      <c r="N31" s="113"/>
      <c r="O31" s="15"/>
      <c r="P31" s="15"/>
      <c r="Q31" s="15"/>
      <c r="R31" s="17">
        <v>1</v>
      </c>
      <c r="S31" s="15"/>
      <c r="T31" s="17">
        <v>1</v>
      </c>
      <c r="U31" s="17">
        <v>1</v>
      </c>
      <c r="V31" s="113">
        <v>1</v>
      </c>
      <c r="W31" s="15">
        <f t="shared" si="0"/>
        <v>0</v>
      </c>
      <c r="X31" s="114"/>
      <c r="Y31" s="114">
        <f>'Tổng hợp VT'!K36</f>
        <v>20</v>
      </c>
      <c r="Z31" s="111">
        <f t="shared" si="1"/>
        <v>20</v>
      </c>
      <c r="AA31" s="111">
        <f t="shared" si="2"/>
        <v>1377355</v>
      </c>
    </row>
    <row r="32" spans="1:27" ht="16.5" customHeight="1">
      <c r="A32" s="106">
        <v>27</v>
      </c>
      <c r="B32" s="107" t="s">
        <v>449</v>
      </c>
      <c r="C32" s="14" t="s">
        <v>450</v>
      </c>
      <c r="D32" s="107" t="s">
        <v>393</v>
      </c>
      <c r="E32" s="108">
        <f>'Tổng hợp VT'!E38</f>
        <v>57.09</v>
      </c>
      <c r="F32" s="20"/>
      <c r="G32" s="110"/>
      <c r="H32" s="18" t="b">
        <v>0</v>
      </c>
      <c r="I32" s="89"/>
      <c r="J32" s="17">
        <v>1</v>
      </c>
      <c r="K32" s="108"/>
      <c r="L32" s="113"/>
      <c r="M32" s="113"/>
      <c r="N32" s="113"/>
      <c r="O32" s="15"/>
      <c r="P32" s="15"/>
      <c r="Q32" s="15"/>
      <c r="R32" s="17">
        <v>1</v>
      </c>
      <c r="S32" s="15"/>
      <c r="T32" s="17">
        <v>1</v>
      </c>
      <c r="U32" s="17">
        <v>1</v>
      </c>
      <c r="V32" s="113">
        <v>1</v>
      </c>
      <c r="W32" s="15">
        <f t="shared" si="0"/>
        <v>0</v>
      </c>
      <c r="X32" s="114"/>
      <c r="Y32" s="114">
        <f>'Tổng hợp VT'!K38</f>
        <v>17100</v>
      </c>
      <c r="Z32" s="111">
        <f t="shared" si="1"/>
        <v>17100</v>
      </c>
      <c r="AA32" s="111">
        <f t="shared" si="2"/>
        <v>976239</v>
      </c>
    </row>
    <row r="33" spans="1:27" ht="16.5" customHeight="1">
      <c r="A33" s="106">
        <v>28</v>
      </c>
      <c r="B33" s="107" t="s">
        <v>452</v>
      </c>
      <c r="C33" s="14" t="s">
        <v>453</v>
      </c>
      <c r="D33" s="107" t="s">
        <v>454</v>
      </c>
      <c r="E33" s="108">
        <f>'Tổng hợp VT'!E39</f>
        <v>1.2638</v>
      </c>
      <c r="F33" s="20"/>
      <c r="G33" s="110"/>
      <c r="H33" s="18" t="b">
        <v>0</v>
      </c>
      <c r="I33" s="89"/>
      <c r="J33" s="17">
        <v>1</v>
      </c>
      <c r="K33" s="108"/>
      <c r="L33" s="113"/>
      <c r="M33" s="113"/>
      <c r="N33" s="113"/>
      <c r="O33" s="15"/>
      <c r="P33" s="15"/>
      <c r="Q33" s="15"/>
      <c r="R33" s="17">
        <v>1</v>
      </c>
      <c r="S33" s="15"/>
      <c r="T33" s="17">
        <v>1</v>
      </c>
      <c r="U33" s="17">
        <v>1</v>
      </c>
      <c r="V33" s="113">
        <v>1</v>
      </c>
      <c r="W33" s="15">
        <f t="shared" si="0"/>
        <v>0</v>
      </c>
      <c r="X33" s="114"/>
      <c r="Y33" s="114">
        <f>'Tổng hợp VT'!K39</f>
        <v>83000</v>
      </c>
      <c r="Z33" s="111">
        <f t="shared" si="1"/>
        <v>83000</v>
      </c>
      <c r="AA33" s="111">
        <f t="shared" si="2"/>
        <v>104895</v>
      </c>
    </row>
    <row r="34" spans="1:27" ht="41.25" customHeight="1">
      <c r="A34" s="106">
        <v>29</v>
      </c>
      <c r="B34" s="107" t="s">
        <v>456</v>
      </c>
      <c r="C34" s="14" t="s">
        <v>457</v>
      </c>
      <c r="D34" s="107" t="s">
        <v>458</v>
      </c>
      <c r="E34" s="108">
        <f>'Tổng hợp VT'!E40</f>
        <v>213</v>
      </c>
      <c r="F34" s="20"/>
      <c r="G34" s="110"/>
      <c r="H34" s="18" t="b">
        <v>0</v>
      </c>
      <c r="I34" s="89"/>
      <c r="J34" s="17">
        <v>1</v>
      </c>
      <c r="K34" s="108"/>
      <c r="L34" s="113"/>
      <c r="M34" s="113"/>
      <c r="N34" s="113"/>
      <c r="O34" s="15"/>
      <c r="P34" s="15"/>
      <c r="Q34" s="15"/>
      <c r="R34" s="17">
        <v>1</v>
      </c>
      <c r="S34" s="15"/>
      <c r="T34" s="17">
        <v>1</v>
      </c>
      <c r="U34" s="17">
        <v>1</v>
      </c>
      <c r="V34" s="113">
        <v>1</v>
      </c>
      <c r="W34" s="15">
        <f t="shared" si="0"/>
        <v>0</v>
      </c>
      <c r="X34" s="114"/>
      <c r="Y34" s="114">
        <f>'Tổng hợp VT'!K40</f>
        <v>890000</v>
      </c>
      <c r="Z34" s="111">
        <f t="shared" si="1"/>
        <v>890000</v>
      </c>
      <c r="AA34" s="111">
        <f t="shared" si="2"/>
        <v>189570000</v>
      </c>
    </row>
    <row r="35" spans="1:27" ht="16.5" customHeight="1">
      <c r="A35" s="106">
        <v>30</v>
      </c>
      <c r="B35" s="107" t="s">
        <v>460</v>
      </c>
      <c r="C35" s="14" t="s">
        <v>461</v>
      </c>
      <c r="D35" s="107" t="s">
        <v>116</v>
      </c>
      <c r="E35" s="108">
        <f>'Tổng hợp VT'!E41</f>
        <v>141.51</v>
      </c>
      <c r="F35" s="20"/>
      <c r="G35" s="110"/>
      <c r="H35" s="18" t="b">
        <v>0</v>
      </c>
      <c r="I35" s="89"/>
      <c r="J35" s="17">
        <v>1</v>
      </c>
      <c r="K35" s="108"/>
      <c r="L35" s="113"/>
      <c r="M35" s="113"/>
      <c r="N35" s="113"/>
      <c r="O35" s="15"/>
      <c r="P35" s="15"/>
      <c r="Q35" s="15"/>
      <c r="R35" s="17">
        <v>1</v>
      </c>
      <c r="S35" s="15"/>
      <c r="T35" s="17">
        <v>1</v>
      </c>
      <c r="U35" s="17">
        <v>1</v>
      </c>
      <c r="V35" s="113">
        <v>1</v>
      </c>
      <c r="W35" s="15">
        <f t="shared" si="0"/>
        <v>0</v>
      </c>
      <c r="X35" s="114"/>
      <c r="Y35" s="114">
        <f>'Tổng hợp VT'!K41</f>
        <v>18500</v>
      </c>
      <c r="Z35" s="111">
        <f t="shared" si="1"/>
        <v>18500</v>
      </c>
      <c r="AA35" s="111">
        <f t="shared" si="2"/>
        <v>2617935</v>
      </c>
    </row>
    <row r="36" spans="1:27" ht="16.5" customHeight="1">
      <c r="A36" s="106">
        <v>31</v>
      </c>
      <c r="B36" s="107" t="s">
        <v>463</v>
      </c>
      <c r="C36" s="14" t="s">
        <v>464</v>
      </c>
      <c r="D36" s="107" t="s">
        <v>393</v>
      </c>
      <c r="E36" s="108">
        <f>'Tổng hợp VT'!E42</f>
        <v>8.2032000000000007</v>
      </c>
      <c r="F36" s="20" t="s">
        <v>746</v>
      </c>
      <c r="G36" s="110"/>
      <c r="H36" s="18" t="b">
        <v>0</v>
      </c>
      <c r="I36" s="89"/>
      <c r="J36" s="17">
        <v>1</v>
      </c>
      <c r="K36" s="108"/>
      <c r="L36" s="113"/>
      <c r="M36" s="113"/>
      <c r="N36" s="113"/>
      <c r="O36" s="15"/>
      <c r="P36" s="15"/>
      <c r="Q36" s="15"/>
      <c r="R36" s="17">
        <v>1</v>
      </c>
      <c r="S36" s="15"/>
      <c r="T36" s="17">
        <v>1</v>
      </c>
      <c r="U36" s="17">
        <v>1</v>
      </c>
      <c r="V36" s="113">
        <v>1E-3</v>
      </c>
      <c r="W36" s="15">
        <f t="shared" si="0"/>
        <v>0</v>
      </c>
      <c r="X36" s="114"/>
      <c r="Y36" s="114">
        <f>'Tổng hợp VT'!K42</f>
        <v>25000</v>
      </c>
      <c r="Z36" s="111">
        <f t="shared" si="1"/>
        <v>25000</v>
      </c>
      <c r="AA36" s="111">
        <f t="shared" si="2"/>
        <v>205080</v>
      </c>
    </row>
    <row r="37" spans="1:27" ht="16.5" customHeight="1">
      <c r="A37" s="106">
        <v>32</v>
      </c>
      <c r="B37" s="107" t="s">
        <v>466</v>
      </c>
      <c r="C37" s="14" t="s">
        <v>467</v>
      </c>
      <c r="D37" s="107" t="s">
        <v>393</v>
      </c>
      <c r="E37" s="108">
        <f>'Tổng hợp VT'!E43</f>
        <v>1699.25</v>
      </c>
      <c r="F37" s="20" t="s">
        <v>746</v>
      </c>
      <c r="G37" s="110"/>
      <c r="H37" s="18" t="b">
        <v>0</v>
      </c>
      <c r="I37" s="89"/>
      <c r="J37" s="17">
        <v>1</v>
      </c>
      <c r="K37" s="108"/>
      <c r="L37" s="113"/>
      <c r="M37" s="113"/>
      <c r="N37" s="113"/>
      <c r="O37" s="15"/>
      <c r="P37" s="15"/>
      <c r="Q37" s="15"/>
      <c r="R37" s="17">
        <v>1</v>
      </c>
      <c r="S37" s="15"/>
      <c r="T37" s="17">
        <v>1</v>
      </c>
      <c r="U37" s="17">
        <v>1</v>
      </c>
      <c r="V37" s="113">
        <v>1E-3</v>
      </c>
      <c r="W37" s="15">
        <f t="shared" si="0"/>
        <v>0</v>
      </c>
      <c r="X37" s="114"/>
      <c r="Y37" s="114">
        <f>'Tổng hợp VT'!K43</f>
        <v>19500</v>
      </c>
      <c r="Z37" s="111">
        <f t="shared" si="1"/>
        <v>19500</v>
      </c>
      <c r="AA37" s="111">
        <f t="shared" si="2"/>
        <v>33135375</v>
      </c>
    </row>
    <row r="38" spans="1:27" ht="28.5" customHeight="1">
      <c r="A38" s="106">
        <v>33</v>
      </c>
      <c r="B38" s="107" t="s">
        <v>469</v>
      </c>
      <c r="C38" s="14" t="s">
        <v>470</v>
      </c>
      <c r="D38" s="107" t="s">
        <v>393</v>
      </c>
      <c r="E38" s="108">
        <f>'Tổng hợp VT'!E44</f>
        <v>57.087499999999999</v>
      </c>
      <c r="F38" s="20" t="s">
        <v>746</v>
      </c>
      <c r="G38" s="110"/>
      <c r="H38" s="18" t="b">
        <v>0</v>
      </c>
      <c r="I38" s="89"/>
      <c r="J38" s="17">
        <v>1</v>
      </c>
      <c r="K38" s="108"/>
      <c r="L38" s="113"/>
      <c r="M38" s="113"/>
      <c r="N38" s="113"/>
      <c r="O38" s="15"/>
      <c r="P38" s="15"/>
      <c r="Q38" s="15"/>
      <c r="R38" s="17">
        <v>1</v>
      </c>
      <c r="S38" s="15"/>
      <c r="T38" s="17">
        <v>1</v>
      </c>
      <c r="U38" s="17">
        <v>1</v>
      </c>
      <c r="V38" s="113">
        <v>1E-3</v>
      </c>
      <c r="W38" s="15">
        <f t="shared" si="0"/>
        <v>0</v>
      </c>
      <c r="X38" s="114"/>
      <c r="Y38" s="114">
        <f>'Tổng hợp VT'!K44</f>
        <v>19500</v>
      </c>
      <c r="Z38" s="111">
        <f t="shared" si="1"/>
        <v>19500</v>
      </c>
      <c r="AA38" s="111">
        <f t="shared" si="2"/>
        <v>1113206</v>
      </c>
    </row>
    <row r="39" spans="1:27" ht="16.5" customHeight="1">
      <c r="A39" s="106">
        <v>34</v>
      </c>
      <c r="B39" s="107" t="s">
        <v>472</v>
      </c>
      <c r="C39" s="14" t="s">
        <v>473</v>
      </c>
      <c r="D39" s="107" t="s">
        <v>393</v>
      </c>
      <c r="E39" s="108">
        <f>'Tổng hợp VT'!E45</f>
        <v>369.73259999999999</v>
      </c>
      <c r="F39" s="20" t="s">
        <v>746</v>
      </c>
      <c r="G39" s="110"/>
      <c r="H39" s="18" t="b">
        <v>0</v>
      </c>
      <c r="I39" s="89"/>
      <c r="J39" s="17">
        <v>1</v>
      </c>
      <c r="K39" s="108"/>
      <c r="L39" s="113"/>
      <c r="M39" s="113"/>
      <c r="N39" s="113"/>
      <c r="O39" s="15"/>
      <c r="P39" s="15"/>
      <c r="Q39" s="15"/>
      <c r="R39" s="17">
        <v>1</v>
      </c>
      <c r="S39" s="15"/>
      <c r="T39" s="17">
        <v>1</v>
      </c>
      <c r="U39" s="17">
        <v>1</v>
      </c>
      <c r="V39" s="113">
        <v>1E-3</v>
      </c>
      <c r="W39" s="15">
        <f t="shared" si="0"/>
        <v>0</v>
      </c>
      <c r="X39" s="114"/>
      <c r="Y39" s="114">
        <f>'Tổng hợp VT'!K45</f>
        <v>19500</v>
      </c>
      <c r="Z39" s="111">
        <f t="shared" si="1"/>
        <v>19500</v>
      </c>
      <c r="AA39" s="111">
        <f t="shared" si="2"/>
        <v>7209786</v>
      </c>
    </row>
    <row r="40" spans="1:27" ht="16.5" customHeight="1">
      <c r="A40" s="106">
        <v>35</v>
      </c>
      <c r="B40" s="107" t="s">
        <v>474</v>
      </c>
      <c r="C40" s="14" t="s">
        <v>475</v>
      </c>
      <c r="D40" s="107" t="s">
        <v>393</v>
      </c>
      <c r="E40" s="108">
        <f>'Tổng hợp VT'!E46</f>
        <v>1190.4774</v>
      </c>
      <c r="F40" s="20" t="s">
        <v>746</v>
      </c>
      <c r="G40" s="110"/>
      <c r="H40" s="18" t="b">
        <v>0</v>
      </c>
      <c r="I40" s="89"/>
      <c r="J40" s="17">
        <v>1</v>
      </c>
      <c r="K40" s="108"/>
      <c r="L40" s="113"/>
      <c r="M40" s="113"/>
      <c r="N40" s="113"/>
      <c r="O40" s="15"/>
      <c r="P40" s="15"/>
      <c r="Q40" s="15"/>
      <c r="R40" s="17">
        <v>1</v>
      </c>
      <c r="S40" s="15"/>
      <c r="T40" s="17">
        <v>1</v>
      </c>
      <c r="U40" s="17">
        <v>1</v>
      </c>
      <c r="V40" s="113">
        <v>1E-3</v>
      </c>
      <c r="W40" s="15">
        <f t="shared" si="0"/>
        <v>0</v>
      </c>
      <c r="X40" s="114"/>
      <c r="Y40" s="114">
        <f>'Tổng hợp VT'!K46</f>
        <v>16500</v>
      </c>
      <c r="Z40" s="111">
        <f t="shared" si="1"/>
        <v>16500</v>
      </c>
      <c r="AA40" s="111">
        <f t="shared" si="2"/>
        <v>19642877</v>
      </c>
    </row>
    <row r="41" spans="1:27" ht="28.5" customHeight="1">
      <c r="A41" s="106">
        <v>36</v>
      </c>
      <c r="B41" s="107" t="s">
        <v>477</v>
      </c>
      <c r="C41" s="14" t="s">
        <v>478</v>
      </c>
      <c r="D41" s="107" t="s">
        <v>393</v>
      </c>
      <c r="E41" s="108">
        <f>'Tổng hợp VT'!E47</f>
        <v>3.1154999999999999</v>
      </c>
      <c r="F41" s="20" t="s">
        <v>746</v>
      </c>
      <c r="G41" s="110"/>
      <c r="H41" s="18" t="b">
        <v>0</v>
      </c>
      <c r="I41" s="89"/>
      <c r="J41" s="17">
        <v>1</v>
      </c>
      <c r="K41" s="108"/>
      <c r="L41" s="113"/>
      <c r="M41" s="113"/>
      <c r="N41" s="113"/>
      <c r="O41" s="15"/>
      <c r="P41" s="15"/>
      <c r="Q41" s="15"/>
      <c r="R41" s="17">
        <v>1</v>
      </c>
      <c r="S41" s="15"/>
      <c r="T41" s="17">
        <v>1</v>
      </c>
      <c r="U41" s="17">
        <v>1</v>
      </c>
      <c r="V41" s="113">
        <v>1E-3</v>
      </c>
      <c r="W41" s="15">
        <f t="shared" si="0"/>
        <v>0</v>
      </c>
      <c r="X41" s="114"/>
      <c r="Y41" s="114">
        <f>'Tổng hợp VT'!K47</f>
        <v>16500</v>
      </c>
      <c r="Z41" s="111">
        <f t="shared" si="1"/>
        <v>16500</v>
      </c>
      <c r="AA41" s="111">
        <f t="shared" si="2"/>
        <v>51406</v>
      </c>
    </row>
    <row r="42" spans="1:27" ht="28.5" customHeight="1">
      <c r="A42" s="106">
        <v>37</v>
      </c>
      <c r="B42" s="107" t="s">
        <v>481</v>
      </c>
      <c r="C42" s="14" t="s">
        <v>482</v>
      </c>
      <c r="D42" s="107" t="s">
        <v>393</v>
      </c>
      <c r="E42" s="108">
        <f>'Tổng hợp VT'!E48</f>
        <v>37.332000000000001</v>
      </c>
      <c r="F42" s="20" t="s">
        <v>746</v>
      </c>
      <c r="G42" s="110"/>
      <c r="H42" s="18" t="b">
        <v>0</v>
      </c>
      <c r="I42" s="89"/>
      <c r="J42" s="17">
        <v>1</v>
      </c>
      <c r="K42" s="108"/>
      <c r="L42" s="113"/>
      <c r="M42" s="113"/>
      <c r="N42" s="113"/>
      <c r="O42" s="15"/>
      <c r="P42" s="15"/>
      <c r="Q42" s="15"/>
      <c r="R42" s="17">
        <v>1</v>
      </c>
      <c r="S42" s="15"/>
      <c r="T42" s="17">
        <v>1</v>
      </c>
      <c r="U42" s="17">
        <v>1</v>
      </c>
      <c r="V42" s="113">
        <v>1E-3</v>
      </c>
      <c r="W42" s="15">
        <f t="shared" si="0"/>
        <v>0</v>
      </c>
      <c r="X42" s="114"/>
      <c r="Y42" s="114">
        <f>'Tổng hợp VT'!K48</f>
        <v>16500</v>
      </c>
      <c r="Z42" s="111">
        <f t="shared" si="1"/>
        <v>16500</v>
      </c>
      <c r="AA42" s="111">
        <f t="shared" si="2"/>
        <v>615978</v>
      </c>
    </row>
    <row r="43" spans="1:27" ht="28.5" customHeight="1">
      <c r="A43" s="106">
        <v>38</v>
      </c>
      <c r="B43" s="107" t="s">
        <v>484</v>
      </c>
      <c r="C43" s="14" t="s">
        <v>485</v>
      </c>
      <c r="D43" s="107" t="s">
        <v>393</v>
      </c>
      <c r="E43" s="108">
        <f>'Tổng hợp VT'!E49</f>
        <v>145509.2438</v>
      </c>
      <c r="F43" s="20" t="s">
        <v>750</v>
      </c>
      <c r="G43" s="110"/>
      <c r="H43" s="18" t="b">
        <v>0</v>
      </c>
      <c r="I43" s="89"/>
      <c r="J43" s="17">
        <v>1</v>
      </c>
      <c r="K43" s="108"/>
      <c r="L43" s="113"/>
      <c r="M43" s="113"/>
      <c r="N43" s="113"/>
      <c r="O43" s="15"/>
      <c r="P43" s="15"/>
      <c r="Q43" s="15"/>
      <c r="R43" s="17">
        <v>1</v>
      </c>
      <c r="S43" s="15"/>
      <c r="T43" s="17">
        <v>1</v>
      </c>
      <c r="U43" s="17">
        <v>1</v>
      </c>
      <c r="V43" s="113">
        <v>1E-3</v>
      </c>
      <c r="W43" s="15">
        <f t="shared" si="0"/>
        <v>0</v>
      </c>
      <c r="X43" s="114"/>
      <c r="Y43" s="114">
        <f>'Tổng hợp VT'!K49</f>
        <v>1481</v>
      </c>
      <c r="Z43" s="111">
        <f t="shared" si="1"/>
        <v>1481</v>
      </c>
      <c r="AA43" s="111">
        <f t="shared" si="2"/>
        <v>215499190</v>
      </c>
    </row>
    <row r="44" spans="1:27" ht="28.5" customHeight="1">
      <c r="A44" s="115">
        <v>39</v>
      </c>
      <c r="B44" s="116" t="s">
        <v>487</v>
      </c>
      <c r="C44" s="25" t="s">
        <v>488</v>
      </c>
      <c r="D44" s="116" t="s">
        <v>393</v>
      </c>
      <c r="E44" s="117">
        <f>'Tổng hợp VT'!E50</f>
        <v>453.54669999999999</v>
      </c>
      <c r="F44" s="31" t="s">
        <v>750</v>
      </c>
      <c r="G44" s="119"/>
      <c r="H44" s="29" t="b">
        <v>0</v>
      </c>
      <c r="I44" s="96"/>
      <c r="J44" s="28">
        <v>1</v>
      </c>
      <c r="K44" s="117"/>
      <c r="L44" s="122"/>
      <c r="M44" s="122"/>
      <c r="N44" s="122"/>
      <c r="O44" s="26"/>
      <c r="P44" s="26"/>
      <c r="Q44" s="26"/>
      <c r="R44" s="28">
        <v>1</v>
      </c>
      <c r="S44" s="26"/>
      <c r="T44" s="28">
        <v>1</v>
      </c>
      <c r="U44" s="28">
        <v>1</v>
      </c>
      <c r="V44" s="122">
        <v>1E-3</v>
      </c>
      <c r="W44" s="26">
        <f t="shared" si="0"/>
        <v>0</v>
      </c>
      <c r="X44" s="123"/>
      <c r="Y44" s="123">
        <f>'Tổng hợp VT'!K50</f>
        <v>1500</v>
      </c>
      <c r="Z44" s="120">
        <f t="shared" si="1"/>
        <v>1500</v>
      </c>
      <c r="AA44" s="120">
        <f t="shared" si="2"/>
        <v>680320</v>
      </c>
    </row>
  </sheetData>
  <mergeCells count="25">
    <mergeCell ref="A1:AA1"/>
    <mergeCell ref="A2:AA2"/>
    <mergeCell ref="A4:A5"/>
    <mergeCell ref="B4:B5"/>
    <mergeCell ref="C4:C5"/>
    <mergeCell ref="D4:D5"/>
    <mergeCell ref="E4:E5"/>
    <mergeCell ref="F4:F5"/>
    <mergeCell ref="G4:G5"/>
    <mergeCell ref="H4:H5"/>
    <mergeCell ref="I4:I5"/>
    <mergeCell ref="J4:J5"/>
    <mergeCell ref="K4:K5"/>
    <mergeCell ref="R4:R5"/>
    <mergeCell ref="S4:S5"/>
    <mergeCell ref="T4:T5"/>
    <mergeCell ref="AA4:AA5"/>
    <mergeCell ref="L4:N4"/>
    <mergeCell ref="O4:Q4"/>
    <mergeCell ref="U4:U5"/>
    <mergeCell ref="V4:V5"/>
    <mergeCell ref="W4:W5"/>
    <mergeCell ref="X4:X5"/>
    <mergeCell ref="Y4:Y5"/>
    <mergeCell ref="Z4:Z5"/>
  </mergeCells>
  <pageMargins left="0.6562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filterMode="1"/>
  <dimension ref="A1:H599"/>
  <sheetViews>
    <sheetView topLeftCell="A114" workbookViewId="0">
      <selection activeCell="K110" sqref="K110"/>
    </sheetView>
  </sheetViews>
  <sheetFormatPr defaultColWidth="10" defaultRowHeight="15" customHeight="1"/>
  <cols>
    <col min="1" max="1" width="6.5" style="34" customWidth="1"/>
    <col min="2" max="2" width="10.83203125" style="34" customWidth="1"/>
    <col min="3" max="3" width="53.33203125" style="34" customWidth="1"/>
    <col min="4" max="4" width="9" style="34" customWidth="1"/>
    <col min="5" max="5" width="12.5" style="34" customWidth="1"/>
    <col min="6" max="6" width="15" style="34" hidden="1" customWidth="1"/>
    <col min="7" max="7" width="7.1640625" style="34" hidden="1" customWidth="1"/>
    <col min="8" max="8" width="15" style="34" hidden="1" customWidth="1"/>
    <col min="9" max="16384" width="10" style="34"/>
  </cols>
  <sheetData>
    <row r="1" spans="1:8" ht="26.25" customHeight="1">
      <c r="A1" s="981" t="s">
        <v>774</v>
      </c>
      <c r="B1" s="985"/>
      <c r="C1" s="985"/>
      <c r="D1" s="985"/>
      <c r="E1" s="985"/>
      <c r="F1" s="985"/>
      <c r="G1" s="985"/>
      <c r="H1" s="985"/>
    </row>
    <row r="2" spans="1:8" ht="32.25" customHeight="1">
      <c r="A2" s="983" t="str">
        <f>'Công trình'!A2</f>
        <v>CÔNG TRÌNH : SỬA CHỮA TUYẾN ĐƯỜNG TỪ NHÀ BÀ TRƯỜNG, TỔ 5 PHƯỜNG VẠN HƯƠNG ĐẾN NHÀ BÀ KIM, TỔ DÂN PHỐ BẮC HẢI PHƯỜNG BÀNG LA</v>
      </c>
      <c r="B2" s="985"/>
      <c r="C2" s="985"/>
      <c r="D2" s="985"/>
      <c r="E2" s="985"/>
      <c r="F2" s="985"/>
      <c r="G2" s="985"/>
      <c r="H2" s="985"/>
    </row>
    <row r="3" spans="1:8" ht="37.5" customHeight="1">
      <c r="A3" s="1007" t="str">
        <f>'Công trình'!F6</f>
        <v>SỬA CHỮA NỀN MẶT ĐƯỜNG, HỆ THỐNG THOÁT NƯỚC</v>
      </c>
      <c r="B3" s="985"/>
      <c r="C3" s="985"/>
      <c r="D3" s="985"/>
      <c r="E3" s="985"/>
      <c r="F3" s="985"/>
      <c r="G3" s="985"/>
      <c r="H3" s="985"/>
    </row>
    <row r="4" spans="1:8" ht="30" customHeight="1">
      <c r="A4" s="4" t="s">
        <v>4</v>
      </c>
      <c r="B4" s="1" t="s">
        <v>357</v>
      </c>
      <c r="C4" s="1" t="s">
        <v>775</v>
      </c>
      <c r="D4" s="1" t="s">
        <v>359</v>
      </c>
      <c r="E4" s="1" t="s">
        <v>649</v>
      </c>
      <c r="F4" s="1" t="str">
        <f>"Đơn giá_x000D_
"&amp;'Công trình'!AL1</f>
        <v>Đơn giá_x000D_
(đ)</v>
      </c>
      <c r="G4" s="1" t="s">
        <v>360</v>
      </c>
      <c r="H4" s="1" t="str">
        <f>"Thành tiền_x000D_
"&amp;'Công trình'!AL1</f>
        <v>Thành tiền_x000D_
(đ)</v>
      </c>
    </row>
    <row r="5" spans="1:8" ht="25.5" customHeight="1">
      <c r="A5" s="127"/>
      <c r="B5" s="13"/>
      <c r="C5" s="3" t="str">
        <f>'Công trình'!F7</f>
        <v>SỬA CHỮA NỀN MẶT ĐƯỜNG:</v>
      </c>
      <c r="D5" s="13"/>
      <c r="E5" s="80"/>
      <c r="F5" s="15"/>
      <c r="G5" s="81"/>
      <c r="H5" s="15"/>
    </row>
    <row r="6" spans="1:8" ht="27.75" customHeight="1">
      <c r="A6" s="128">
        <f>'Công trình'!A9</f>
        <v>1</v>
      </c>
      <c r="B6" s="129" t="str">
        <f>'Công trình'!E9</f>
        <v>AA.22310</v>
      </c>
      <c r="C6" s="130" t="str">
        <f>'Công trình'!F9</f>
        <v>Phá dỡ kết cấu bê tông bằng máy đào 1,25m3 gắn đầu búa thủy lực</v>
      </c>
      <c r="D6" s="129" t="str">
        <f>'Công trình'!G9</f>
        <v>m3</v>
      </c>
      <c r="E6" s="65">
        <v>1</v>
      </c>
      <c r="F6" s="69"/>
      <c r="G6" s="67"/>
      <c r="H6" s="69"/>
    </row>
    <row r="7" spans="1:8" ht="16.5" customHeight="1">
      <c r="A7" s="131"/>
      <c r="B7" s="91"/>
      <c r="C7" s="90" t="s">
        <v>678</v>
      </c>
      <c r="D7" s="91"/>
      <c r="E7" s="93"/>
      <c r="F7" s="132"/>
      <c r="G7" s="94"/>
      <c r="H7" s="132">
        <f>ROUND(H8,1)</f>
        <v>2876.9</v>
      </c>
    </row>
    <row r="8" spans="1:8" ht="16.5" hidden="1" customHeight="1">
      <c r="A8" s="127"/>
      <c r="B8" s="13" t="str">
        <f>'Giá tháng'!B$48</f>
        <v>N1.30</v>
      </c>
      <c r="C8" s="14" t="str">
        <f>'Giá tháng'!C$48</f>
        <v>Nhân công 3,0/7 - Nhóm 1</v>
      </c>
      <c r="D8" s="13" t="str">
        <f>'Giá tháng'!D$48</f>
        <v>công</v>
      </c>
      <c r="E8" s="80">
        <f>HaoPhiVatTu!G$9</f>
        <v>1.2999999999999999E-2</v>
      </c>
      <c r="F8" s="15">
        <f>ROUND('Tổng hợp VT'!O$56,1)</f>
        <v>221303</v>
      </c>
      <c r="G8" s="81">
        <f>'Giá tháng'!G$48</f>
        <v>1</v>
      </c>
      <c r="H8" s="15">
        <f>ROUND(E8*F8*G8,1)</f>
        <v>2876.9</v>
      </c>
    </row>
    <row r="9" spans="1:8" ht="16.5" customHeight="1">
      <c r="A9" s="131"/>
      <c r="B9" s="91"/>
      <c r="C9" s="90" t="s">
        <v>679</v>
      </c>
      <c r="D9" s="91"/>
      <c r="E9" s="93"/>
      <c r="F9" s="132"/>
      <c r="G9" s="94"/>
      <c r="H9" s="132">
        <f>ROUND(H10,1)</f>
        <v>94446</v>
      </c>
    </row>
    <row r="10" spans="1:8" ht="27.75" customHeight="1">
      <c r="A10" s="133"/>
      <c r="B10" s="24" t="str">
        <f>'Giá tháng'!B$57</f>
        <v>M101.0115</v>
      </c>
      <c r="C10" s="25" t="str">
        <f>'Giá tháng'!C$57</f>
        <v>Máy đào 1,25 m3 gắn đầu búa thủy lực / hàm kẹp</v>
      </c>
      <c r="D10" s="24" t="str">
        <f>'Giá tháng'!D$57</f>
        <v>ca</v>
      </c>
      <c r="E10" s="84">
        <f>HaoPhiVatTu!H$11</f>
        <v>2.1999999999999999E-2</v>
      </c>
      <c r="F10" s="26">
        <f>ROUND('Tổng hợp VT'!O$66,1)</f>
        <v>4293002</v>
      </c>
      <c r="G10" s="85">
        <f>'Giá tháng'!G$57</f>
        <v>1</v>
      </c>
      <c r="H10" s="26">
        <f>ROUND(E10*F10*G10,1)</f>
        <v>94446</v>
      </c>
    </row>
    <row r="11" spans="1:8" ht="16.5" customHeight="1">
      <c r="A11" s="128">
        <f>'Công trình'!A11</f>
        <v>2</v>
      </c>
      <c r="B11" s="129" t="str">
        <f>'Công trình'!E11</f>
        <v>AB.31122</v>
      </c>
      <c r="C11" s="130" t="str">
        <f>'Công trình'!F11</f>
        <v>Đào nền đường, đất cấp II</v>
      </c>
      <c r="D11" s="129" t="str">
        <f>'Công trình'!G11</f>
        <v>100m3</v>
      </c>
      <c r="E11" s="65">
        <v>1</v>
      </c>
      <c r="F11" s="69"/>
      <c r="G11" s="67"/>
      <c r="H11" s="69"/>
    </row>
    <row r="12" spans="1:8" ht="16.5" customHeight="1">
      <c r="A12" s="131"/>
      <c r="B12" s="91"/>
      <c r="C12" s="90" t="s">
        <v>678</v>
      </c>
      <c r="D12" s="91"/>
      <c r="E12" s="93"/>
      <c r="F12" s="132"/>
      <c r="G12" s="94"/>
      <c r="H12" s="132">
        <f>ROUND(H13,1)</f>
        <v>759069.3</v>
      </c>
    </row>
    <row r="13" spans="1:8" ht="16.5" hidden="1" customHeight="1">
      <c r="A13" s="127"/>
      <c r="B13" s="13" t="str">
        <f>'Giá tháng'!B$48</f>
        <v>N1.30</v>
      </c>
      <c r="C13" s="14" t="str">
        <f>'Giá tháng'!C$48</f>
        <v>Nhân công 3,0/7 - Nhóm 1</v>
      </c>
      <c r="D13" s="13" t="str">
        <f>'Giá tháng'!D$48</f>
        <v>công</v>
      </c>
      <c r="E13" s="80">
        <f>HaoPhiVatTu!G$14</f>
        <v>3.43</v>
      </c>
      <c r="F13" s="15">
        <f>ROUND('Tổng hợp VT'!O$56,1)</f>
        <v>221303</v>
      </c>
      <c r="G13" s="81">
        <f>'Giá tháng'!G$48</f>
        <v>1</v>
      </c>
      <c r="H13" s="15">
        <f>ROUND(E13*F13*G13,1)</f>
        <v>759069.3</v>
      </c>
    </row>
    <row r="14" spans="1:8" ht="16.5" customHeight="1">
      <c r="A14" s="131"/>
      <c r="B14" s="91"/>
      <c r="C14" s="90" t="s">
        <v>679</v>
      </c>
      <c r="D14" s="91"/>
      <c r="E14" s="93"/>
      <c r="F14" s="132"/>
      <c r="G14" s="94"/>
      <c r="H14" s="132">
        <f>ROUND(H17,1)</f>
        <v>1149661.3</v>
      </c>
    </row>
    <row r="15" spans="1:8" ht="27.75" customHeight="1">
      <c r="A15" s="127"/>
      <c r="B15" s="13" t="str">
        <f>'Giá tháng'!B$60</f>
        <v>M101.0104</v>
      </c>
      <c r="C15" s="14" t="str">
        <f>'Giá tháng'!C$60</f>
        <v>Máy đào một gầu, bánh xích - dung tích gầu : 0,80 m3</v>
      </c>
      <c r="D15" s="13" t="str">
        <f>'Giá tháng'!D$60</f>
        <v>ca</v>
      </c>
      <c r="E15" s="80">
        <f>HaoPhiVatTu!H$16</f>
        <v>0.35499999999999998</v>
      </c>
      <c r="F15" s="15">
        <f>ROUND('Tổng hợp VT'!O$69,1)</f>
        <v>2958984</v>
      </c>
      <c r="G15" s="81">
        <f>'Giá tháng'!G$60</f>
        <v>1</v>
      </c>
      <c r="H15" s="15">
        <f>ROUND(E15*F15*G15,1)</f>
        <v>1050439.3</v>
      </c>
    </row>
    <row r="16" spans="1:8" ht="27.75" customHeight="1">
      <c r="A16" s="127"/>
      <c r="B16" s="13" t="str">
        <f>'Giá tháng'!B$76</f>
        <v>M101.0503</v>
      </c>
      <c r="C16" s="14" t="str">
        <f>'Giá tháng'!C$76</f>
        <v>Máy ủi - công suất : 110,0 CV</v>
      </c>
      <c r="D16" s="13" t="str">
        <f>'Giá tháng'!D$76</f>
        <v>ca</v>
      </c>
      <c r="E16" s="80">
        <f>HaoPhiVatTu!H$17</f>
        <v>4.7E-2</v>
      </c>
      <c r="F16" s="15">
        <f>ROUND('Tổng hợp VT'!O$85,1)</f>
        <v>2111107</v>
      </c>
      <c r="G16" s="81">
        <f>'Giá tháng'!G$76</f>
        <v>1</v>
      </c>
      <c r="H16" s="15">
        <f>ROUND(E16*F16*G16,1)</f>
        <v>99222</v>
      </c>
    </row>
    <row r="17" spans="1:8" ht="16.5" customHeight="1">
      <c r="A17" s="133"/>
      <c r="B17" s="24"/>
      <c r="C17" s="25" t="s">
        <v>776</v>
      </c>
      <c r="D17" s="24"/>
      <c r="E17" s="84"/>
      <c r="F17" s="26"/>
      <c r="G17" s="85"/>
      <c r="H17" s="26">
        <f>ROUND(SUM(H15:H16),1)</f>
        <v>1149661.3</v>
      </c>
    </row>
    <row r="18" spans="1:8" ht="27.75" customHeight="1">
      <c r="A18" s="128">
        <f>'Công trình'!A13</f>
        <v>3</v>
      </c>
      <c r="B18" s="129" t="str">
        <f>'Công trình'!E13</f>
        <v>AB.64113</v>
      </c>
      <c r="C18" s="130" t="str">
        <f>'Công trình'!F13</f>
        <v>Lớp đất núi đầm chặt K95, dày 30cm</v>
      </c>
      <c r="D18" s="129" t="str">
        <f>'Công trình'!G13</f>
        <v>100m3</v>
      </c>
      <c r="E18" s="65">
        <v>1</v>
      </c>
      <c r="F18" s="69"/>
      <c r="G18" s="67"/>
      <c r="H18" s="69"/>
    </row>
    <row r="19" spans="1:8" ht="16.5" customHeight="1">
      <c r="A19" s="131"/>
      <c r="B19" s="91"/>
      <c r="C19" s="90" t="s">
        <v>678</v>
      </c>
      <c r="D19" s="91"/>
      <c r="E19" s="93"/>
      <c r="F19" s="132"/>
      <c r="G19" s="94"/>
      <c r="H19" s="132">
        <f>ROUND(H20,1)</f>
        <v>365150</v>
      </c>
    </row>
    <row r="20" spans="1:8" ht="16.5" hidden="1" customHeight="1">
      <c r="A20" s="127"/>
      <c r="B20" s="13" t="str">
        <f>'Giá tháng'!B$48</f>
        <v>N1.30</v>
      </c>
      <c r="C20" s="14" t="str">
        <f>'Giá tháng'!C$48</f>
        <v>Nhân công 3,0/7 - Nhóm 1</v>
      </c>
      <c r="D20" s="13" t="str">
        <f>'Giá tháng'!D$48</f>
        <v>công</v>
      </c>
      <c r="E20" s="80">
        <f>HaoPhiVatTu!G$20</f>
        <v>1.65</v>
      </c>
      <c r="F20" s="15">
        <f>ROUND('Tổng hợp VT'!O$56,1)</f>
        <v>221303</v>
      </c>
      <c r="G20" s="81">
        <f>'Giá tháng'!G$48</f>
        <v>1</v>
      </c>
      <c r="H20" s="15">
        <f>ROUND(E20*F20*G20,1)</f>
        <v>365150</v>
      </c>
    </row>
    <row r="21" spans="1:8" ht="16.5" customHeight="1">
      <c r="A21" s="131"/>
      <c r="B21" s="91"/>
      <c r="C21" s="90" t="s">
        <v>679</v>
      </c>
      <c r="D21" s="91"/>
      <c r="E21" s="93"/>
      <c r="F21" s="132"/>
      <c r="G21" s="94"/>
      <c r="H21" s="132">
        <f>ROUND(H25,1)</f>
        <v>944559.5</v>
      </c>
    </row>
    <row r="22" spans="1:8" ht="27.75" customHeight="1">
      <c r="A22" s="127"/>
      <c r="B22" s="13" t="str">
        <f>'Giá tháng'!B$69</f>
        <v>M101.1102</v>
      </c>
      <c r="C22" s="14" t="str">
        <f>'Giá tháng'!C$69</f>
        <v>Máy lu bánh thép tự hành - trọng lượng tĩnh : 8,5 T - 9 T</v>
      </c>
      <c r="D22" s="13" t="str">
        <f>'Giá tháng'!D$69</f>
        <v>ca</v>
      </c>
      <c r="E22" s="80">
        <f>HaoPhiVatTu!H$22</f>
        <v>0.42</v>
      </c>
      <c r="F22" s="15">
        <f>ROUND('Tổng hợp VT'!O$78,1)</f>
        <v>1160162</v>
      </c>
      <c r="G22" s="81">
        <f>'Giá tháng'!G$69</f>
        <v>1</v>
      </c>
      <c r="H22" s="15">
        <f>ROUND(E22*F22*G22,1)</f>
        <v>487268</v>
      </c>
    </row>
    <row r="23" spans="1:8" ht="27.75" customHeight="1">
      <c r="A23" s="127"/>
      <c r="B23" s="13" t="str">
        <f>'Giá tháng'!B$76</f>
        <v>M101.0503</v>
      </c>
      <c r="C23" s="14" t="str">
        <f>'Giá tháng'!C$76</f>
        <v>Máy ủi - công suất : 110,0 CV</v>
      </c>
      <c r="D23" s="13" t="str">
        <f>'Giá tháng'!D$76</f>
        <v>ca</v>
      </c>
      <c r="E23" s="80">
        <f>HaoPhiVatTu!H$23</f>
        <v>0.21</v>
      </c>
      <c r="F23" s="15">
        <f>ROUND('Tổng hợp VT'!O$85,1)</f>
        <v>2111107</v>
      </c>
      <c r="G23" s="81">
        <f>'Giá tháng'!G$76</f>
        <v>1</v>
      </c>
      <c r="H23" s="15">
        <f>ROUND(E23*F23*G23,1)</f>
        <v>443332.5</v>
      </c>
    </row>
    <row r="24" spans="1:8" ht="16.5" customHeight="1">
      <c r="A24" s="127"/>
      <c r="B24" s="13" t="s">
        <v>680</v>
      </c>
      <c r="C24" s="14" t="s">
        <v>681</v>
      </c>
      <c r="D24" s="13" t="s">
        <v>682</v>
      </c>
      <c r="E24" s="80">
        <f>HaoPhiVatTu!H$24</f>
        <v>1.5</v>
      </c>
      <c r="F24" s="15">
        <f>ROUND(SUM(H22:H23),1)</f>
        <v>930600.5</v>
      </c>
      <c r="G24" s="81"/>
      <c r="H24" s="15">
        <f>ROUND(E24*F24/100,1)</f>
        <v>13959</v>
      </c>
    </row>
    <row r="25" spans="1:8" ht="16.5" customHeight="1">
      <c r="A25" s="133"/>
      <c r="B25" s="24"/>
      <c r="C25" s="25" t="s">
        <v>776</v>
      </c>
      <c r="D25" s="24"/>
      <c r="E25" s="84"/>
      <c r="F25" s="26"/>
      <c r="G25" s="85"/>
      <c r="H25" s="26">
        <f>ROUND(SUM(H22:H24),1)</f>
        <v>944559.5</v>
      </c>
    </row>
    <row r="26" spans="1:8" ht="16.5" customHeight="1">
      <c r="A26" s="128">
        <f>'Công trình'!A15</f>
        <v>4</v>
      </c>
      <c r="B26" s="129" t="str">
        <f>'Công trình'!E15</f>
        <v>TT</v>
      </c>
      <c r="C26" s="130" t="str">
        <f>'Công trình'!F15</f>
        <v>Tiền đất núi</v>
      </c>
      <c r="D26" s="129" t="str">
        <f>'Công trình'!G15</f>
        <v>m3</v>
      </c>
      <c r="E26" s="65">
        <v>1</v>
      </c>
      <c r="F26" s="69"/>
      <c r="G26" s="67"/>
      <c r="H26" s="69"/>
    </row>
    <row r="27" spans="1:8" ht="16.5" customHeight="1">
      <c r="A27" s="131"/>
      <c r="B27" s="91"/>
      <c r="C27" s="90" t="s">
        <v>683</v>
      </c>
      <c r="D27" s="91"/>
      <c r="E27" s="93"/>
      <c r="F27" s="132"/>
      <c r="G27" s="94"/>
      <c r="H27" s="132">
        <f>ROUND(H28,1)</f>
        <v>190000</v>
      </c>
    </row>
    <row r="28" spans="1:8" ht="16.5" customHeight="1">
      <c r="A28" s="133"/>
      <c r="B28" s="24" t="str">
        <f>""</f>
        <v/>
      </c>
      <c r="C28" s="25" t="s">
        <v>27</v>
      </c>
      <c r="D28" s="24" t="str">
        <f>""</f>
        <v/>
      </c>
      <c r="E28" s="84">
        <v>1</v>
      </c>
      <c r="F28" s="26">
        <f>ROUND('Tổng hợp VT'!O6,1)</f>
        <v>190000</v>
      </c>
      <c r="G28" s="85"/>
      <c r="H28" s="26">
        <f>ROUND(E28*F28,1)</f>
        <v>190000</v>
      </c>
    </row>
    <row r="29" spans="1:8" ht="27.75" customHeight="1">
      <c r="A29" s="128">
        <f>'Công trình'!A17</f>
        <v>5</v>
      </c>
      <c r="B29" s="129" t="str">
        <f>'Công trình'!E17</f>
        <v>AD.11222</v>
      </c>
      <c r="C29" s="130" t="str">
        <f>'Công trình'!F17</f>
        <v>Cấp phối đá dăm loại I, lớp trên dày 18 cm</v>
      </c>
      <c r="D29" s="129" t="str">
        <f>'Công trình'!G17</f>
        <v>100m3</v>
      </c>
      <c r="E29" s="65">
        <v>1</v>
      </c>
      <c r="F29" s="69"/>
      <c r="G29" s="67"/>
      <c r="H29" s="69"/>
    </row>
    <row r="30" spans="1:8" ht="16.5" customHeight="1">
      <c r="A30" s="131"/>
      <c r="B30" s="91"/>
      <c r="C30" s="90" t="s">
        <v>683</v>
      </c>
      <c r="D30" s="91"/>
      <c r="E30" s="93"/>
      <c r="F30" s="132"/>
      <c r="G30" s="94"/>
      <c r="H30" s="132">
        <f>ROUND(H31,1)</f>
        <v>36180000</v>
      </c>
    </row>
    <row r="31" spans="1:8" ht="16.5" hidden="1" customHeight="1">
      <c r="A31" s="127"/>
      <c r="B31" s="13" t="str">
        <f>'Giá tháng'!B$11</f>
        <v>A24.0251</v>
      </c>
      <c r="C31" s="14" t="str">
        <f>'Giá tháng'!C$11</f>
        <v>Cấp phối đá dăm loại I</v>
      </c>
      <c r="D31" s="13" t="str">
        <f>'Giá tháng'!D$11</f>
        <v>m3</v>
      </c>
      <c r="E31" s="80">
        <f>HaoPhiVatTu!F$27</f>
        <v>134</v>
      </c>
      <c r="F31" s="15">
        <f>ROUND('Tổng hợp VT'!O$16,1)</f>
        <v>270000</v>
      </c>
      <c r="G31" s="81">
        <f>'Giá tháng'!G$11</f>
        <v>1</v>
      </c>
      <c r="H31" s="15">
        <f>ROUND(E31*F31*G31,1)</f>
        <v>36180000</v>
      </c>
    </row>
    <row r="32" spans="1:8" ht="16.5" customHeight="1">
      <c r="A32" s="131"/>
      <c r="B32" s="91"/>
      <c r="C32" s="90" t="s">
        <v>678</v>
      </c>
      <c r="D32" s="91"/>
      <c r="E32" s="93"/>
      <c r="F32" s="132"/>
      <c r="G32" s="94"/>
      <c r="H32" s="132">
        <f>ROUND(H33,1)</f>
        <v>843363.8</v>
      </c>
    </row>
    <row r="33" spans="1:8" ht="16.5" hidden="1" customHeight="1">
      <c r="A33" s="127"/>
      <c r="B33" s="13" t="str">
        <f>'Giá tháng'!B$49</f>
        <v>N2.30</v>
      </c>
      <c r="C33" s="14" t="str">
        <f>'Giá tháng'!C$49</f>
        <v>Nhân công 3,0/7 - Nhóm 2</v>
      </c>
      <c r="D33" s="13" t="str">
        <f>'Giá tháng'!D$49</f>
        <v>công</v>
      </c>
      <c r="E33" s="80">
        <f>HaoPhiVatTu!G$29</f>
        <v>3.52</v>
      </c>
      <c r="F33" s="15">
        <f>ROUND('Tổng hợp VT'!O$57,1)</f>
        <v>239592</v>
      </c>
      <c r="G33" s="81">
        <f>'Giá tháng'!G$49</f>
        <v>1</v>
      </c>
      <c r="H33" s="15">
        <f>ROUND(E33*F33*G33,1)</f>
        <v>843363.8</v>
      </c>
    </row>
    <row r="34" spans="1:8" ht="16.5" customHeight="1">
      <c r="A34" s="131"/>
      <c r="B34" s="91"/>
      <c r="C34" s="90" t="s">
        <v>679</v>
      </c>
      <c r="D34" s="91"/>
      <c r="E34" s="93"/>
      <c r="F34" s="132"/>
      <c r="G34" s="94"/>
      <c r="H34" s="132">
        <f>ROUND(H41,1)</f>
        <v>2714101.5</v>
      </c>
    </row>
    <row r="35" spans="1:8" ht="27.75" customHeight="1">
      <c r="A35" s="127"/>
      <c r="B35" s="13" t="str">
        <f>'Giá tháng'!B$73</f>
        <v>M105.0401</v>
      </c>
      <c r="C35" s="14" t="str">
        <f>'Giá tháng'!C$73</f>
        <v>Máy rải cấp phối đá dăm - năng suất : 50 m3/h - 60 m3/h</v>
      </c>
      <c r="D35" s="13" t="str">
        <f>'Giá tháng'!D$73</f>
        <v>ca</v>
      </c>
      <c r="E35" s="80">
        <f>HaoPhiVatTu!H$31</f>
        <v>0.21</v>
      </c>
      <c r="F35" s="15">
        <f>ROUND('Tổng hợp VT'!O$82,1)</f>
        <v>3787695</v>
      </c>
      <c r="G35" s="81">
        <f>'Giá tháng'!G$73</f>
        <v>1</v>
      </c>
      <c r="H35" s="15">
        <f>ROUND(E35*F35*G35,1)</f>
        <v>795416</v>
      </c>
    </row>
    <row r="36" spans="1:8" ht="27.75" customHeight="1">
      <c r="A36" s="127"/>
      <c r="B36" s="13" t="str">
        <f>'Giá tháng'!B$70</f>
        <v>M101.1006</v>
      </c>
      <c r="C36" s="14" t="str">
        <f>'Giá tháng'!C$70</f>
        <v>Máy lu rung tự hành - trọng lượng tĩnh : 25T</v>
      </c>
      <c r="D36" s="13" t="str">
        <f>'Giá tháng'!D$70</f>
        <v>ca</v>
      </c>
      <c r="E36" s="80">
        <f>HaoPhiVatTu!H$32</f>
        <v>0.32</v>
      </c>
      <c r="F36" s="15">
        <f>ROUND('Tổng hợp VT'!O$79,1)</f>
        <v>3220793</v>
      </c>
      <c r="G36" s="81">
        <f>'Giá tháng'!G$70</f>
        <v>1</v>
      </c>
      <c r="H36" s="15">
        <f>ROUND(E36*F36*G36,1)</f>
        <v>1030653.8</v>
      </c>
    </row>
    <row r="37" spans="1:8" ht="27.75" customHeight="1">
      <c r="A37" s="127"/>
      <c r="B37" s="13" t="str">
        <f>'Giá tháng'!B$66</f>
        <v>M101.0902</v>
      </c>
      <c r="C37" s="14" t="str">
        <f>'Giá tháng'!C$66</f>
        <v>Máy lu bánh hơi tự hành - trọng lượng tĩnh : 16,0 T</v>
      </c>
      <c r="D37" s="13" t="str">
        <f>'Giá tháng'!D$66</f>
        <v>ca</v>
      </c>
      <c r="E37" s="80">
        <f>HaoPhiVatTu!H$33</f>
        <v>0.15</v>
      </c>
      <c r="F37" s="15">
        <f>ROUND('Tổng hợp VT'!O$75,1)</f>
        <v>1793732</v>
      </c>
      <c r="G37" s="81">
        <f>'Giá tháng'!G$66</f>
        <v>1</v>
      </c>
      <c r="H37" s="15">
        <f>ROUND(E37*F37*G37,1)</f>
        <v>269059.8</v>
      </c>
    </row>
    <row r="38" spans="1:8" ht="27.75" customHeight="1">
      <c r="A38" s="127"/>
      <c r="B38" s="13" t="str">
        <f>'Giá tháng'!B$67</f>
        <v>M101.1103</v>
      </c>
      <c r="C38" s="14" t="str">
        <f>'Giá tháng'!C$67</f>
        <v>Máy lu bánh thép tự hành - trọng lượng tĩnh : 10,0 T</v>
      </c>
      <c r="D38" s="13" t="str">
        <f>'Giá tháng'!D$67</f>
        <v>ca</v>
      </c>
      <c r="E38" s="80">
        <f>HaoPhiVatTu!H$34</f>
        <v>0.26</v>
      </c>
      <c r="F38" s="15">
        <f>ROUND('Tổng hợp VT'!O$76,1)</f>
        <v>1295671</v>
      </c>
      <c r="G38" s="81">
        <f>'Giá tháng'!G$67</f>
        <v>1</v>
      </c>
      <c r="H38" s="15">
        <f>ROUND(E38*F38*G38,1)</f>
        <v>336874.5</v>
      </c>
    </row>
    <row r="39" spans="1:8" ht="27.75" customHeight="1">
      <c r="A39" s="127"/>
      <c r="B39" s="13" t="str">
        <f>'Giá tháng'!B$80</f>
        <v>M106.0502</v>
      </c>
      <c r="C39" s="14" t="str">
        <f>'Giá tháng'!C$80</f>
        <v>Ô tô tưới nước - dung tích : 5,0 m3</v>
      </c>
      <c r="D39" s="13" t="str">
        <f>'Giá tháng'!D$80</f>
        <v>ca</v>
      </c>
      <c r="E39" s="80">
        <f>HaoPhiVatTu!H$35</f>
        <v>0.21</v>
      </c>
      <c r="F39" s="15">
        <f>ROUND('Tổng hợp VT'!O$88,1)</f>
        <v>1279021</v>
      </c>
      <c r="G39" s="81">
        <f>'Giá tháng'!G$80</f>
        <v>1</v>
      </c>
      <c r="H39" s="15">
        <f>ROUND(E39*F39*G39,1)</f>
        <v>268594.40000000002</v>
      </c>
    </row>
    <row r="40" spans="1:8" ht="16.5" customHeight="1">
      <c r="A40" s="127"/>
      <c r="B40" s="13" t="s">
        <v>680</v>
      </c>
      <c r="C40" s="14" t="s">
        <v>681</v>
      </c>
      <c r="D40" s="13" t="s">
        <v>682</v>
      </c>
      <c r="E40" s="80">
        <f>HaoPhiVatTu!H$36</f>
        <v>0.5</v>
      </c>
      <c r="F40" s="15">
        <f>ROUND(SUM(H35:H39),1)</f>
        <v>2700598.5</v>
      </c>
      <c r="G40" s="81"/>
      <c r="H40" s="15">
        <f>ROUND(E40*F40/100,1)</f>
        <v>13503</v>
      </c>
    </row>
    <row r="41" spans="1:8" ht="16.5" customHeight="1">
      <c r="A41" s="133"/>
      <c r="B41" s="24"/>
      <c r="C41" s="25" t="s">
        <v>776</v>
      </c>
      <c r="D41" s="24"/>
      <c r="E41" s="84"/>
      <c r="F41" s="26"/>
      <c r="G41" s="85"/>
      <c r="H41" s="26">
        <f>ROUND(SUM(H35:H40),1)</f>
        <v>2714101.5</v>
      </c>
    </row>
    <row r="42" spans="1:8" ht="40.5" customHeight="1">
      <c r="A42" s="128">
        <f>'Công trình'!A19</f>
        <v>6</v>
      </c>
      <c r="B42" s="129" t="str">
        <f>'Công trình'!E19</f>
        <v>AB.41413</v>
      </c>
      <c r="C42" s="130" t="str">
        <f>'Công trình'!F19</f>
        <v xml:space="preserve">Vận chuyển đất bằng ôtô tự đổ 5 tấn </v>
      </c>
      <c r="D42" s="129" t="str">
        <f>'Công trình'!G19</f>
        <v>100m3</v>
      </c>
      <c r="E42" s="65">
        <v>1</v>
      </c>
      <c r="F42" s="69"/>
      <c r="G42" s="67"/>
      <c r="H42" s="69"/>
    </row>
    <row r="43" spans="1:8" ht="16.5" customHeight="1">
      <c r="A43" s="131"/>
      <c r="B43" s="91"/>
      <c r="C43" s="90" t="s">
        <v>679</v>
      </c>
      <c r="D43" s="91"/>
      <c r="E43" s="93"/>
      <c r="F43" s="132"/>
      <c r="G43" s="94"/>
      <c r="H43" s="132">
        <f>ROUND(H44,1)</f>
        <v>2978096.4</v>
      </c>
    </row>
    <row r="44" spans="1:8" ht="27.75" customHeight="1">
      <c r="A44" s="133"/>
      <c r="B44" s="24" t="str">
        <f>'Giá tháng'!B$78</f>
        <v>M106.0202</v>
      </c>
      <c r="C44" s="25" t="str">
        <f>'Giá tháng'!C$78</f>
        <v>Ô tô tự đổ - trọng tải : 5,0 T</v>
      </c>
      <c r="D44" s="24" t="str">
        <f>'Giá tháng'!D$78</f>
        <v>ca</v>
      </c>
      <c r="E44" s="84">
        <f>HaoPhiVatTu!H$39</f>
        <v>1.7110000000000001</v>
      </c>
      <c r="F44" s="26">
        <f>ROUND('Tổng hợp VT'!O$87,1)</f>
        <v>1740559</v>
      </c>
      <c r="G44" s="85">
        <f>'Giá tháng'!G$78</f>
        <v>1</v>
      </c>
      <c r="H44" s="26">
        <f>ROUND(E44*F44*G44,1)</f>
        <v>2978096.4</v>
      </c>
    </row>
    <row r="45" spans="1:8" ht="40.5" customHeight="1">
      <c r="A45" s="128">
        <f>'Công trình'!A22</f>
        <v>7</v>
      </c>
      <c r="B45" s="129" t="str">
        <f>'Công trình'!E22</f>
        <v>AB.42213</v>
      </c>
      <c r="C45" s="130" t="str">
        <f>'Công trình'!F22</f>
        <v>Vận chuyển đất bằng ô tô tự đổ 5T 1km tiếp theo ngoài phạm vi 5km, đất cấp III</v>
      </c>
      <c r="D45" s="129" t="str">
        <f>'Công trình'!G22</f>
        <v>100m3</v>
      </c>
      <c r="E45" s="65">
        <v>1</v>
      </c>
      <c r="F45" s="69"/>
      <c r="G45" s="67"/>
      <c r="H45" s="69"/>
    </row>
    <row r="46" spans="1:8" ht="16.5" customHeight="1">
      <c r="A46" s="131"/>
      <c r="B46" s="91"/>
      <c r="C46" s="90" t="s">
        <v>679</v>
      </c>
      <c r="D46" s="91"/>
      <c r="E46" s="93"/>
      <c r="F46" s="132"/>
      <c r="G46" s="94"/>
      <c r="H46" s="132">
        <f>ROUND(H47,1)</f>
        <v>3975436.8</v>
      </c>
    </row>
    <row r="47" spans="1:8" ht="27.75" customHeight="1">
      <c r="A47" s="133"/>
      <c r="B47" s="24" t="str">
        <f>'Giá tháng'!B$79</f>
        <v>M106.0202</v>
      </c>
      <c r="C47" s="25" t="str">
        <f>'Giá tháng'!C$79</f>
        <v>Ô tô tự đổ - trọng tải : 5,0 T</v>
      </c>
      <c r="D47" s="24" t="str">
        <f>'Giá tháng'!D$79</f>
        <v>ca</v>
      </c>
      <c r="E47" s="84">
        <f>HaoPhiVatTu!H$42</f>
        <v>0.57099999999999995</v>
      </c>
      <c r="F47" s="26">
        <f>ROUND('Tổng hợp VT'!O$87,1)</f>
        <v>1740559</v>
      </c>
      <c r="G47" s="85">
        <f>'Giá tháng'!G$79</f>
        <v>4</v>
      </c>
      <c r="H47" s="26">
        <f>ROUND(E47*F47*G47,1)</f>
        <v>3975436.8</v>
      </c>
    </row>
    <row r="48" spans="1:8" ht="40.5" customHeight="1">
      <c r="A48" s="128">
        <f>'Công trình'!A24</f>
        <v>7</v>
      </c>
      <c r="B48" s="129" t="str">
        <f>'Công trình'!E24</f>
        <v>AB.41412</v>
      </c>
      <c r="C48" s="130" t="str">
        <f>'Công trình'!F24</f>
        <v>Vận chuyển đất bằng ôtô tự đổ 5 tấn trong phạm vi &lt;= 1000m, đất cấp II</v>
      </c>
      <c r="D48" s="129" t="str">
        <f>'Công trình'!G24</f>
        <v>100m3</v>
      </c>
      <c r="E48" s="65">
        <v>1</v>
      </c>
      <c r="F48" s="69"/>
      <c r="G48" s="67"/>
      <c r="H48" s="69"/>
    </row>
    <row r="49" spans="1:8" ht="16.5" customHeight="1">
      <c r="A49" s="131"/>
      <c r="B49" s="91"/>
      <c r="C49" s="90" t="s">
        <v>679</v>
      </c>
      <c r="D49" s="91"/>
      <c r="E49" s="93"/>
      <c r="F49" s="132"/>
      <c r="G49" s="94"/>
      <c r="H49" s="132">
        <f>ROUND(H50,1)</f>
        <v>2313202.9</v>
      </c>
    </row>
    <row r="50" spans="1:8" ht="27.75" customHeight="1">
      <c r="A50" s="133"/>
      <c r="B50" s="24" t="str">
        <f>'Giá tháng'!B$78</f>
        <v>M106.0202</v>
      </c>
      <c r="C50" s="25" t="str">
        <f>'Giá tháng'!C$78</f>
        <v>Ô tô tự đổ - trọng tải : 5,0 T</v>
      </c>
      <c r="D50" s="24" t="str">
        <f>'Giá tháng'!D$78</f>
        <v>ca</v>
      </c>
      <c r="E50" s="84">
        <f>HaoPhiVatTu!H$45</f>
        <v>1.329</v>
      </c>
      <c r="F50" s="26">
        <f>ROUND('Tổng hợp VT'!O$87,1)</f>
        <v>1740559</v>
      </c>
      <c r="G50" s="85">
        <f>'Giá tháng'!G$78</f>
        <v>1</v>
      </c>
      <c r="H50" s="26">
        <f>ROUND(E50*F50*G50,1)</f>
        <v>2313202.9</v>
      </c>
    </row>
    <row r="51" spans="1:8" ht="40.5" customHeight="1">
      <c r="A51" s="128">
        <f>'Công trình'!A27</f>
        <v>9</v>
      </c>
      <c r="B51" s="129" t="str">
        <f>'Công trình'!E27</f>
        <v>AB.42212</v>
      </c>
      <c r="C51" s="130" t="str">
        <f>'Công trình'!F27</f>
        <v>Vận chuyển đất bằng ô tô tự đổ 5T 1km tiếp theo ngoài phạm vi 5km, đất cấp II</v>
      </c>
      <c r="D51" s="129" t="str">
        <f>'Công trình'!G27</f>
        <v>100m3</v>
      </c>
      <c r="E51" s="65">
        <v>1</v>
      </c>
      <c r="F51" s="69"/>
      <c r="G51" s="67"/>
      <c r="H51" s="69"/>
    </row>
    <row r="52" spans="1:8" ht="16.5" customHeight="1">
      <c r="A52" s="131"/>
      <c r="B52" s="91"/>
      <c r="C52" s="90" t="s">
        <v>679</v>
      </c>
      <c r="D52" s="91"/>
      <c r="E52" s="93"/>
      <c r="F52" s="132"/>
      <c r="G52" s="94"/>
      <c r="H52" s="132">
        <f>ROUND(H53,1)</f>
        <v>3550740.4</v>
      </c>
    </row>
    <row r="53" spans="1:8" ht="27.75" customHeight="1">
      <c r="A53" s="133"/>
      <c r="B53" s="24" t="str">
        <f>'Giá tháng'!B$79</f>
        <v>M106.0202</v>
      </c>
      <c r="C53" s="25" t="str">
        <f>'Giá tháng'!C$79</f>
        <v>Ô tô tự đổ - trọng tải : 5,0 T</v>
      </c>
      <c r="D53" s="24" t="str">
        <f>'Giá tháng'!D$79</f>
        <v>ca</v>
      </c>
      <c r="E53" s="84">
        <f>HaoPhiVatTu!H$48</f>
        <v>0.51</v>
      </c>
      <c r="F53" s="26">
        <f>ROUND('Tổng hợp VT'!O$87,1)</f>
        <v>1740559</v>
      </c>
      <c r="G53" s="85">
        <f>'Giá tháng'!G$79</f>
        <v>4</v>
      </c>
      <c r="H53" s="26">
        <f>ROUND(E53*F53*G53,1)</f>
        <v>3550740.4</v>
      </c>
    </row>
    <row r="54" spans="1:8" ht="16.5" customHeight="1">
      <c r="A54" s="128">
        <f>'Công trình'!A30</f>
        <v>8</v>
      </c>
      <c r="B54" s="129" t="str">
        <f>'Công trình'!E30</f>
        <v>AL.16122</v>
      </c>
      <c r="C54" s="130" t="str">
        <f>'Công trình'!F30</f>
        <v>Nilon chống mất nước xi măng</v>
      </c>
      <c r="D54" s="129" t="str">
        <f>'Công trình'!G30</f>
        <v>100m2</v>
      </c>
      <c r="E54" s="65">
        <v>1</v>
      </c>
      <c r="F54" s="69"/>
      <c r="G54" s="67"/>
      <c r="H54" s="69"/>
    </row>
    <row r="55" spans="1:8" ht="16.5" customHeight="1">
      <c r="A55" s="131"/>
      <c r="B55" s="91"/>
      <c r="C55" s="90" t="s">
        <v>683</v>
      </c>
      <c r="D55" s="91"/>
      <c r="E55" s="93"/>
      <c r="F55" s="132"/>
      <c r="G55" s="94"/>
      <c r="H55" s="132">
        <f>ROUND(H58,1)</f>
        <v>1104705</v>
      </c>
    </row>
    <row r="56" spans="1:8" ht="16.5" hidden="1" customHeight="1">
      <c r="A56" s="127"/>
      <c r="B56" s="13" t="str">
        <f>'Giá tháng'!B$30</f>
        <v>A24.0782</v>
      </c>
      <c r="C56" s="14" t="str">
        <f>'Giá tháng'!C$30</f>
        <v>Nilon chống mất nước XM</v>
      </c>
      <c r="D56" s="13" t="str">
        <f>'Giá tháng'!D$30</f>
        <v>m2</v>
      </c>
      <c r="E56" s="80">
        <f>HaoPhiVatTu!F$51</f>
        <v>105</v>
      </c>
      <c r="F56" s="15">
        <f>ROUND('Tổng hợp VT'!O$35,1)</f>
        <v>10500</v>
      </c>
      <c r="G56" s="81">
        <f>'Giá tháng'!G$30</f>
        <v>1</v>
      </c>
      <c r="H56" s="15">
        <f>ROUND(E56*F56*G56,1)</f>
        <v>1102500</v>
      </c>
    </row>
    <row r="57" spans="1:8" ht="16.5" hidden="1" customHeight="1">
      <c r="A57" s="127"/>
      <c r="B57" s="13" t="s">
        <v>684</v>
      </c>
      <c r="C57" s="14" t="s">
        <v>685</v>
      </c>
      <c r="D57" s="13" t="s">
        <v>682</v>
      </c>
      <c r="E57" s="80">
        <f>HaoPhiVatTu!F$52</f>
        <v>0.2</v>
      </c>
      <c r="F57" s="15">
        <f>ROUND(SUM(H56:H56),1)</f>
        <v>1102500</v>
      </c>
      <c r="G57" s="81"/>
      <c r="H57" s="15">
        <f>ROUND(E57*F57/100,1)</f>
        <v>2205</v>
      </c>
    </row>
    <row r="58" spans="1:8" ht="16.5" customHeight="1">
      <c r="A58" s="127"/>
      <c r="B58" s="13"/>
      <c r="C58" s="14" t="s">
        <v>776</v>
      </c>
      <c r="D58" s="13"/>
      <c r="E58" s="80"/>
      <c r="F58" s="15"/>
      <c r="G58" s="81"/>
      <c r="H58" s="15">
        <f>ROUND(SUM(H56:H57),1)</f>
        <v>1104705</v>
      </c>
    </row>
    <row r="59" spans="1:8" ht="16.5" customHeight="1">
      <c r="A59" s="131"/>
      <c r="B59" s="91"/>
      <c r="C59" s="90" t="s">
        <v>678</v>
      </c>
      <c r="D59" s="91"/>
      <c r="E59" s="93"/>
      <c r="F59" s="132"/>
      <c r="G59" s="94"/>
      <c r="H59" s="132">
        <f>ROUND(H60,1)</f>
        <v>282960</v>
      </c>
    </row>
    <row r="60" spans="1:8" ht="16.5" hidden="1" customHeight="1">
      <c r="A60" s="133"/>
      <c r="B60" s="24" t="str">
        <f>'Giá tháng'!B$51</f>
        <v>N2.35</v>
      </c>
      <c r="C60" s="25" t="str">
        <f>'Giá tháng'!C$51</f>
        <v>Nhân công 3,5/7 - Nhóm 2</v>
      </c>
      <c r="D60" s="24" t="str">
        <f>'Giá tháng'!D$51</f>
        <v>công</v>
      </c>
      <c r="E60" s="84">
        <f>HaoPhiVatTu!G$54</f>
        <v>1.08</v>
      </c>
      <c r="F60" s="26">
        <f>ROUND('Tổng hợp VT'!O$59,1)</f>
        <v>262000</v>
      </c>
      <c r="G60" s="85">
        <f>'Giá tháng'!G$51</f>
        <v>1</v>
      </c>
      <c r="H60" s="26">
        <f>ROUND(E60*F60*G60,1)</f>
        <v>282960</v>
      </c>
    </row>
    <row r="61" spans="1:8" ht="27.75" customHeight="1">
      <c r="A61" s="128">
        <f>'Công trình'!A32</f>
        <v>9</v>
      </c>
      <c r="B61" s="129" t="str">
        <f>'Công trình'!E32</f>
        <v>AF.82411</v>
      </c>
      <c r="C61" s="130" t="str">
        <f>'Công trình'!F32</f>
        <v>Ván khuôn thép. Ván khuôn mặt đường</v>
      </c>
      <c r="D61" s="129" t="str">
        <f>'Công trình'!G32</f>
        <v>100m2</v>
      </c>
      <c r="E61" s="65">
        <v>1</v>
      </c>
      <c r="F61" s="69"/>
      <c r="G61" s="67"/>
      <c r="H61" s="69"/>
    </row>
    <row r="62" spans="1:8" ht="16.5" customHeight="1">
      <c r="A62" s="131"/>
      <c r="B62" s="91"/>
      <c r="C62" s="90" t="s">
        <v>683</v>
      </c>
      <c r="D62" s="91"/>
      <c r="E62" s="93"/>
      <c r="F62" s="132"/>
      <c r="G62" s="94"/>
      <c r="H62" s="132">
        <f>ROUND(H66,1)</f>
        <v>686437.5</v>
      </c>
    </row>
    <row r="63" spans="1:8" ht="16.5" hidden="1" customHeight="1">
      <c r="A63" s="127"/>
      <c r="B63" s="13" t="str">
        <f>'Giá tháng'!B$39</f>
        <v>A24.0921</v>
      </c>
      <c r="C63" s="14" t="str">
        <f>'Giá tháng'!C$39</f>
        <v>Thép hình, thép tấm</v>
      </c>
      <c r="D63" s="13" t="str">
        <f>'Giá tháng'!D$39</f>
        <v>kg</v>
      </c>
      <c r="E63" s="80">
        <f>HaoPhiVatTu!F$57</f>
        <v>31.5</v>
      </c>
      <c r="F63" s="15">
        <f>ROUND('Tổng hợp VT'!O$44,1)</f>
        <v>19500</v>
      </c>
      <c r="G63" s="81">
        <f>'Giá tháng'!G$39</f>
        <v>1</v>
      </c>
      <c r="H63" s="15">
        <f>ROUND(E63*F63*G63,1)</f>
        <v>614250</v>
      </c>
    </row>
    <row r="64" spans="1:8" ht="16.5" hidden="1" customHeight="1">
      <c r="A64" s="127"/>
      <c r="B64" s="13" t="str">
        <f>'Giá tháng'!B$37</f>
        <v>A24.0543</v>
      </c>
      <c r="C64" s="14" t="str">
        <f>'Giá tháng'!C$37</f>
        <v>Que hàn</v>
      </c>
      <c r="D64" s="13" t="str">
        <f>'Giá tháng'!D$37</f>
        <v>kg</v>
      </c>
      <c r="E64" s="80">
        <f>HaoPhiVatTu!F$58</f>
        <v>1.58</v>
      </c>
      <c r="F64" s="15">
        <f>ROUND('Tổng hợp VT'!O$42,1)</f>
        <v>25000</v>
      </c>
      <c r="G64" s="81">
        <f>'Giá tháng'!G$37</f>
        <v>1</v>
      </c>
      <c r="H64" s="15">
        <f>ROUND(E64*F64*G64,1)</f>
        <v>39500</v>
      </c>
    </row>
    <row r="65" spans="1:8" ht="16.5" hidden="1" customHeight="1">
      <c r="A65" s="127"/>
      <c r="B65" s="13" t="s">
        <v>684</v>
      </c>
      <c r="C65" s="14" t="s">
        <v>685</v>
      </c>
      <c r="D65" s="13" t="s">
        <v>682</v>
      </c>
      <c r="E65" s="80">
        <f>HaoPhiVatTu!F$59</f>
        <v>5</v>
      </c>
      <c r="F65" s="15">
        <f>ROUND(SUM(H63:H64),1)</f>
        <v>653750</v>
      </c>
      <c r="G65" s="81"/>
      <c r="H65" s="15">
        <f>ROUND(E65*F65/100,1)</f>
        <v>32687.5</v>
      </c>
    </row>
    <row r="66" spans="1:8" ht="16.5" customHeight="1">
      <c r="A66" s="127"/>
      <c r="B66" s="13"/>
      <c r="C66" s="14" t="s">
        <v>776</v>
      </c>
      <c r="D66" s="13"/>
      <c r="E66" s="80"/>
      <c r="F66" s="15"/>
      <c r="G66" s="81"/>
      <c r="H66" s="15">
        <f>ROUND(SUM(H63:H65),1)</f>
        <v>686437.5</v>
      </c>
    </row>
    <row r="67" spans="1:8" ht="16.5" customHeight="1">
      <c r="A67" s="131"/>
      <c r="B67" s="91"/>
      <c r="C67" s="90" t="s">
        <v>678</v>
      </c>
      <c r="D67" s="91"/>
      <c r="E67" s="93"/>
      <c r="F67" s="132"/>
      <c r="G67" s="94"/>
      <c r="H67" s="132">
        <f>ROUND(H68,1)</f>
        <v>3270692</v>
      </c>
    </row>
    <row r="68" spans="1:8" ht="16.5" hidden="1" customHeight="1">
      <c r="A68" s="127"/>
      <c r="B68" s="13" t="str">
        <f>'Giá tháng'!B$53</f>
        <v>N2.40</v>
      </c>
      <c r="C68" s="14" t="str">
        <f>'Giá tháng'!C$53</f>
        <v>Nhân công 4,0/7 - Nhóm 2</v>
      </c>
      <c r="D68" s="13" t="str">
        <f>'Giá tháng'!D$53</f>
        <v>công</v>
      </c>
      <c r="E68" s="80">
        <f>HaoPhiVatTu!G$61</f>
        <v>11.5</v>
      </c>
      <c r="F68" s="15">
        <f>ROUND('Tổng hợp VT'!O$60,1)</f>
        <v>284408</v>
      </c>
      <c r="G68" s="81">
        <f>'Giá tháng'!G$53</f>
        <v>1</v>
      </c>
      <c r="H68" s="15">
        <f>ROUND(E68*F68*G68,1)</f>
        <v>3270692</v>
      </c>
    </row>
    <row r="69" spans="1:8" ht="16.5" customHeight="1">
      <c r="A69" s="131"/>
      <c r="B69" s="91"/>
      <c r="C69" s="90" t="s">
        <v>679</v>
      </c>
      <c r="D69" s="91"/>
      <c r="E69" s="93"/>
      <c r="F69" s="132"/>
      <c r="G69" s="94"/>
      <c r="H69" s="132">
        <f>ROUND(H72,1)</f>
        <v>172497.8</v>
      </c>
    </row>
    <row r="70" spans="1:8" ht="27.75" customHeight="1">
      <c r="A70" s="127"/>
      <c r="B70" s="13" t="str">
        <f>'Giá tháng'!B$64</f>
        <v>M112.4003</v>
      </c>
      <c r="C70" s="14" t="str">
        <f>'Giá tháng'!C$64</f>
        <v>Máy hàn xoay chiều - công suất : 23,0 kW</v>
      </c>
      <c r="D70" s="13" t="str">
        <f>'Giá tháng'!D$64</f>
        <v>ca</v>
      </c>
      <c r="E70" s="80">
        <f>HaoPhiVatTu!H$63</f>
        <v>0.42</v>
      </c>
      <c r="F70" s="15">
        <f>ROUND('Tổng hợp VT'!O$73,1)</f>
        <v>402656</v>
      </c>
      <c r="G70" s="81">
        <f>'Giá tháng'!G$64</f>
        <v>1</v>
      </c>
      <c r="H70" s="15">
        <f>ROUND(E70*F70*G70,1)</f>
        <v>169115.5</v>
      </c>
    </row>
    <row r="71" spans="1:8" ht="16.5" customHeight="1">
      <c r="A71" s="127"/>
      <c r="B71" s="13" t="s">
        <v>680</v>
      </c>
      <c r="C71" s="14" t="s">
        <v>681</v>
      </c>
      <c r="D71" s="13" t="s">
        <v>682</v>
      </c>
      <c r="E71" s="80">
        <f>HaoPhiVatTu!H$64</f>
        <v>2</v>
      </c>
      <c r="F71" s="15">
        <f>ROUND(SUM(H70:H70),1)</f>
        <v>169115.5</v>
      </c>
      <c r="G71" s="81"/>
      <c r="H71" s="15">
        <f>ROUND(E71*F71/100,1)</f>
        <v>3382.3</v>
      </c>
    </row>
    <row r="72" spans="1:8" ht="16.5" customHeight="1">
      <c r="A72" s="133"/>
      <c r="B72" s="24"/>
      <c r="C72" s="25" t="s">
        <v>776</v>
      </c>
      <c r="D72" s="24"/>
      <c r="E72" s="84"/>
      <c r="F72" s="26"/>
      <c r="G72" s="85"/>
      <c r="H72" s="26">
        <f>ROUND(SUM(H70:H71),1)</f>
        <v>172497.8</v>
      </c>
    </row>
    <row r="73" spans="1:8" ht="53.25" customHeight="1">
      <c r="A73" s="128">
        <f>'Công trình'!A34</f>
        <v>10</v>
      </c>
      <c r="B73" s="129" t="str">
        <f>'Công trình'!E34</f>
        <v>AF.15434A</v>
      </c>
      <c r="C73" s="130" t="str">
        <f>'Công trình'!F34</f>
        <v>Đổ bê tông thủ công bằng máy trộn, bê tông mặt đường, chiều dày mặt đường &lt;=25 cm, đá 2x4, mác 250, PCB30</v>
      </c>
      <c r="D73" s="129" t="str">
        <f>'Công trình'!G34</f>
        <v>m3</v>
      </c>
      <c r="E73" s="65">
        <v>1</v>
      </c>
      <c r="F73" s="69"/>
      <c r="G73" s="67"/>
      <c r="H73" s="69"/>
    </row>
    <row r="74" spans="1:8" ht="16.5" customHeight="1">
      <c r="A74" s="131"/>
      <c r="B74" s="91"/>
      <c r="C74" s="90" t="s">
        <v>683</v>
      </c>
      <c r="D74" s="91"/>
      <c r="E74" s="93"/>
      <c r="F74" s="132"/>
      <c r="G74" s="94"/>
      <c r="H74" s="132">
        <f>ROUND(H80,1)</f>
        <v>1082427</v>
      </c>
    </row>
    <row r="75" spans="1:8" ht="27.75" hidden="1" customHeight="1">
      <c r="A75" s="127"/>
      <c r="B75" s="13" t="str">
        <f>'Giá tháng'!B$45</f>
        <v>A24.0797A</v>
      </c>
      <c r="C75" s="14" t="str">
        <f>'Giá tháng'!C$45</f>
        <v>Xi măng PCB30</v>
      </c>
      <c r="D75" s="13" t="str">
        <f>'Giá tháng'!D$45</f>
        <v>kg</v>
      </c>
      <c r="E75" s="80">
        <f>HaoPhiVatTu!F$67</f>
        <v>348.5</v>
      </c>
      <c r="F75" s="15">
        <f>ROUND('Tổng hợp VT'!O$49,1)</f>
        <v>1481</v>
      </c>
      <c r="G75" s="81">
        <f>'Giá tháng'!G$45</f>
        <v>1</v>
      </c>
      <c r="H75" s="15">
        <f>ROUND(E75*F75*G75,1)</f>
        <v>516128.5</v>
      </c>
    </row>
    <row r="76" spans="1:8" ht="16.5" hidden="1" customHeight="1">
      <c r="A76" s="127"/>
      <c r="B76" s="13" t="str">
        <f>'Giá tháng'!B$10</f>
        <v>A24.0180</v>
      </c>
      <c r="C76" s="14" t="str">
        <f>'Giá tháng'!C$10</f>
        <v>Cát vàng</v>
      </c>
      <c r="D76" s="13" t="str">
        <f>'Giá tháng'!D$10</f>
        <v>m3</v>
      </c>
      <c r="E76" s="80">
        <f>HaoPhiVatTu!F$68</f>
        <v>0.52992499999999998</v>
      </c>
      <c r="F76" s="15">
        <f>ROUND('Tổng hợp VT'!O$15,1)</f>
        <v>480000</v>
      </c>
      <c r="G76" s="81">
        <f>'Giá tháng'!G$10</f>
        <v>1</v>
      </c>
      <c r="H76" s="15">
        <f>ROUND(E76*F76*G76,1)</f>
        <v>254364</v>
      </c>
    </row>
    <row r="77" spans="1:8" ht="16.5" hidden="1" customHeight="1">
      <c r="A77" s="127"/>
      <c r="B77" s="13" t="str">
        <f>'Giá tháng'!B$16</f>
        <v>A24.0009</v>
      </c>
      <c r="C77" s="14" t="str">
        <f>'Giá tháng'!C$16</f>
        <v>Đá 2x4</v>
      </c>
      <c r="D77" s="13" t="str">
        <f>'Giá tháng'!D$16</f>
        <v>m3</v>
      </c>
      <c r="E77" s="80">
        <f>HaoPhiVatTu!F$69</f>
        <v>0.85997500000000004</v>
      </c>
      <c r="F77" s="15">
        <f>ROUND('Tổng hợp VT'!O$21,1)</f>
        <v>340000</v>
      </c>
      <c r="G77" s="81">
        <f>'Giá tháng'!G$16</f>
        <v>1</v>
      </c>
      <c r="H77" s="15">
        <f>ROUND(E77*F77*G77,1)</f>
        <v>292391.5</v>
      </c>
    </row>
    <row r="78" spans="1:8" ht="16.5" hidden="1" customHeight="1">
      <c r="A78" s="127"/>
      <c r="B78" s="13" t="str">
        <f>'Giá tháng'!B$32</f>
        <v>A24.0524</v>
      </c>
      <c r="C78" s="14" t="str">
        <f>'Giá tháng'!C$32</f>
        <v>Nước</v>
      </c>
      <c r="D78" s="13" t="str">
        <f>'Giá tháng'!D$32</f>
        <v>lít</v>
      </c>
      <c r="E78" s="80">
        <f>HaoPhiVatTu!F$70</f>
        <v>177.32499999999999</v>
      </c>
      <c r="F78" s="15">
        <f>ROUND('Tổng hợp VT'!O$37,1)</f>
        <v>20</v>
      </c>
      <c r="G78" s="81">
        <f>'Giá tháng'!G$32</f>
        <v>1</v>
      </c>
      <c r="H78" s="15">
        <f>ROUND(E78*F78*G78,1)</f>
        <v>3546.5</v>
      </c>
    </row>
    <row r="79" spans="1:8" ht="16.5" hidden="1" customHeight="1">
      <c r="A79" s="127"/>
      <c r="B79" s="13" t="s">
        <v>684</v>
      </c>
      <c r="C79" s="14" t="s">
        <v>685</v>
      </c>
      <c r="D79" s="13" t="s">
        <v>682</v>
      </c>
      <c r="E79" s="80">
        <f>HaoPhiVatTu!F$71</f>
        <v>1.5</v>
      </c>
      <c r="F79" s="15">
        <f>ROUND(SUM(H75:H78),1)</f>
        <v>1066430.5</v>
      </c>
      <c r="G79" s="81"/>
      <c r="H79" s="15">
        <f>ROUND(E79*F79/100,1)</f>
        <v>15996.5</v>
      </c>
    </row>
    <row r="80" spans="1:8" ht="16.5" customHeight="1">
      <c r="A80" s="127"/>
      <c r="B80" s="13"/>
      <c r="C80" s="14" t="s">
        <v>776</v>
      </c>
      <c r="D80" s="13"/>
      <c r="E80" s="80"/>
      <c r="F80" s="15"/>
      <c r="G80" s="81"/>
      <c r="H80" s="15">
        <f>ROUND(SUM(H75:H79),1)</f>
        <v>1082427</v>
      </c>
    </row>
    <row r="81" spans="1:8" ht="16.5" customHeight="1">
      <c r="A81" s="131"/>
      <c r="B81" s="91"/>
      <c r="C81" s="90" t="s">
        <v>678</v>
      </c>
      <c r="D81" s="91"/>
      <c r="E81" s="93"/>
      <c r="F81" s="132"/>
      <c r="G81" s="94"/>
      <c r="H81" s="132">
        <f>ROUND(H82,1)</f>
        <v>358940</v>
      </c>
    </row>
    <row r="82" spans="1:8" ht="16.5" hidden="1" customHeight="1">
      <c r="A82" s="127"/>
      <c r="B82" s="13" t="str">
        <f>'Giá tháng'!B$51</f>
        <v>N2.35</v>
      </c>
      <c r="C82" s="14" t="str">
        <f>'Giá tháng'!C$51</f>
        <v>Nhân công 3,5/7 - Nhóm 2</v>
      </c>
      <c r="D82" s="13" t="str">
        <f>'Giá tháng'!D$51</f>
        <v>công</v>
      </c>
      <c r="E82" s="80">
        <f>HaoPhiVatTu!G$73</f>
        <v>1.37</v>
      </c>
      <c r="F82" s="15">
        <f>ROUND('Tổng hợp VT'!O$59,1)</f>
        <v>262000</v>
      </c>
      <c r="G82" s="81">
        <f>'Giá tháng'!G$51</f>
        <v>1</v>
      </c>
      <c r="H82" s="15">
        <f>ROUND(E82*F82*G82,1)</f>
        <v>358940</v>
      </c>
    </row>
    <row r="83" spans="1:8" ht="16.5" customHeight="1">
      <c r="A83" s="131"/>
      <c r="B83" s="91"/>
      <c r="C83" s="90" t="s">
        <v>679</v>
      </c>
      <c r="D83" s="91"/>
      <c r="E83" s="93"/>
      <c r="F83" s="132"/>
      <c r="G83" s="94"/>
      <c r="H83" s="132">
        <f>ROUND(H88,1)</f>
        <v>80577.899999999994</v>
      </c>
    </row>
    <row r="84" spans="1:8" ht="27.75" customHeight="1">
      <c r="A84" s="127"/>
      <c r="B84" s="13" t="str">
        <f>'Giá tháng'!B$74</f>
        <v>M104.0102</v>
      </c>
      <c r="C84" s="14" t="str">
        <f>'Giá tháng'!C$74</f>
        <v>Máy trộn bê tông - dung tích : 250,0 lít</v>
      </c>
      <c r="D84" s="13" t="str">
        <f>'Giá tháng'!D$74</f>
        <v>ca</v>
      </c>
      <c r="E84" s="80">
        <f>HaoPhiVatTu!H$75</f>
        <v>9.5000000000000001E-2</v>
      </c>
      <c r="F84" s="15">
        <f>ROUND('Tổng hợp VT'!O$83,1)</f>
        <v>318734</v>
      </c>
      <c r="G84" s="81">
        <f>'Giá tháng'!G$74</f>
        <v>1</v>
      </c>
      <c r="H84" s="15">
        <f>ROUND(E84*F84*G84,1)</f>
        <v>30279.7</v>
      </c>
    </row>
    <row r="85" spans="1:8" ht="27.75" customHeight="1">
      <c r="A85" s="127"/>
      <c r="B85" s="13" t="str">
        <f>'Giá tháng'!B$63</f>
        <v>M112.1101</v>
      </c>
      <c r="C85" s="14" t="str">
        <f>'Giá tháng'!C$63</f>
        <v>Máy đầm bê tông, đầm bàn - công suất : 1,0 kW</v>
      </c>
      <c r="D85" s="13" t="str">
        <f>'Giá tháng'!D$63</f>
        <v>ca</v>
      </c>
      <c r="E85" s="80">
        <f>HaoPhiVatTu!H$76</f>
        <v>8.8999999999999996E-2</v>
      </c>
      <c r="F85" s="15">
        <f>ROUND('Tổng hợp VT'!O$72,1)</f>
        <v>271933</v>
      </c>
      <c r="G85" s="81">
        <f>'Giá tháng'!G$63</f>
        <v>1</v>
      </c>
      <c r="H85" s="15">
        <f>ROUND(E85*F85*G85,1)</f>
        <v>24202</v>
      </c>
    </row>
    <row r="86" spans="1:8" ht="27.75" customHeight="1">
      <c r="A86" s="127"/>
      <c r="B86" s="13" t="str">
        <f>'Giá tháng'!B$62</f>
        <v>M112.1301</v>
      </c>
      <c r="C86" s="14" t="str">
        <f>'Giá tháng'!C$62</f>
        <v>Máy đầm bê tông, dầm dùi - công suất : 1,5 kW</v>
      </c>
      <c r="D86" s="13" t="str">
        <f>'Giá tháng'!D$62</f>
        <v>ca</v>
      </c>
      <c r="E86" s="80">
        <f>HaoPhiVatTu!H$77</f>
        <v>8.8999999999999996E-2</v>
      </c>
      <c r="F86" s="15">
        <f>ROUND('Tổng hợp VT'!O$71,1)</f>
        <v>275463</v>
      </c>
      <c r="G86" s="81">
        <f>'Giá tháng'!G$62</f>
        <v>1</v>
      </c>
      <c r="H86" s="15">
        <f>ROUND(E86*F86*G86,1)</f>
        <v>24516.2</v>
      </c>
    </row>
    <row r="87" spans="1:8" ht="16.5" customHeight="1">
      <c r="A87" s="127"/>
      <c r="B87" s="13" t="s">
        <v>680</v>
      </c>
      <c r="C87" s="14" t="s">
        <v>681</v>
      </c>
      <c r="D87" s="13" t="s">
        <v>682</v>
      </c>
      <c r="E87" s="80">
        <f>HaoPhiVatTu!H$78</f>
        <v>2</v>
      </c>
      <c r="F87" s="15">
        <f>ROUND(SUM(H84:H86),1)</f>
        <v>78997.899999999994</v>
      </c>
      <c r="G87" s="81"/>
      <c r="H87" s="15">
        <f>ROUND(E87*F87/100,1)</f>
        <v>1580</v>
      </c>
    </row>
    <row r="88" spans="1:8" ht="16.5" customHeight="1">
      <c r="A88" s="133"/>
      <c r="B88" s="24"/>
      <c r="C88" s="25" t="s">
        <v>776</v>
      </c>
      <c r="D88" s="24"/>
      <c r="E88" s="84"/>
      <c r="F88" s="26"/>
      <c r="G88" s="85"/>
      <c r="H88" s="26">
        <f>ROUND(SUM(H84:H87),1)</f>
        <v>80577.899999999994</v>
      </c>
    </row>
    <row r="89" spans="1:8" ht="40.5" customHeight="1">
      <c r="A89" s="128">
        <f>'Công trình'!A37</f>
        <v>11</v>
      </c>
      <c r="B89" s="129" t="str">
        <f>'Công trình'!E37</f>
        <v>AK.41114A (VD)</v>
      </c>
      <c r="C89" s="130" t="str">
        <f>'Công trình'!F37</f>
        <v>Đánh bóng bề mặt đường BTXM bằng máy xoa, kết hợp bổ sung xi măng</v>
      </c>
      <c r="D89" s="129" t="str">
        <f>'Công trình'!G37</f>
        <v>m2</v>
      </c>
      <c r="E89" s="65">
        <v>1</v>
      </c>
      <c r="F89" s="69"/>
      <c r="G89" s="67"/>
      <c r="H89" s="69"/>
    </row>
    <row r="90" spans="1:8" ht="16.5" customHeight="1">
      <c r="A90" s="131"/>
      <c r="B90" s="91"/>
      <c r="C90" s="90" t="s">
        <v>683</v>
      </c>
      <c r="D90" s="91"/>
      <c r="E90" s="93"/>
      <c r="F90" s="132"/>
      <c r="G90" s="94"/>
      <c r="H90" s="132">
        <f>ROUND(H94,1)</f>
        <v>11144.5</v>
      </c>
    </row>
    <row r="91" spans="1:8" ht="27.75" hidden="1" customHeight="1">
      <c r="A91" s="127"/>
      <c r="B91" s="13" t="str">
        <f>'Giá tháng'!B$44</f>
        <v>A24.0797A</v>
      </c>
      <c r="C91" s="14" t="str">
        <f>'Giá tháng'!C$44</f>
        <v>Xi măng PCB30</v>
      </c>
      <c r="D91" s="13" t="str">
        <f>'Giá tháng'!D$44</f>
        <v>kg</v>
      </c>
      <c r="E91" s="80">
        <f>HaoPhiVatTu!F$81</f>
        <v>10.75</v>
      </c>
      <c r="F91" s="15">
        <f>ROUND('Tổng hợp VT'!O$49,1)</f>
        <v>1481</v>
      </c>
      <c r="G91" s="81">
        <f>'Giá tháng'!G$44</f>
        <v>0.7</v>
      </c>
      <c r="H91" s="15">
        <f>ROUND(E91*F91*G91,1)</f>
        <v>11144.5</v>
      </c>
    </row>
    <row r="92" spans="1:8" ht="16.5" hidden="1" customHeight="1">
      <c r="A92" s="127"/>
      <c r="B92" s="13" t="str">
        <f>'Giá tháng'!B$9</f>
        <v>A24.0176</v>
      </c>
      <c r="C92" s="14" t="str">
        <f>'Giá tháng'!C$9</f>
        <v>Cát mịn ML=1,5-2,0</v>
      </c>
      <c r="D92" s="13" t="str">
        <f>'Giá tháng'!D$9</f>
        <v>m3</v>
      </c>
      <c r="E92" s="80"/>
      <c r="F92" s="15">
        <f>ROUND('Tổng hợp VT'!O$14,1)</f>
        <v>445000</v>
      </c>
      <c r="G92" s="81">
        <f>'Giá tháng'!G$9</f>
        <v>1</v>
      </c>
      <c r="H92" s="15">
        <f>ROUND(E92*F92*G92,1)</f>
        <v>0</v>
      </c>
    </row>
    <row r="93" spans="1:8" ht="16.5" hidden="1" customHeight="1">
      <c r="A93" s="127"/>
      <c r="B93" s="13" t="str">
        <f>'Giá tháng'!B$32</f>
        <v>A24.0524</v>
      </c>
      <c r="C93" s="14" t="str">
        <f>'Giá tháng'!C$32</f>
        <v>Nước</v>
      </c>
      <c r="D93" s="13" t="str">
        <f>'Giá tháng'!D$32</f>
        <v>lít</v>
      </c>
      <c r="E93" s="80"/>
      <c r="F93" s="15">
        <f>ROUND('Tổng hợp VT'!O$37,1)</f>
        <v>20</v>
      </c>
      <c r="G93" s="81">
        <f>'Giá tháng'!G$32</f>
        <v>1</v>
      </c>
      <c r="H93" s="15">
        <f>ROUND(E93*F93*G93,1)</f>
        <v>0</v>
      </c>
    </row>
    <row r="94" spans="1:8" ht="16.5" customHeight="1">
      <c r="A94" s="127"/>
      <c r="B94" s="13"/>
      <c r="C94" s="14" t="s">
        <v>776</v>
      </c>
      <c r="D94" s="13"/>
      <c r="E94" s="80"/>
      <c r="F94" s="15"/>
      <c r="G94" s="81"/>
      <c r="H94" s="15">
        <f>ROUND(SUM(H91:H93),1)</f>
        <v>11144.5</v>
      </c>
    </row>
    <row r="95" spans="1:8" ht="16.5" customHeight="1">
      <c r="A95" s="131"/>
      <c r="B95" s="91"/>
      <c r="C95" s="90" t="s">
        <v>678</v>
      </c>
      <c r="D95" s="91"/>
      <c r="E95" s="93"/>
      <c r="F95" s="132"/>
      <c r="G95" s="94"/>
      <c r="H95" s="132">
        <f>ROUND(H96,1)</f>
        <v>9669.9</v>
      </c>
    </row>
    <row r="96" spans="1:8" ht="16.5" hidden="1" customHeight="1">
      <c r="A96" s="127"/>
      <c r="B96" s="13" t="str">
        <f>'Giá tháng'!B$52</f>
        <v>N2.40</v>
      </c>
      <c r="C96" s="14" t="str">
        <f>'Giá tháng'!C$52</f>
        <v>Nhân công 4,0/7 - Nhóm 2</v>
      </c>
      <c r="D96" s="13" t="str">
        <f>'Giá tháng'!D$52</f>
        <v>công</v>
      </c>
      <c r="E96" s="80">
        <f>HaoPhiVatTu!G$85</f>
        <v>6.8000000000000005E-2</v>
      </c>
      <c r="F96" s="15">
        <f>ROUND('Tổng hợp VT'!O$60,1)</f>
        <v>284408</v>
      </c>
      <c r="G96" s="81">
        <f>'Giá tháng'!G$52</f>
        <v>0.5</v>
      </c>
      <c r="H96" s="15">
        <f>ROUND(E96*F96*G96,1)</f>
        <v>9669.9</v>
      </c>
    </row>
    <row r="97" spans="1:8" ht="16.5" customHeight="1">
      <c r="A97" s="131"/>
      <c r="B97" s="91"/>
      <c r="C97" s="90" t="s">
        <v>679</v>
      </c>
      <c r="D97" s="91"/>
      <c r="E97" s="93"/>
      <c r="F97" s="132"/>
      <c r="G97" s="94"/>
      <c r="H97" s="132">
        <f>ROUND(H98,1)</f>
        <v>4000</v>
      </c>
    </row>
    <row r="98" spans="1:8" ht="16.5" customHeight="1">
      <c r="A98" s="133"/>
      <c r="B98" s="24" t="str">
        <f>'Giá tháng'!B$77</f>
        <v>TT*</v>
      </c>
      <c r="C98" s="25" t="str">
        <f>'Giá tháng'!C$77</f>
        <v>Máy xoa</v>
      </c>
      <c r="D98" s="24" t="str">
        <f>'Giá tháng'!D$77</f>
        <v>Ca</v>
      </c>
      <c r="E98" s="84">
        <f>HaoPhiVatTu!H$87</f>
        <v>0.02</v>
      </c>
      <c r="F98" s="26">
        <f>ROUND('Tổng hợp VT'!O$86,1)</f>
        <v>200000</v>
      </c>
      <c r="G98" s="85">
        <f>'Giá tháng'!G$77</f>
        <v>1</v>
      </c>
      <c r="H98" s="26">
        <f>ROUND(E98*F98*G98,1)</f>
        <v>4000</v>
      </c>
    </row>
    <row r="99" spans="1:8" ht="27.75" customHeight="1">
      <c r="A99" s="128">
        <f>'Công trình'!A39</f>
        <v>12</v>
      </c>
      <c r="B99" s="129" t="str">
        <f>'Công trình'!E39</f>
        <v>AL.24111</v>
      </c>
      <c r="C99" s="130" t="str">
        <f>'Công trình'!F39</f>
        <v>Thi công khe co sân, bãi, mặt đường bê tông</v>
      </c>
      <c r="D99" s="129" t="str">
        <f>'Công trình'!G39</f>
        <v>m</v>
      </c>
      <c r="E99" s="65">
        <v>1</v>
      </c>
      <c r="F99" s="69"/>
      <c r="G99" s="67"/>
      <c r="H99" s="69"/>
    </row>
    <row r="100" spans="1:8" ht="16.5" customHeight="1">
      <c r="A100" s="131"/>
      <c r="B100" s="91"/>
      <c r="C100" s="90" t="s">
        <v>683</v>
      </c>
      <c r="D100" s="91"/>
      <c r="E100" s="93"/>
      <c r="F100" s="132"/>
      <c r="G100" s="94"/>
      <c r="H100" s="132">
        <f>ROUND(H105,1)</f>
        <v>86850.8</v>
      </c>
    </row>
    <row r="101" spans="1:8" ht="16.5" hidden="1" customHeight="1">
      <c r="A101" s="127"/>
      <c r="B101" s="13" t="str">
        <f>'Giá tháng'!B$27</f>
        <v>A24.0480</v>
      </c>
      <c r="C101" s="14" t="str">
        <f>'Giá tháng'!C$27</f>
        <v>Ma tít chèn khe</v>
      </c>
      <c r="D101" s="13" t="str">
        <f>'Giá tháng'!D$27</f>
        <v>kg</v>
      </c>
      <c r="E101" s="80">
        <f>HaoPhiVatTu!F$90</f>
        <v>1.36</v>
      </c>
      <c r="F101" s="15">
        <f>ROUND('Tổng hợp VT'!O$32,1)</f>
        <v>4700</v>
      </c>
      <c r="G101" s="81">
        <f>'Giá tháng'!G$27</f>
        <v>1</v>
      </c>
      <c r="H101" s="15">
        <f>ROUND(E101*F101*G101,1)</f>
        <v>6392</v>
      </c>
    </row>
    <row r="102" spans="1:8" ht="16.5" hidden="1" customHeight="1">
      <c r="A102" s="127"/>
      <c r="B102" s="13" t="str">
        <f>'Giá tháng'!B$33</f>
        <v>A24.0520</v>
      </c>
      <c r="C102" s="14" t="str">
        <f>'Giá tháng'!C$33</f>
        <v>Nhựa đường</v>
      </c>
      <c r="D102" s="13" t="str">
        <f>'Giá tháng'!D$33</f>
        <v>kg</v>
      </c>
      <c r="E102" s="80">
        <f>HaoPhiVatTu!F$91</f>
        <v>0.13</v>
      </c>
      <c r="F102" s="15">
        <f>ROUND('Tổng hợp VT'!O$38,1)</f>
        <v>17100</v>
      </c>
      <c r="G102" s="81">
        <f>'Giá tháng'!G$33</f>
        <v>1</v>
      </c>
      <c r="H102" s="15">
        <f>ROUND(E102*F102*G102,1)</f>
        <v>2223</v>
      </c>
    </row>
    <row r="103" spans="1:8" ht="16.5" hidden="1" customHeight="1">
      <c r="A103" s="127"/>
      <c r="B103" s="13" t="str">
        <f>'Giá tháng'!B$38</f>
        <v>A24.1074</v>
      </c>
      <c r="C103" s="14" t="str">
        <f>'Giá tháng'!C$38</f>
        <v>Thép F25</v>
      </c>
      <c r="D103" s="13" t="str">
        <f>'Giá tháng'!D$38</f>
        <v>kg</v>
      </c>
      <c r="E103" s="80">
        <f>HaoPhiVatTu!F$92</f>
        <v>3.8</v>
      </c>
      <c r="F103" s="15">
        <f>ROUND('Tổng hợp VT'!O$43,1)</f>
        <v>19500</v>
      </c>
      <c r="G103" s="81">
        <f>'Giá tháng'!G$38</f>
        <v>1</v>
      </c>
      <c r="H103" s="15">
        <f>ROUND(E103*F103*G103,1)</f>
        <v>74100</v>
      </c>
    </row>
    <row r="104" spans="1:8" ht="16.5" hidden="1" customHeight="1">
      <c r="A104" s="127"/>
      <c r="B104" s="13" t="s">
        <v>684</v>
      </c>
      <c r="C104" s="14" t="s">
        <v>685</v>
      </c>
      <c r="D104" s="13" t="s">
        <v>682</v>
      </c>
      <c r="E104" s="80">
        <f>HaoPhiVatTu!F$93</f>
        <v>5</v>
      </c>
      <c r="F104" s="15">
        <f>ROUND(SUM(H101:H103),1)</f>
        <v>82715</v>
      </c>
      <c r="G104" s="81"/>
      <c r="H104" s="15">
        <f>ROUND(E104*F104/100,1)</f>
        <v>4135.8</v>
      </c>
    </row>
    <row r="105" spans="1:8" ht="16.5" customHeight="1">
      <c r="A105" s="127"/>
      <c r="B105" s="13"/>
      <c r="C105" s="14" t="s">
        <v>776</v>
      </c>
      <c r="D105" s="13"/>
      <c r="E105" s="80"/>
      <c r="F105" s="15"/>
      <c r="G105" s="81"/>
      <c r="H105" s="15">
        <f>ROUND(SUM(H101:H104),1)</f>
        <v>86850.8</v>
      </c>
    </row>
    <row r="106" spans="1:8" ht="16.5" customHeight="1">
      <c r="A106" s="131"/>
      <c r="B106" s="91"/>
      <c r="C106" s="90" t="s">
        <v>678</v>
      </c>
      <c r="D106" s="91"/>
      <c r="E106" s="93"/>
      <c r="F106" s="132"/>
      <c r="G106" s="94"/>
      <c r="H106" s="132">
        <f>ROUND(H107,1)</f>
        <v>23580</v>
      </c>
    </row>
    <row r="107" spans="1:8" ht="16.5" hidden="1" customHeight="1">
      <c r="A107" s="127"/>
      <c r="B107" s="13" t="str">
        <f>'Giá tháng'!B$51</f>
        <v>N2.35</v>
      </c>
      <c r="C107" s="14" t="str">
        <f>'Giá tháng'!C$51</f>
        <v>Nhân công 3,5/7 - Nhóm 2</v>
      </c>
      <c r="D107" s="13" t="str">
        <f>'Giá tháng'!D$51</f>
        <v>công</v>
      </c>
      <c r="E107" s="80">
        <f>HaoPhiVatTu!G$95</f>
        <v>0.09</v>
      </c>
      <c r="F107" s="15">
        <f>ROUND('Tổng hợp VT'!O$59,1)</f>
        <v>262000</v>
      </c>
      <c r="G107" s="81">
        <f>'Giá tháng'!G$51</f>
        <v>1</v>
      </c>
      <c r="H107" s="15">
        <f>ROUND(E107*F107*G107,1)</f>
        <v>23580</v>
      </c>
    </row>
    <row r="108" spans="1:8" ht="16.5" customHeight="1">
      <c r="A108" s="131"/>
      <c r="B108" s="91"/>
      <c r="C108" s="90" t="s">
        <v>679</v>
      </c>
      <c r="D108" s="91"/>
      <c r="E108" s="93"/>
      <c r="F108" s="132"/>
      <c r="G108" s="94"/>
      <c r="H108" s="132">
        <f>ROUND(H112,1)</f>
        <v>13177.4</v>
      </c>
    </row>
    <row r="109" spans="1:8" ht="27.75" customHeight="1">
      <c r="A109" s="127"/>
      <c r="B109" s="13" t="str">
        <f>'Giá tháng'!B$56</f>
        <v>M112.2601</v>
      </c>
      <c r="C109" s="14" t="str">
        <f>'Giá tháng'!C$56</f>
        <v>Máy cắt uốn cốt thép - công suất : 5,0 kW</v>
      </c>
      <c r="D109" s="13" t="str">
        <f>'Giá tháng'!D$56</f>
        <v>ca</v>
      </c>
      <c r="E109" s="80">
        <f>HaoPhiVatTu!H$97</f>
        <v>1.2999999999999999E-2</v>
      </c>
      <c r="F109" s="15">
        <f>ROUND('Tổng hợp VT'!O$65,1)</f>
        <v>279591</v>
      </c>
      <c r="G109" s="81">
        <f>'Giá tháng'!G$56</f>
        <v>1</v>
      </c>
      <c r="H109" s="15">
        <f>ROUND(E109*F109*G109,1)</f>
        <v>3634.7</v>
      </c>
    </row>
    <row r="110" spans="1:8" ht="27.75" customHeight="1">
      <c r="A110" s="127"/>
      <c r="B110" s="13" t="str">
        <f>'Giá tháng'!B$72</f>
        <v>M108.0306</v>
      </c>
      <c r="C110" s="14" t="str">
        <f>'Giá tháng'!C$72</f>
        <v>Máy nén khí, động cơ diezel - năng suất : 600,00 m3/h</v>
      </c>
      <c r="D110" s="13" t="str">
        <f>'Giá tháng'!D$72</f>
        <v>ca</v>
      </c>
      <c r="E110" s="80">
        <f>HaoPhiVatTu!H$98</f>
        <v>5.0000000000000001E-3</v>
      </c>
      <c r="F110" s="15">
        <f>ROUND('Tổng hợp VT'!O$81,1)</f>
        <v>1856860</v>
      </c>
      <c r="G110" s="81">
        <f>'Giá tháng'!G$72</f>
        <v>1</v>
      </c>
      <c r="H110" s="15">
        <f>ROUND(E110*F110*G110,1)</f>
        <v>9284.2999999999993</v>
      </c>
    </row>
    <row r="111" spans="1:8" ht="16.5" customHeight="1">
      <c r="A111" s="127"/>
      <c r="B111" s="13" t="s">
        <v>680</v>
      </c>
      <c r="C111" s="14" t="s">
        <v>681</v>
      </c>
      <c r="D111" s="13" t="s">
        <v>682</v>
      </c>
      <c r="E111" s="80">
        <f>HaoPhiVatTu!H$99</f>
        <v>2</v>
      </c>
      <c r="F111" s="15">
        <f>ROUND(SUM(H109:H110),1)</f>
        <v>12919</v>
      </c>
      <c r="G111" s="81"/>
      <c r="H111" s="15">
        <f>ROUND(E111*F111/100,1)</f>
        <v>258.39999999999998</v>
      </c>
    </row>
    <row r="112" spans="1:8" ht="16.5" customHeight="1">
      <c r="A112" s="133"/>
      <c r="B112" s="24"/>
      <c r="C112" s="25" t="s">
        <v>776</v>
      </c>
      <c r="D112" s="24"/>
      <c r="E112" s="84"/>
      <c r="F112" s="26"/>
      <c r="G112" s="85"/>
      <c r="H112" s="26">
        <f>ROUND(SUM(H109:H111),1)</f>
        <v>13177.4</v>
      </c>
    </row>
    <row r="113" spans="1:8" ht="27.75" customHeight="1">
      <c r="A113" s="128">
        <f>'Công trình'!A41</f>
        <v>13</v>
      </c>
      <c r="B113" s="129" t="str">
        <f>'Công trình'!E41</f>
        <v>AL.24112</v>
      </c>
      <c r="C113" s="130" t="str">
        <f>'Công trình'!F41</f>
        <v>Làm khe giãn, bố trí 20m/Khe giãn sâu 20cm</v>
      </c>
      <c r="D113" s="129" t="str">
        <f>'Công trình'!G41</f>
        <v>m</v>
      </c>
      <c r="E113" s="65">
        <v>1</v>
      </c>
      <c r="F113" s="69"/>
      <c r="G113" s="67"/>
      <c r="H113" s="69"/>
    </row>
    <row r="114" spans="1:8" ht="16.5" customHeight="1">
      <c r="A114" s="131"/>
      <c r="B114" s="91"/>
      <c r="C114" s="90" t="s">
        <v>683</v>
      </c>
      <c r="D114" s="91"/>
      <c r="E114" s="93"/>
      <c r="F114" s="132"/>
      <c r="G114" s="94"/>
      <c r="H114" s="132">
        <f>ROUND(H122,1)</f>
        <v>213797</v>
      </c>
    </row>
    <row r="115" spans="1:8" ht="16.5" hidden="1" customHeight="1">
      <c r="A115" s="127"/>
      <c r="B115" s="13" t="str">
        <f>'Giá tháng'!B$27</f>
        <v>A24.0480</v>
      </c>
      <c r="C115" s="14" t="str">
        <f>'Giá tháng'!C$27</f>
        <v>Ma tít chèn khe</v>
      </c>
      <c r="D115" s="13" t="str">
        <f>'Giá tháng'!D$27</f>
        <v>kg</v>
      </c>
      <c r="E115" s="80">
        <f>HaoPhiVatTu!F$102</f>
        <v>1.33</v>
      </c>
      <c r="F115" s="15">
        <f>ROUND('Tổng hợp VT'!O$32,1)</f>
        <v>4700</v>
      </c>
      <c r="G115" s="81">
        <f>'Giá tháng'!G$27</f>
        <v>1</v>
      </c>
      <c r="H115" s="15">
        <f t="shared" ref="H115:H120" si="0">ROUND(E115*F115*G115,1)</f>
        <v>6251</v>
      </c>
    </row>
    <row r="116" spans="1:8" ht="16.5" hidden="1" customHeight="1">
      <c r="A116" s="127"/>
      <c r="B116" s="13" t="str">
        <f>'Giá tháng'!B$33</f>
        <v>A24.0520</v>
      </c>
      <c r="C116" s="14" t="str">
        <f>'Giá tháng'!C$33</f>
        <v>Nhựa đường</v>
      </c>
      <c r="D116" s="13" t="str">
        <f>'Giá tháng'!D$33</f>
        <v>kg</v>
      </c>
      <c r="E116" s="80">
        <f>HaoPhiVatTu!F$103</f>
        <v>0.25</v>
      </c>
      <c r="F116" s="15">
        <f>ROUND('Tổng hợp VT'!O$38,1)</f>
        <v>17100</v>
      </c>
      <c r="G116" s="81">
        <f>'Giá tháng'!G$33</f>
        <v>1</v>
      </c>
      <c r="H116" s="15">
        <f t="shared" si="0"/>
        <v>4275</v>
      </c>
    </row>
    <row r="117" spans="1:8" ht="16.5" hidden="1" customHeight="1">
      <c r="A117" s="127"/>
      <c r="B117" s="13" t="str">
        <f>'Giá tháng'!B$38</f>
        <v>A24.1074</v>
      </c>
      <c r="C117" s="14" t="str">
        <f>'Giá tháng'!C$38</f>
        <v>Thép F25</v>
      </c>
      <c r="D117" s="13" t="str">
        <f>'Giá tháng'!D$38</f>
        <v>kg</v>
      </c>
      <c r="E117" s="80">
        <f>HaoPhiVatTu!F$104</f>
        <v>7.65</v>
      </c>
      <c r="F117" s="15">
        <f>ROUND('Tổng hợp VT'!O$43,1)</f>
        <v>19500</v>
      </c>
      <c r="G117" s="81">
        <f>'Giá tháng'!G$38</f>
        <v>1</v>
      </c>
      <c r="H117" s="15">
        <f t="shared" si="0"/>
        <v>149175</v>
      </c>
    </row>
    <row r="118" spans="1:8" ht="16.5" hidden="1" customHeight="1">
      <c r="A118" s="127"/>
      <c r="B118" s="13" t="str">
        <f>'Giá tháng'!B$29</f>
        <v>A24.0489</v>
      </c>
      <c r="C118" s="14" t="str">
        <f>'Giá tháng'!C$29</f>
        <v>Mùn cưa</v>
      </c>
      <c r="D118" s="13" t="str">
        <f>'Giá tháng'!D$29</f>
        <v>kg</v>
      </c>
      <c r="E118" s="80">
        <f>HaoPhiVatTu!F$105</f>
        <v>0.43</v>
      </c>
      <c r="F118" s="15">
        <f>ROUND('Tổng hợp VT'!O$34,1)</f>
        <v>233</v>
      </c>
      <c r="G118" s="81">
        <f>'Giá tháng'!G$29</f>
        <v>1</v>
      </c>
      <c r="H118" s="15">
        <f t="shared" si="0"/>
        <v>100.2</v>
      </c>
    </row>
    <row r="119" spans="1:8" ht="16.5" hidden="1" customHeight="1">
      <c r="A119" s="127"/>
      <c r="B119" s="13" t="str">
        <f>'Giá tháng'!B$6</f>
        <v>A24.0233</v>
      </c>
      <c r="C119" s="14" t="str">
        <f>'Giá tháng'!C$6</f>
        <v>Cao su đệm</v>
      </c>
      <c r="D119" s="13" t="str">
        <f>'Giá tháng'!D$6</f>
        <v>m</v>
      </c>
      <c r="E119" s="80">
        <f>HaoPhiVatTu!F$106</f>
        <v>1.2</v>
      </c>
      <c r="F119" s="15">
        <f>ROUND('Tổng hợp VT'!O$11,1)</f>
        <v>12000</v>
      </c>
      <c r="G119" s="81">
        <f>'Giá tháng'!G$6</f>
        <v>1</v>
      </c>
      <c r="H119" s="15">
        <f t="shared" si="0"/>
        <v>14400</v>
      </c>
    </row>
    <row r="120" spans="1:8" ht="16.5" hidden="1" customHeight="1">
      <c r="A120" s="127"/>
      <c r="B120" s="13" t="str">
        <f>'Giá tháng'!B$36</f>
        <v>A24.0334</v>
      </c>
      <c r="C120" s="14" t="str">
        <f>'Giá tháng'!C$36</f>
        <v>ống nhựa F42</v>
      </c>
      <c r="D120" s="13" t="str">
        <f>'Giá tháng'!D$36</f>
        <v>m</v>
      </c>
      <c r="E120" s="80">
        <f>HaoPhiVatTu!F$107</f>
        <v>1.59</v>
      </c>
      <c r="F120" s="15">
        <f>ROUND('Tổng hợp VT'!O$41,1)</f>
        <v>18500</v>
      </c>
      <c r="G120" s="81">
        <f>'Giá tháng'!G$36</f>
        <v>1</v>
      </c>
      <c r="H120" s="15">
        <f t="shared" si="0"/>
        <v>29415</v>
      </c>
    </row>
    <row r="121" spans="1:8" ht="16.5" hidden="1" customHeight="1">
      <c r="A121" s="127"/>
      <c r="B121" s="13" t="s">
        <v>684</v>
      </c>
      <c r="C121" s="14" t="s">
        <v>685</v>
      </c>
      <c r="D121" s="13" t="s">
        <v>682</v>
      </c>
      <c r="E121" s="80">
        <f>HaoPhiVatTu!F$108</f>
        <v>5</v>
      </c>
      <c r="F121" s="15">
        <f>ROUND(SUM(H115:H120),1)</f>
        <v>203616.2</v>
      </c>
      <c r="G121" s="81"/>
      <c r="H121" s="15">
        <f>ROUND(E121*F121/100,1)</f>
        <v>10180.799999999999</v>
      </c>
    </row>
    <row r="122" spans="1:8" ht="16.5" customHeight="1">
      <c r="A122" s="127"/>
      <c r="B122" s="13"/>
      <c r="C122" s="14" t="s">
        <v>776</v>
      </c>
      <c r="D122" s="13"/>
      <c r="E122" s="80"/>
      <c r="F122" s="15"/>
      <c r="G122" s="81"/>
      <c r="H122" s="15">
        <f>ROUND(SUM(H115:H121),1)</f>
        <v>213797</v>
      </c>
    </row>
    <row r="123" spans="1:8" ht="16.5" customHeight="1">
      <c r="A123" s="131"/>
      <c r="B123" s="91"/>
      <c r="C123" s="90" t="s">
        <v>678</v>
      </c>
      <c r="D123" s="91"/>
      <c r="E123" s="93"/>
      <c r="F123" s="132"/>
      <c r="G123" s="94"/>
      <c r="H123" s="132">
        <f>ROUND(H124,1)</f>
        <v>57640</v>
      </c>
    </row>
    <row r="124" spans="1:8" ht="16.5" hidden="1" customHeight="1">
      <c r="A124" s="127"/>
      <c r="B124" s="13" t="str">
        <f>'Giá tháng'!B$51</f>
        <v>N2.35</v>
      </c>
      <c r="C124" s="14" t="str">
        <f>'Giá tháng'!C$51</f>
        <v>Nhân công 3,5/7 - Nhóm 2</v>
      </c>
      <c r="D124" s="13" t="str">
        <f>'Giá tháng'!D$51</f>
        <v>công</v>
      </c>
      <c r="E124" s="80">
        <f>HaoPhiVatTu!G$110</f>
        <v>0.22</v>
      </c>
      <c r="F124" s="15">
        <f>ROUND('Tổng hợp VT'!O$59,1)</f>
        <v>262000</v>
      </c>
      <c r="G124" s="81">
        <f>'Giá tháng'!G$51</f>
        <v>1</v>
      </c>
      <c r="H124" s="15">
        <f>ROUND(E124*F124*G124,1)</f>
        <v>57640</v>
      </c>
    </row>
    <row r="125" spans="1:8" ht="16.5" customHeight="1">
      <c r="A125" s="131"/>
      <c r="B125" s="91"/>
      <c r="C125" s="90" t="s">
        <v>679</v>
      </c>
      <c r="D125" s="91"/>
      <c r="E125" s="93"/>
      <c r="F125" s="132"/>
      <c r="G125" s="94"/>
      <c r="H125" s="132">
        <f>ROUND(H129,1)</f>
        <v>16884.8</v>
      </c>
    </row>
    <row r="126" spans="1:8" ht="27.75" customHeight="1">
      <c r="A126" s="127"/>
      <c r="B126" s="13" t="str">
        <f>'Giá tháng'!B$56</f>
        <v>M112.2601</v>
      </c>
      <c r="C126" s="14" t="str">
        <f>'Giá tháng'!C$56</f>
        <v>Máy cắt uốn cốt thép - công suất : 5,0 kW</v>
      </c>
      <c r="D126" s="13" t="str">
        <f>'Giá tháng'!D$56</f>
        <v>ca</v>
      </c>
      <c r="E126" s="80">
        <f>HaoPhiVatTu!H$112</f>
        <v>2.5999999999999999E-2</v>
      </c>
      <c r="F126" s="15">
        <f>ROUND('Tổng hợp VT'!O$65,1)</f>
        <v>279591</v>
      </c>
      <c r="G126" s="81">
        <f>'Giá tháng'!G$56</f>
        <v>1</v>
      </c>
      <c r="H126" s="15">
        <f>ROUND(E126*F126*G126,1)</f>
        <v>7269.4</v>
      </c>
    </row>
    <row r="127" spans="1:8" ht="27.75" customHeight="1">
      <c r="A127" s="127"/>
      <c r="B127" s="13" t="str">
        <f>'Giá tháng'!B$72</f>
        <v>M108.0306</v>
      </c>
      <c r="C127" s="14" t="str">
        <f>'Giá tháng'!C$72</f>
        <v>Máy nén khí, động cơ diezel - năng suất : 600,00 m3/h</v>
      </c>
      <c r="D127" s="13" t="str">
        <f>'Giá tháng'!D$72</f>
        <v>ca</v>
      </c>
      <c r="E127" s="80">
        <f>HaoPhiVatTu!H$113</f>
        <v>5.0000000000000001E-3</v>
      </c>
      <c r="F127" s="15">
        <f>ROUND('Tổng hợp VT'!O$81,1)</f>
        <v>1856860</v>
      </c>
      <c r="G127" s="81">
        <f>'Giá tháng'!G$72</f>
        <v>1</v>
      </c>
      <c r="H127" s="15">
        <f>ROUND(E127*F127*G127,1)</f>
        <v>9284.2999999999993</v>
      </c>
    </row>
    <row r="128" spans="1:8" ht="16.5" customHeight="1">
      <c r="A128" s="127"/>
      <c r="B128" s="13" t="s">
        <v>680</v>
      </c>
      <c r="C128" s="14" t="s">
        <v>681</v>
      </c>
      <c r="D128" s="13" t="s">
        <v>682</v>
      </c>
      <c r="E128" s="80">
        <f>HaoPhiVatTu!H$114</f>
        <v>2</v>
      </c>
      <c r="F128" s="15">
        <f>ROUND(SUM(H126:H127),1)</f>
        <v>16553.7</v>
      </c>
      <c r="G128" s="81"/>
      <c r="H128" s="15">
        <f>ROUND(E128*F128/100,1)</f>
        <v>331.1</v>
      </c>
    </row>
    <row r="129" spans="1:8" ht="16.5" customHeight="1">
      <c r="A129" s="133"/>
      <c r="B129" s="24"/>
      <c r="C129" s="25" t="s">
        <v>776</v>
      </c>
      <c r="D129" s="24"/>
      <c r="E129" s="84"/>
      <c r="F129" s="26"/>
      <c r="G129" s="85"/>
      <c r="H129" s="26">
        <f>ROUND(SUM(H126:H128),1)</f>
        <v>16884.8</v>
      </c>
    </row>
    <row r="130" spans="1:8" ht="16.5" customHeight="1">
      <c r="A130" s="127"/>
      <c r="B130" s="13"/>
      <c r="C130" s="3" t="str">
        <f>'Công trình'!F43</f>
        <v>HỆ THỐNG THOÁT NƯỚC</v>
      </c>
      <c r="D130" s="13"/>
      <c r="E130" s="80"/>
      <c r="F130" s="15"/>
      <c r="G130" s="81"/>
      <c r="H130" s="15"/>
    </row>
    <row r="131" spans="1:8" ht="27.75" customHeight="1">
      <c r="A131" s="128">
        <f>'Công trình'!A46</f>
        <v>1</v>
      </c>
      <c r="B131" s="129" t="str">
        <f>'Công trình'!E46</f>
        <v>AB.25112</v>
      </c>
      <c r="C131" s="130" t="str">
        <f>'Công trình'!F46</f>
        <v>Đào móng công trình</v>
      </c>
      <c r="D131" s="129" t="str">
        <f>'Công trình'!G46</f>
        <v>100m3</v>
      </c>
      <c r="E131" s="65">
        <v>1</v>
      </c>
      <c r="F131" s="69"/>
      <c r="G131" s="67"/>
      <c r="H131" s="69"/>
    </row>
    <row r="132" spans="1:8" ht="16.5" customHeight="1">
      <c r="A132" s="131"/>
      <c r="B132" s="91"/>
      <c r="C132" s="90" t="s">
        <v>678</v>
      </c>
      <c r="D132" s="91"/>
      <c r="E132" s="93"/>
      <c r="F132" s="132"/>
      <c r="G132" s="94"/>
      <c r="H132" s="132">
        <f>ROUND(H133,1)</f>
        <v>840951.4</v>
      </c>
    </row>
    <row r="133" spans="1:8" ht="16.5" hidden="1" customHeight="1">
      <c r="A133" s="127"/>
      <c r="B133" s="13" t="str">
        <f>'Giá tháng'!B$48</f>
        <v>N1.30</v>
      </c>
      <c r="C133" s="14" t="str">
        <f>'Giá tháng'!C$48</f>
        <v>Nhân công 3,0/7 - Nhóm 1</v>
      </c>
      <c r="D133" s="13" t="str">
        <f>'Giá tháng'!D$48</f>
        <v>công</v>
      </c>
      <c r="E133" s="80">
        <f>HaoPhiVatTu!G$119</f>
        <v>3.8</v>
      </c>
      <c r="F133" s="15">
        <f>ROUND('Tổng hợp VT'!O$56,1)</f>
        <v>221303</v>
      </c>
      <c r="G133" s="81">
        <f>'Giá tháng'!G$48</f>
        <v>1</v>
      </c>
      <c r="H133" s="15">
        <f>ROUND(E133*F133*G133,1)</f>
        <v>840951.4</v>
      </c>
    </row>
    <row r="134" spans="1:8" ht="16.5" customHeight="1">
      <c r="A134" s="131"/>
      <c r="B134" s="91"/>
      <c r="C134" s="90" t="s">
        <v>679</v>
      </c>
      <c r="D134" s="91"/>
      <c r="E134" s="93"/>
      <c r="F134" s="132"/>
      <c r="G134" s="94"/>
      <c r="H134" s="132">
        <f>ROUND(H135,1)</f>
        <v>1100742</v>
      </c>
    </row>
    <row r="135" spans="1:8" ht="27.75" customHeight="1">
      <c r="A135" s="133"/>
      <c r="B135" s="24" t="str">
        <f>'Giá tháng'!B$60</f>
        <v>M101.0104</v>
      </c>
      <c r="C135" s="25" t="str">
        <f>'Giá tháng'!C$60</f>
        <v>Máy đào một gầu, bánh xích - dung tích gầu : 0,80 m3</v>
      </c>
      <c r="D135" s="24" t="str">
        <f>'Giá tháng'!D$60</f>
        <v>ca</v>
      </c>
      <c r="E135" s="84">
        <f>HaoPhiVatTu!H$121</f>
        <v>0.372</v>
      </c>
      <c r="F135" s="26">
        <f>ROUND('Tổng hợp VT'!O$69,1)</f>
        <v>2958984</v>
      </c>
      <c r="G135" s="85">
        <f>'Giá tháng'!G$60</f>
        <v>1</v>
      </c>
      <c r="H135" s="26">
        <f>ROUND(E135*F135*G135,1)</f>
        <v>1100742</v>
      </c>
    </row>
    <row r="136" spans="1:8" ht="16.5" hidden="1" customHeight="1">
      <c r="A136" s="128" t="e">
        <f>'Công trình'!#REF!</f>
        <v>#REF!</v>
      </c>
      <c r="B136" s="129" t="e">
        <f>'Công trình'!#REF!</f>
        <v>#REF!</v>
      </c>
      <c r="C136" s="130" t="e">
        <f>'Công trình'!#REF!</f>
        <v>#REF!</v>
      </c>
      <c r="D136" s="129" t="e">
        <f>'Công trình'!#REF!</f>
        <v>#REF!</v>
      </c>
      <c r="E136" s="65">
        <v>1</v>
      </c>
      <c r="F136" s="69"/>
      <c r="G136" s="67"/>
      <c r="H136" s="69"/>
    </row>
    <row r="137" spans="1:8" ht="16.5" customHeight="1">
      <c r="A137" s="131"/>
      <c r="B137" s="91"/>
      <c r="C137" s="90" t="s">
        <v>678</v>
      </c>
      <c r="D137" s="91"/>
      <c r="E137" s="93"/>
      <c r="F137" s="132"/>
      <c r="G137" s="94"/>
      <c r="H137" s="132">
        <f>ROUND(H138,1)</f>
        <v>170403.3</v>
      </c>
    </row>
    <row r="138" spans="1:8" ht="16.5" hidden="1" customHeight="1">
      <c r="A138" s="133"/>
      <c r="B138" s="24" t="str">
        <f>'Giá tháng'!B$48</f>
        <v>N1.30</v>
      </c>
      <c r="C138" s="25" t="str">
        <f>'Giá tháng'!C$48</f>
        <v>Nhân công 3,0/7 - Nhóm 1</v>
      </c>
      <c r="D138" s="24" t="str">
        <f>'Giá tháng'!D$48</f>
        <v>công</v>
      </c>
      <c r="E138" s="84">
        <f>HaoPhiVatTu!G$124</f>
        <v>0.77</v>
      </c>
      <c r="F138" s="26">
        <f>ROUND('Tổng hợp VT'!O$56,1)</f>
        <v>221303</v>
      </c>
      <c r="G138" s="85">
        <f>'Giá tháng'!G$48</f>
        <v>1</v>
      </c>
      <c r="H138" s="26">
        <f>ROUND(E138*F138*G138,1)</f>
        <v>170403.3</v>
      </c>
    </row>
    <row r="139" spans="1:8" ht="16.5" customHeight="1">
      <c r="A139" s="128">
        <f>'Công trình'!A48</f>
        <v>2</v>
      </c>
      <c r="B139" s="129" t="str">
        <f>'Công trình'!E48</f>
        <v>AB.64123</v>
      </c>
      <c r="C139" s="130" t="str">
        <f>'Công trình'!F48</f>
        <v>Đất đắp thân ga (tận dụng)</v>
      </c>
      <c r="D139" s="129" t="str">
        <f>'Công trình'!G48</f>
        <v>100m3</v>
      </c>
      <c r="E139" s="65">
        <v>1</v>
      </c>
      <c r="F139" s="69"/>
      <c r="G139" s="67"/>
      <c r="H139" s="69"/>
    </row>
    <row r="140" spans="1:8" ht="16.5" customHeight="1">
      <c r="A140" s="131"/>
      <c r="B140" s="91"/>
      <c r="C140" s="90" t="s">
        <v>678</v>
      </c>
      <c r="D140" s="91"/>
      <c r="E140" s="93"/>
      <c r="F140" s="132"/>
      <c r="G140" s="94"/>
      <c r="H140" s="132">
        <f>ROUND(H141,1)</f>
        <v>320889.40000000002</v>
      </c>
    </row>
    <row r="141" spans="1:8" ht="16.5" hidden="1" customHeight="1">
      <c r="A141" s="127"/>
      <c r="B141" s="13" t="str">
        <f>'Giá tháng'!B$48</f>
        <v>N1.30</v>
      </c>
      <c r="C141" s="14" t="str">
        <f>'Giá tháng'!C$48</f>
        <v>Nhân công 3,0/7 - Nhóm 1</v>
      </c>
      <c r="D141" s="13" t="str">
        <f>'Giá tháng'!D$48</f>
        <v>công</v>
      </c>
      <c r="E141" s="80">
        <f>HaoPhiVatTu!G$127</f>
        <v>1.45</v>
      </c>
      <c r="F141" s="15">
        <f>ROUND('Tổng hợp VT'!O$56,1)</f>
        <v>221303</v>
      </c>
      <c r="G141" s="81">
        <f>'Giá tháng'!G$48</f>
        <v>1</v>
      </c>
      <c r="H141" s="15">
        <f>ROUND(E141*F141*G141,1)</f>
        <v>320889.40000000002</v>
      </c>
    </row>
    <row r="142" spans="1:8" ht="16.5" customHeight="1">
      <c r="A142" s="131"/>
      <c r="B142" s="91"/>
      <c r="C142" s="90" t="s">
        <v>679</v>
      </c>
      <c r="D142" s="91"/>
      <c r="E142" s="93"/>
      <c r="F142" s="132"/>
      <c r="G142" s="94"/>
      <c r="H142" s="132">
        <f>ROUND(H146,1)</f>
        <v>904157.3</v>
      </c>
    </row>
    <row r="143" spans="1:8" ht="27.75" customHeight="1">
      <c r="A143" s="127"/>
      <c r="B143" s="13" t="str">
        <f>'Giá tháng'!B$68</f>
        <v>M101.1105</v>
      </c>
      <c r="C143" s="14" t="str">
        <f>'Giá tháng'!C$68</f>
        <v>Máy lu bánh thép tự hành - trọng lượng tĩnh : 16 T</v>
      </c>
      <c r="D143" s="13" t="str">
        <f>'Giá tháng'!D$68</f>
        <v>ca</v>
      </c>
      <c r="E143" s="80">
        <f>HaoPhiVatTu!H$129</f>
        <v>0.33500000000000002</v>
      </c>
      <c r="F143" s="15">
        <f>ROUND('Tổng hợp VT'!O$77,1)</f>
        <v>1606688</v>
      </c>
      <c r="G143" s="81">
        <f>'Giá tháng'!G$68</f>
        <v>1</v>
      </c>
      <c r="H143" s="15">
        <f>ROUND(E143*F143*G143,1)</f>
        <v>538240.5</v>
      </c>
    </row>
    <row r="144" spans="1:8" ht="27.75" customHeight="1">
      <c r="A144" s="127"/>
      <c r="B144" s="13" t="str">
        <f>'Giá tháng'!B$76</f>
        <v>M101.0503</v>
      </c>
      <c r="C144" s="14" t="str">
        <f>'Giá tháng'!C$76</f>
        <v>Máy ủi - công suất : 110,0 CV</v>
      </c>
      <c r="D144" s="13" t="str">
        <f>'Giá tháng'!D$76</f>
        <v>ca</v>
      </c>
      <c r="E144" s="80">
        <f>HaoPhiVatTu!H$130</f>
        <v>0.16700000000000001</v>
      </c>
      <c r="F144" s="15">
        <f>ROUND('Tổng hợp VT'!O$85,1)</f>
        <v>2111107</v>
      </c>
      <c r="G144" s="81">
        <f>'Giá tháng'!G$76</f>
        <v>1</v>
      </c>
      <c r="H144" s="15">
        <f>ROUND(E144*F144*G144,1)</f>
        <v>352554.9</v>
      </c>
    </row>
    <row r="145" spans="1:8" ht="16.5" customHeight="1">
      <c r="A145" s="127"/>
      <c r="B145" s="13" t="s">
        <v>680</v>
      </c>
      <c r="C145" s="14" t="s">
        <v>681</v>
      </c>
      <c r="D145" s="13" t="s">
        <v>682</v>
      </c>
      <c r="E145" s="80">
        <f>HaoPhiVatTu!H$131</f>
        <v>1.5</v>
      </c>
      <c r="F145" s="15">
        <f>ROUND(SUM(H143:H144),1)</f>
        <v>890795.4</v>
      </c>
      <c r="G145" s="81"/>
      <c r="H145" s="15">
        <f>ROUND(E145*F145/100,1)</f>
        <v>13361.9</v>
      </c>
    </row>
    <row r="146" spans="1:8" ht="16.5" customHeight="1">
      <c r="A146" s="133"/>
      <c r="B146" s="24"/>
      <c r="C146" s="25" t="s">
        <v>776</v>
      </c>
      <c r="D146" s="24"/>
      <c r="E146" s="84"/>
      <c r="F146" s="26"/>
      <c r="G146" s="85"/>
      <c r="H146" s="26">
        <f>ROUND(SUM(H143:H145),1)</f>
        <v>904157.3</v>
      </c>
    </row>
    <row r="147" spans="1:8" ht="40.5" customHeight="1">
      <c r="A147" s="128">
        <f>'Công trình'!A50</f>
        <v>3</v>
      </c>
      <c r="B147" s="129" t="str">
        <f>'Công trình'!E50</f>
        <v>AB.41412</v>
      </c>
      <c r="C147" s="130" t="str">
        <f>'Công trình'!F50</f>
        <v>Vận chuyển đất bằng ôtô tự đổ 5 tấn trong phạm vi &lt;= 1000m, đất cấp II</v>
      </c>
      <c r="D147" s="129" t="str">
        <f>'Công trình'!G50</f>
        <v>100m3</v>
      </c>
      <c r="E147" s="65">
        <v>1</v>
      </c>
      <c r="F147" s="69"/>
      <c r="G147" s="67"/>
      <c r="H147" s="69"/>
    </row>
    <row r="148" spans="1:8" ht="16.5" customHeight="1">
      <c r="A148" s="131"/>
      <c r="B148" s="91"/>
      <c r="C148" s="90" t="s">
        <v>679</v>
      </c>
      <c r="D148" s="91"/>
      <c r="E148" s="93"/>
      <c r="F148" s="132"/>
      <c r="G148" s="94"/>
      <c r="H148" s="132">
        <f>ROUND(H149,1)</f>
        <v>2313202.9</v>
      </c>
    </row>
    <row r="149" spans="1:8" ht="27.75" customHeight="1">
      <c r="A149" s="133"/>
      <c r="B149" s="24" t="str">
        <f>'Giá tháng'!B$78</f>
        <v>M106.0202</v>
      </c>
      <c r="C149" s="25" t="str">
        <f>'Giá tháng'!C$78</f>
        <v>Ô tô tự đổ - trọng tải : 5,0 T</v>
      </c>
      <c r="D149" s="24" t="str">
        <f>'Giá tháng'!D$78</f>
        <v>ca</v>
      </c>
      <c r="E149" s="84">
        <f>HaoPhiVatTu!H$134</f>
        <v>1.329</v>
      </c>
      <c r="F149" s="26">
        <f>ROUND('Tổng hợp VT'!O$87,1)</f>
        <v>1740559</v>
      </c>
      <c r="G149" s="85">
        <f>'Giá tháng'!G$78</f>
        <v>1</v>
      </c>
      <c r="H149" s="26">
        <f>ROUND(E149*F149*G149,1)</f>
        <v>2313202.9</v>
      </c>
    </row>
    <row r="150" spans="1:8" ht="40.5" customHeight="1">
      <c r="A150" s="128">
        <f>'Công trình'!A52</f>
        <v>20</v>
      </c>
      <c r="B150" s="129" t="str">
        <f>'Công trình'!E52</f>
        <v>AB.42212</v>
      </c>
      <c r="C150" s="130" t="str">
        <f>'Công trình'!F52</f>
        <v>Vận chuyển đất bằng ô tô tự đổ 5T 1km tiếp theo ngoài phạm vi 5km, đất cấp II</v>
      </c>
      <c r="D150" s="129" t="str">
        <f>'Công trình'!G52</f>
        <v>100m3</v>
      </c>
      <c r="E150" s="65">
        <v>1</v>
      </c>
      <c r="F150" s="69"/>
      <c r="G150" s="67"/>
      <c r="H150" s="69"/>
    </row>
    <row r="151" spans="1:8" ht="16.5" customHeight="1">
      <c r="A151" s="131"/>
      <c r="B151" s="91"/>
      <c r="C151" s="90" t="s">
        <v>679</v>
      </c>
      <c r="D151" s="91"/>
      <c r="E151" s="93"/>
      <c r="F151" s="132"/>
      <c r="G151" s="94"/>
      <c r="H151" s="132">
        <f>ROUND(H152,1)</f>
        <v>3550740.4</v>
      </c>
    </row>
    <row r="152" spans="1:8" ht="27.75" customHeight="1">
      <c r="A152" s="133"/>
      <c r="B152" s="24" t="str">
        <f>'Giá tháng'!B$79</f>
        <v>M106.0202</v>
      </c>
      <c r="C152" s="25" t="str">
        <f>'Giá tháng'!C$79</f>
        <v>Ô tô tự đổ - trọng tải : 5,0 T</v>
      </c>
      <c r="D152" s="24" t="str">
        <f>'Giá tháng'!D$79</f>
        <v>ca</v>
      </c>
      <c r="E152" s="84">
        <f>HaoPhiVatTu!H$137</f>
        <v>0.51</v>
      </c>
      <c r="F152" s="26">
        <f>ROUND('Tổng hợp VT'!O$87,1)</f>
        <v>1740559</v>
      </c>
      <c r="G152" s="85">
        <f>'Giá tháng'!G$79</f>
        <v>4</v>
      </c>
      <c r="H152" s="26">
        <f>ROUND(E152*F152*G152,1)</f>
        <v>3550740.4</v>
      </c>
    </row>
    <row r="153" spans="1:8" ht="27.75" customHeight="1">
      <c r="A153" s="128">
        <f>'Công trình'!A54</f>
        <v>4</v>
      </c>
      <c r="B153" s="129" t="str">
        <f>'Công trình'!E54</f>
        <v>AK.98110</v>
      </c>
      <c r="C153" s="130" t="str">
        <f>'Công trình'!F54</f>
        <v>Đá dăm lót móng, đá 2x4, dày 10cm</v>
      </c>
      <c r="D153" s="129" t="str">
        <f>'Công trình'!G54</f>
        <v>m3</v>
      </c>
      <c r="E153" s="65">
        <v>1</v>
      </c>
      <c r="F153" s="69"/>
      <c r="G153" s="67"/>
      <c r="H153" s="69"/>
    </row>
    <row r="154" spans="1:8" ht="16.5" customHeight="1">
      <c r="A154" s="131"/>
      <c r="B154" s="91"/>
      <c r="C154" s="90" t="s">
        <v>683</v>
      </c>
      <c r="D154" s="91"/>
      <c r="E154" s="93"/>
      <c r="F154" s="132"/>
      <c r="G154" s="94"/>
      <c r="H154" s="132">
        <f>ROUND(H157,1)</f>
        <v>453000</v>
      </c>
    </row>
    <row r="155" spans="1:8" ht="16.5" hidden="1" customHeight="1">
      <c r="A155" s="127"/>
      <c r="B155" s="13" t="str">
        <f>'Giá tháng'!B$17</f>
        <v>A24.0025</v>
      </c>
      <c r="C155" s="14" t="str">
        <f>'Giá tháng'!C$17</f>
        <v>Đá dăm 2x4 lót móng</v>
      </c>
      <c r="D155" s="13" t="str">
        <f>'Giá tháng'!D$17</f>
        <v>m3</v>
      </c>
      <c r="E155" s="80">
        <f>HaoPhiVatTu!F$140</f>
        <v>1.2</v>
      </c>
      <c r="F155" s="15">
        <f>ROUND('Tổng hợp VT'!O$22,1)</f>
        <v>340000</v>
      </c>
      <c r="G155" s="81">
        <f>'Giá tháng'!G$17</f>
        <v>1</v>
      </c>
      <c r="H155" s="15">
        <f>ROUND(E155*F155*G155,1)</f>
        <v>408000</v>
      </c>
    </row>
    <row r="156" spans="1:8" ht="16.5" hidden="1" customHeight="1">
      <c r="A156" s="127"/>
      <c r="B156" s="13" t="str">
        <f>'Giá tháng'!B$7</f>
        <v>A24.1042</v>
      </c>
      <c r="C156" s="14" t="str">
        <f>'Giá tháng'!C$7</f>
        <v>Cát</v>
      </c>
      <c r="D156" s="13" t="str">
        <f>'Giá tháng'!D$7</f>
        <v>m3</v>
      </c>
      <c r="E156" s="80">
        <f>HaoPhiVatTu!F$141</f>
        <v>0.3</v>
      </c>
      <c r="F156" s="15">
        <f>ROUND('Tổng hợp VT'!O$12,1)</f>
        <v>150000</v>
      </c>
      <c r="G156" s="81">
        <f>'Giá tháng'!G$7</f>
        <v>1</v>
      </c>
      <c r="H156" s="15">
        <f>ROUND(E156*F156*G156,1)</f>
        <v>45000</v>
      </c>
    </row>
    <row r="157" spans="1:8" ht="16.5" customHeight="1">
      <c r="A157" s="127"/>
      <c r="B157" s="13"/>
      <c r="C157" s="14" t="s">
        <v>776</v>
      </c>
      <c r="D157" s="13"/>
      <c r="E157" s="80"/>
      <c r="F157" s="15"/>
      <c r="G157" s="81"/>
      <c r="H157" s="15">
        <f>ROUND(SUM(H155:H156),1)</f>
        <v>453000</v>
      </c>
    </row>
    <row r="158" spans="1:8" ht="16.5" customHeight="1">
      <c r="A158" s="131"/>
      <c r="B158" s="91"/>
      <c r="C158" s="90" t="s">
        <v>678</v>
      </c>
      <c r="D158" s="91"/>
      <c r="E158" s="93"/>
      <c r="F158" s="132"/>
      <c r="G158" s="94"/>
      <c r="H158" s="132">
        <f>ROUND(H159,1)</f>
        <v>420923.8</v>
      </c>
    </row>
    <row r="159" spans="1:8" ht="16.5" hidden="1" customHeight="1">
      <c r="A159" s="133"/>
      <c r="B159" s="24" t="str">
        <f>'Giá tháng'!B$53</f>
        <v>N2.40</v>
      </c>
      <c r="C159" s="25" t="str">
        <f>'Giá tháng'!C$53</f>
        <v>Nhân công 4,0/7 - Nhóm 2</v>
      </c>
      <c r="D159" s="24" t="str">
        <f>'Giá tháng'!D$53</f>
        <v>công</v>
      </c>
      <c r="E159" s="84">
        <f>HaoPhiVatTu!G$143</f>
        <v>1.48</v>
      </c>
      <c r="F159" s="26">
        <f>ROUND('Tổng hợp VT'!O$60,1)</f>
        <v>284408</v>
      </c>
      <c r="G159" s="85">
        <f>'Giá tháng'!G$53</f>
        <v>1</v>
      </c>
      <c r="H159" s="26">
        <f>ROUND(E159*F159*G159,1)</f>
        <v>420923.8</v>
      </c>
    </row>
    <row r="160" spans="1:8" ht="16.5" customHeight="1">
      <c r="A160" s="128">
        <f>'Công trình'!A56</f>
        <v>5</v>
      </c>
      <c r="B160" s="129" t="str">
        <f>'Công trình'!E56</f>
        <v>AF.81122</v>
      </c>
      <c r="C160" s="130" t="str">
        <f>'Công trình'!F56</f>
        <v>Ván khuôn gỗ. Ván khuôn móng ga</v>
      </c>
      <c r="D160" s="129" t="str">
        <f>'Công trình'!G56</f>
        <v>100m2</v>
      </c>
      <c r="E160" s="65">
        <v>1</v>
      </c>
      <c r="F160" s="69"/>
      <c r="G160" s="67"/>
      <c r="H160" s="69"/>
    </row>
    <row r="161" spans="1:8" ht="16.5" customHeight="1">
      <c r="A161" s="131"/>
      <c r="B161" s="91"/>
      <c r="C161" s="90" t="s">
        <v>683</v>
      </c>
      <c r="D161" s="91"/>
      <c r="E161" s="93"/>
      <c r="F161" s="132"/>
      <c r="G161" s="94"/>
      <c r="H161" s="132">
        <f>ROUND(H167,1)</f>
        <v>6188316.2000000002</v>
      </c>
    </row>
    <row r="162" spans="1:8" ht="16.5" hidden="1" customHeight="1">
      <c r="A162" s="127"/>
      <c r="B162" s="13" t="str">
        <f>'Giá tháng'!B$23</f>
        <v>A24.0418</v>
      </c>
      <c r="C162" s="14" t="str">
        <f>'Giá tháng'!C$23</f>
        <v>Gỗ ván</v>
      </c>
      <c r="D162" s="13" t="str">
        <f>'Giá tháng'!D$23</f>
        <v>m3</v>
      </c>
      <c r="E162" s="80">
        <f>HaoPhiVatTu!F$146</f>
        <v>0.79400000000000004</v>
      </c>
      <c r="F162" s="15">
        <f>ROUND('Tổng hợp VT'!O$28,1)</f>
        <v>4318182</v>
      </c>
      <c r="G162" s="81">
        <f>'Giá tháng'!G$23</f>
        <v>1</v>
      </c>
      <c r="H162" s="15">
        <f>ROUND(E162*F162*G162,1)</f>
        <v>3428636.5</v>
      </c>
    </row>
    <row r="163" spans="1:8" ht="16.5" hidden="1" customHeight="1">
      <c r="A163" s="127"/>
      <c r="B163" s="13" t="str">
        <f>'Giá tháng'!B$22</f>
        <v>A24.0404</v>
      </c>
      <c r="C163" s="14" t="str">
        <f>'Giá tháng'!C$22</f>
        <v>Gỗ đà nẹp</v>
      </c>
      <c r="D163" s="13" t="str">
        <f>'Giá tháng'!D$22</f>
        <v>m3</v>
      </c>
      <c r="E163" s="80">
        <f>HaoPhiVatTu!F$147</f>
        <v>0.21</v>
      </c>
      <c r="F163" s="15">
        <f>ROUND('Tổng hợp VT'!O$27,1)</f>
        <v>4318182</v>
      </c>
      <c r="G163" s="81">
        <f>'Giá tháng'!G$22</f>
        <v>1</v>
      </c>
      <c r="H163" s="15">
        <f>ROUND(E163*F163*G163,1)</f>
        <v>906818.2</v>
      </c>
    </row>
    <row r="164" spans="1:8" ht="16.5" hidden="1" customHeight="1">
      <c r="A164" s="127"/>
      <c r="B164" s="13" t="str">
        <f>'Giá tháng'!B$21</f>
        <v>A24.0406</v>
      </c>
      <c r="C164" s="14" t="str">
        <f>'Giá tháng'!C$21</f>
        <v>Gỗ chống</v>
      </c>
      <c r="D164" s="13" t="str">
        <f>'Giá tháng'!D$21</f>
        <v>m3</v>
      </c>
      <c r="E164" s="80">
        <f>HaoPhiVatTu!F$148</f>
        <v>0.33500000000000002</v>
      </c>
      <c r="F164" s="15">
        <f>ROUND('Tổng hợp VT'!O$26,1)</f>
        <v>4318182</v>
      </c>
      <c r="G164" s="81">
        <f>'Giá tháng'!G$21</f>
        <v>1</v>
      </c>
      <c r="H164" s="15">
        <f>ROUND(E164*F164*G164,1)</f>
        <v>1446591</v>
      </c>
    </row>
    <row r="165" spans="1:8" ht="16.5" hidden="1" customHeight="1">
      <c r="A165" s="127"/>
      <c r="B165" s="13" t="str">
        <f>'Giá tháng'!B$19</f>
        <v>A24.0054</v>
      </c>
      <c r="C165" s="14" t="str">
        <f>'Giá tháng'!C$19</f>
        <v>Đinh</v>
      </c>
      <c r="D165" s="13" t="str">
        <f>'Giá tháng'!D$19</f>
        <v>kg</v>
      </c>
      <c r="E165" s="80">
        <f>HaoPhiVatTu!F$149</f>
        <v>15</v>
      </c>
      <c r="F165" s="15">
        <f>ROUND('Tổng hợp VT'!O$24,1)</f>
        <v>23000</v>
      </c>
      <c r="G165" s="81">
        <f>'Giá tháng'!G$19</f>
        <v>1</v>
      </c>
      <c r="H165" s="15">
        <f>ROUND(E165*F165*G165,1)</f>
        <v>345000</v>
      </c>
    </row>
    <row r="166" spans="1:8" ht="16.5" hidden="1" customHeight="1">
      <c r="A166" s="127"/>
      <c r="B166" s="13" t="s">
        <v>684</v>
      </c>
      <c r="C166" s="14" t="s">
        <v>685</v>
      </c>
      <c r="D166" s="13" t="s">
        <v>682</v>
      </c>
      <c r="E166" s="80">
        <f>HaoPhiVatTu!F$150</f>
        <v>1</v>
      </c>
      <c r="F166" s="15">
        <f>ROUND(SUM(H162:H165),1)</f>
        <v>6127045.7000000002</v>
      </c>
      <c r="G166" s="81"/>
      <c r="H166" s="15">
        <f>ROUND(E166*F166/100,1)</f>
        <v>61270.5</v>
      </c>
    </row>
    <row r="167" spans="1:8" ht="16.5" customHeight="1">
      <c r="A167" s="127"/>
      <c r="B167" s="13"/>
      <c r="C167" s="14" t="s">
        <v>776</v>
      </c>
      <c r="D167" s="13"/>
      <c r="E167" s="80"/>
      <c r="F167" s="15"/>
      <c r="G167" s="81"/>
      <c r="H167" s="15">
        <f>ROUND(SUM(H162:H166),1)</f>
        <v>6188316.2000000002</v>
      </c>
    </row>
    <row r="168" spans="1:8" ht="16.5" customHeight="1">
      <c r="A168" s="131"/>
      <c r="B168" s="91"/>
      <c r="C168" s="90" t="s">
        <v>678</v>
      </c>
      <c r="D168" s="91"/>
      <c r="E168" s="93"/>
      <c r="F168" s="132"/>
      <c r="G168" s="94"/>
      <c r="H168" s="132">
        <f>ROUND(H169,1)</f>
        <v>7781400</v>
      </c>
    </row>
    <row r="169" spans="1:8" ht="16.5" hidden="1" customHeight="1">
      <c r="A169" s="133"/>
      <c r="B169" s="24" t="str">
        <f>'Giá tháng'!B$51</f>
        <v>N2.35</v>
      </c>
      <c r="C169" s="25" t="str">
        <f>'Giá tháng'!C$51</f>
        <v>Nhân công 3,5/7 - Nhóm 2</v>
      </c>
      <c r="D169" s="24" t="str">
        <f>'Giá tháng'!D$51</f>
        <v>công</v>
      </c>
      <c r="E169" s="84">
        <f>HaoPhiVatTu!G$152</f>
        <v>29.7</v>
      </c>
      <c r="F169" s="26">
        <f>ROUND('Tổng hợp VT'!O$59,1)</f>
        <v>262000</v>
      </c>
      <c r="G169" s="85">
        <f>'Giá tháng'!G$51</f>
        <v>1</v>
      </c>
      <c r="H169" s="26">
        <f>ROUND(E169*F169*G169,1)</f>
        <v>7781400</v>
      </c>
    </row>
    <row r="170" spans="1:8" ht="27.75" customHeight="1">
      <c r="A170" s="128">
        <f>'Công trình'!A58</f>
        <v>6</v>
      </c>
      <c r="B170" s="129" t="str">
        <f>'Công trình'!E58</f>
        <v>AF.11213A</v>
      </c>
      <c r="C170" s="130" t="str">
        <f>'Công trình'!F58</f>
        <v>Đổ bê tông móng ga, đá 1x2, mác 200</v>
      </c>
      <c r="D170" s="129" t="str">
        <f>'Công trình'!G58</f>
        <v>m3</v>
      </c>
      <c r="E170" s="65">
        <v>1</v>
      </c>
      <c r="F170" s="69"/>
      <c r="G170" s="67"/>
      <c r="H170" s="69"/>
    </row>
    <row r="171" spans="1:8" ht="16.5" customHeight="1">
      <c r="A171" s="131"/>
      <c r="B171" s="91"/>
      <c r="C171" s="90" t="s">
        <v>683</v>
      </c>
      <c r="D171" s="91"/>
      <c r="E171" s="93"/>
      <c r="F171" s="132"/>
      <c r="G171" s="94"/>
      <c r="H171" s="132">
        <f>ROUND(H177,1)</f>
        <v>1040813.5</v>
      </c>
    </row>
    <row r="172" spans="1:8" ht="27.75" hidden="1" customHeight="1">
      <c r="A172" s="127"/>
      <c r="B172" s="13" t="str">
        <f>'Giá tháng'!B$45</f>
        <v>A24.0797A</v>
      </c>
      <c r="C172" s="14" t="str">
        <f>'Giá tháng'!C$45</f>
        <v>Xi măng PCB30</v>
      </c>
      <c r="D172" s="13" t="str">
        <f>'Giá tháng'!D$45</f>
        <v>kg</v>
      </c>
      <c r="E172" s="80">
        <f>HaoPhiVatTu!F$155</f>
        <v>321.85000000000002</v>
      </c>
      <c r="F172" s="15">
        <f>ROUND('Tổng hợp VT'!O$49,1)</f>
        <v>1481</v>
      </c>
      <c r="G172" s="81">
        <f>'Giá tháng'!G$45</f>
        <v>1</v>
      </c>
      <c r="H172" s="15">
        <f>ROUND(E172*F172*G172,1)</f>
        <v>476659.9</v>
      </c>
    </row>
    <row r="173" spans="1:8" ht="16.5" hidden="1" customHeight="1">
      <c r="A173" s="127"/>
      <c r="B173" s="13" t="str">
        <f>'Giá tháng'!B$10</f>
        <v>A24.0180</v>
      </c>
      <c r="C173" s="14" t="str">
        <f>'Giá tháng'!C$10</f>
        <v>Cát vàng</v>
      </c>
      <c r="D173" s="13" t="str">
        <f>'Giá tháng'!D$10</f>
        <v>m3</v>
      </c>
      <c r="E173" s="80">
        <f>HaoPhiVatTu!F$156</f>
        <v>0.52890000000000004</v>
      </c>
      <c r="F173" s="15">
        <f>ROUND('Tổng hợp VT'!O$15,1)</f>
        <v>480000</v>
      </c>
      <c r="G173" s="81">
        <f>'Giá tháng'!G$10</f>
        <v>1</v>
      </c>
      <c r="H173" s="15">
        <f>ROUND(E173*F173*G173,1)</f>
        <v>253872</v>
      </c>
    </row>
    <row r="174" spans="1:8" ht="16.5" hidden="1" customHeight="1">
      <c r="A174" s="127"/>
      <c r="B174" s="13" t="str">
        <f>'Giá tháng'!B$15</f>
        <v>A24.0008</v>
      </c>
      <c r="C174" s="14" t="str">
        <f>'Giá tháng'!C$15</f>
        <v>Đá 1x2</v>
      </c>
      <c r="D174" s="13" t="str">
        <f>'Giá tháng'!D$15</f>
        <v>m3</v>
      </c>
      <c r="E174" s="80">
        <f>HaoPhiVatTu!F$157</f>
        <v>0.87124999999999997</v>
      </c>
      <c r="F174" s="15">
        <f>ROUND('Tổng hợp VT'!O$20,1)</f>
        <v>340000</v>
      </c>
      <c r="G174" s="81">
        <f>'Giá tháng'!G$15</f>
        <v>1</v>
      </c>
      <c r="H174" s="15">
        <f>ROUND(E174*F174*G174,1)</f>
        <v>296225</v>
      </c>
    </row>
    <row r="175" spans="1:8" ht="16.5" hidden="1" customHeight="1">
      <c r="A175" s="127"/>
      <c r="B175" s="13" t="str">
        <f>'Giá tháng'!B$32</f>
        <v>A24.0524</v>
      </c>
      <c r="C175" s="14" t="str">
        <f>'Giá tháng'!C$32</f>
        <v>Nước</v>
      </c>
      <c r="D175" s="13" t="str">
        <f>'Giá tháng'!D$32</f>
        <v>lít</v>
      </c>
      <c r="E175" s="80">
        <f>HaoPhiVatTu!F$158</f>
        <v>187.57499999999999</v>
      </c>
      <c r="F175" s="15">
        <f>ROUND('Tổng hợp VT'!O$37,1)</f>
        <v>20</v>
      </c>
      <c r="G175" s="81">
        <f>'Giá tháng'!G$32</f>
        <v>1</v>
      </c>
      <c r="H175" s="15">
        <f>ROUND(E175*F175*G175,1)</f>
        <v>3751.5</v>
      </c>
    </row>
    <row r="176" spans="1:8" ht="16.5" hidden="1" customHeight="1">
      <c r="A176" s="127"/>
      <c r="B176" s="13" t="s">
        <v>684</v>
      </c>
      <c r="C176" s="14" t="s">
        <v>685</v>
      </c>
      <c r="D176" s="13" t="s">
        <v>682</v>
      </c>
      <c r="E176" s="80">
        <f>HaoPhiVatTu!F$159</f>
        <v>1</v>
      </c>
      <c r="F176" s="15">
        <f>ROUND(SUM(H172:H175),1)</f>
        <v>1030508.4</v>
      </c>
      <c r="G176" s="81"/>
      <c r="H176" s="15">
        <f>ROUND(E176*F176/100,1)</f>
        <v>10305.1</v>
      </c>
    </row>
    <row r="177" spans="1:8" ht="16.5" customHeight="1">
      <c r="A177" s="127"/>
      <c r="B177" s="13"/>
      <c r="C177" s="14" t="s">
        <v>776</v>
      </c>
      <c r="D177" s="13"/>
      <c r="E177" s="80"/>
      <c r="F177" s="15"/>
      <c r="G177" s="81"/>
      <c r="H177" s="15">
        <f>ROUND(SUM(H172:H176),1)</f>
        <v>1040813.5</v>
      </c>
    </row>
    <row r="178" spans="1:8" ht="16.5" customHeight="1">
      <c r="A178" s="131"/>
      <c r="B178" s="91"/>
      <c r="C178" s="90" t="s">
        <v>678</v>
      </c>
      <c r="D178" s="91"/>
      <c r="E178" s="93"/>
      <c r="F178" s="132"/>
      <c r="G178" s="94"/>
      <c r="H178" s="132">
        <f>ROUND(H179,1)</f>
        <v>294698.2</v>
      </c>
    </row>
    <row r="179" spans="1:8" ht="16.5" hidden="1" customHeight="1">
      <c r="A179" s="127"/>
      <c r="B179" s="13" t="str">
        <f>'Giá tháng'!B$49</f>
        <v>N2.30</v>
      </c>
      <c r="C179" s="14" t="str">
        <f>'Giá tháng'!C$49</f>
        <v>Nhân công 3,0/7 - Nhóm 2</v>
      </c>
      <c r="D179" s="13" t="str">
        <f>'Giá tháng'!D$49</f>
        <v>công</v>
      </c>
      <c r="E179" s="80">
        <f>HaoPhiVatTu!G$161</f>
        <v>1.23</v>
      </c>
      <c r="F179" s="15">
        <f>ROUND('Tổng hợp VT'!O$57,1)</f>
        <v>239592</v>
      </c>
      <c r="G179" s="81">
        <f>'Giá tháng'!G$49</f>
        <v>1</v>
      </c>
      <c r="H179" s="15">
        <f>ROUND(E179*F179*G179,1)</f>
        <v>294698.2</v>
      </c>
    </row>
    <row r="180" spans="1:8" ht="16.5" customHeight="1">
      <c r="A180" s="131"/>
      <c r="B180" s="91"/>
      <c r="C180" s="90" t="s">
        <v>679</v>
      </c>
      <c r="D180" s="91"/>
      <c r="E180" s="93"/>
      <c r="F180" s="132"/>
      <c r="G180" s="94"/>
      <c r="H180" s="132">
        <f>ROUND(H183,1)</f>
        <v>54795.9</v>
      </c>
    </row>
    <row r="181" spans="1:8" ht="27.75" customHeight="1">
      <c r="A181" s="127"/>
      <c r="B181" s="13" t="str">
        <f>'Giá tháng'!B$74</f>
        <v>M104.0102</v>
      </c>
      <c r="C181" s="14" t="str">
        <f>'Giá tháng'!C$74</f>
        <v>Máy trộn bê tông - dung tích : 250,0 lít</v>
      </c>
      <c r="D181" s="13" t="str">
        <f>'Giá tháng'!D$74</f>
        <v>ca</v>
      </c>
      <c r="E181" s="80">
        <f>HaoPhiVatTu!H$163</f>
        <v>9.5000000000000001E-2</v>
      </c>
      <c r="F181" s="15">
        <f>ROUND('Tổng hợp VT'!O$83,1)</f>
        <v>318734</v>
      </c>
      <c r="G181" s="81">
        <f>'Giá tháng'!G$74</f>
        <v>1</v>
      </c>
      <c r="H181" s="15">
        <f>ROUND(E181*F181*G181,1)</f>
        <v>30279.7</v>
      </c>
    </row>
    <row r="182" spans="1:8" ht="27.75" customHeight="1">
      <c r="A182" s="127"/>
      <c r="B182" s="13" t="str">
        <f>'Giá tháng'!B$62</f>
        <v>M112.1301</v>
      </c>
      <c r="C182" s="14" t="str">
        <f>'Giá tháng'!C$62</f>
        <v>Máy đầm bê tông, dầm dùi - công suất : 1,5 kW</v>
      </c>
      <c r="D182" s="13" t="str">
        <f>'Giá tháng'!D$62</f>
        <v>ca</v>
      </c>
      <c r="E182" s="80">
        <f>HaoPhiVatTu!H$164</f>
        <v>8.8999999999999996E-2</v>
      </c>
      <c r="F182" s="15">
        <f>ROUND('Tổng hợp VT'!O$71,1)</f>
        <v>275463</v>
      </c>
      <c r="G182" s="81">
        <f>'Giá tháng'!G$62</f>
        <v>1</v>
      </c>
      <c r="H182" s="15">
        <f>ROUND(E182*F182*G182,1)</f>
        <v>24516.2</v>
      </c>
    </row>
    <row r="183" spans="1:8" ht="16.5" customHeight="1">
      <c r="A183" s="133"/>
      <c r="B183" s="24"/>
      <c r="C183" s="25" t="s">
        <v>776</v>
      </c>
      <c r="D183" s="24"/>
      <c r="E183" s="84"/>
      <c r="F183" s="26"/>
      <c r="G183" s="85"/>
      <c r="H183" s="26">
        <f>ROUND(SUM(H181:H182),1)</f>
        <v>54795.9</v>
      </c>
    </row>
    <row r="184" spans="1:8" ht="27.75" customHeight="1">
      <c r="A184" s="128">
        <f>'Công trình'!A60</f>
        <v>7</v>
      </c>
      <c r="B184" s="129" t="str">
        <f>'Công trình'!E60</f>
        <v>AE.26213A</v>
      </c>
      <c r="C184" s="130" t="str">
        <f>'Công trình'!F60</f>
        <v>Xây gạch không nung ga VXM M75, dày 22cm</v>
      </c>
      <c r="D184" s="129" t="str">
        <f>'Công trình'!G60</f>
        <v>m3</v>
      </c>
      <c r="E184" s="65">
        <v>1</v>
      </c>
      <c r="F184" s="69"/>
      <c r="G184" s="67"/>
      <c r="H184" s="69"/>
    </row>
    <row r="185" spans="1:8" ht="16.5" customHeight="1">
      <c r="A185" s="131"/>
      <c r="B185" s="91"/>
      <c r="C185" s="90" t="s">
        <v>683</v>
      </c>
      <c r="D185" s="91"/>
      <c r="E185" s="93"/>
      <c r="F185" s="132"/>
      <c r="G185" s="94"/>
      <c r="H185" s="132">
        <f>ROUND(H191,1)</f>
        <v>1079493.5</v>
      </c>
    </row>
    <row r="186" spans="1:8" ht="27.75" hidden="1" customHeight="1">
      <c r="A186" s="127"/>
      <c r="B186" s="13" t="str">
        <f>'Giá tháng'!B$20</f>
        <v>A24.0383A</v>
      </c>
      <c r="C186" s="14" t="str">
        <f>'Giá tháng'!C$20</f>
        <v>Gạch không nung 6,5x10,5x22</v>
      </c>
      <c r="D186" s="13" t="str">
        <f>'Giá tháng'!D$20</f>
        <v>viên</v>
      </c>
      <c r="E186" s="80">
        <f>HaoPhiVatTu!F$167</f>
        <v>550</v>
      </c>
      <c r="F186" s="15">
        <f>ROUND('Tổng hợp VT'!O$25,1)</f>
        <v>1250</v>
      </c>
      <c r="G186" s="81">
        <f>'Giá tháng'!G$20</f>
        <v>1</v>
      </c>
      <c r="H186" s="15">
        <f>ROUND(E186*F186*G186,1)</f>
        <v>687500</v>
      </c>
    </row>
    <row r="187" spans="1:8" ht="27.75" hidden="1" customHeight="1">
      <c r="A187" s="127"/>
      <c r="B187" s="13" t="str">
        <f>'Giá tháng'!B$45</f>
        <v>A24.0797A</v>
      </c>
      <c r="C187" s="14" t="str">
        <f>'Giá tháng'!C$45</f>
        <v>Xi măng PCB30</v>
      </c>
      <c r="D187" s="13" t="str">
        <f>'Giá tháng'!D$45</f>
        <v>kg</v>
      </c>
      <c r="E187" s="80">
        <f>HaoPhiVatTu!F$168</f>
        <v>111.54</v>
      </c>
      <c r="F187" s="15">
        <f>ROUND('Tổng hợp VT'!O$49,1)</f>
        <v>1481</v>
      </c>
      <c r="G187" s="81">
        <f>'Giá tháng'!G$45</f>
        <v>1</v>
      </c>
      <c r="H187" s="15">
        <f>ROUND(E187*F187*G187,1)</f>
        <v>165190.70000000001</v>
      </c>
    </row>
    <row r="188" spans="1:8" ht="16.5" hidden="1" customHeight="1">
      <c r="A188" s="127"/>
      <c r="B188" s="13" t="str">
        <f>'Giá tháng'!B$9</f>
        <v>A24.0176</v>
      </c>
      <c r="C188" s="14" t="str">
        <f>'Giá tháng'!C$9</f>
        <v>Cát mịn ML=1,5-2,0</v>
      </c>
      <c r="D188" s="13" t="str">
        <f>'Giá tháng'!D$9</f>
        <v>m3</v>
      </c>
      <c r="E188" s="80">
        <f>HaoPhiVatTu!F$169</f>
        <v>0.37917000000000001</v>
      </c>
      <c r="F188" s="15">
        <f>ROUND('Tổng hợp VT'!O$14,1)</f>
        <v>445000</v>
      </c>
      <c r="G188" s="81">
        <f>'Giá tháng'!G$9</f>
        <v>1</v>
      </c>
      <c r="H188" s="15">
        <f>ROUND(E188*F188*G188,1)</f>
        <v>168730.7</v>
      </c>
    </row>
    <row r="189" spans="1:8" ht="16.5" hidden="1" customHeight="1">
      <c r="A189" s="127"/>
      <c r="B189" s="13" t="str">
        <f>'Giá tháng'!B$32</f>
        <v>A24.0524</v>
      </c>
      <c r="C189" s="14" t="str">
        <f>'Giá tháng'!C$32</f>
        <v>Nước</v>
      </c>
      <c r="D189" s="13" t="str">
        <f>'Giá tháng'!D$32</f>
        <v>lít</v>
      </c>
      <c r="E189" s="80">
        <f>HaoPhiVatTu!F$170</f>
        <v>89.76</v>
      </c>
      <c r="F189" s="15">
        <f>ROUND('Tổng hợp VT'!O$37,1)</f>
        <v>20</v>
      </c>
      <c r="G189" s="81">
        <f>'Giá tháng'!G$32</f>
        <v>1</v>
      </c>
      <c r="H189" s="15">
        <f>ROUND(E189*F189*G189,1)</f>
        <v>1795.2</v>
      </c>
    </row>
    <row r="190" spans="1:8" ht="16.5" hidden="1" customHeight="1">
      <c r="A190" s="127"/>
      <c r="B190" s="13" t="s">
        <v>684</v>
      </c>
      <c r="C190" s="14" t="s">
        <v>685</v>
      </c>
      <c r="D190" s="13" t="s">
        <v>682</v>
      </c>
      <c r="E190" s="80">
        <f>HaoPhiVatTu!F$171</f>
        <v>5.5</v>
      </c>
      <c r="F190" s="15">
        <f>ROUND(SUM(H186:H189),1)</f>
        <v>1023216.6</v>
      </c>
      <c r="G190" s="81"/>
      <c r="H190" s="15">
        <f>ROUND(E190*F190/100,1)</f>
        <v>56276.9</v>
      </c>
    </row>
    <row r="191" spans="1:8" ht="16.5" customHeight="1">
      <c r="A191" s="127"/>
      <c r="B191" s="13"/>
      <c r="C191" s="14" t="s">
        <v>776</v>
      </c>
      <c r="D191" s="13"/>
      <c r="E191" s="80"/>
      <c r="F191" s="15"/>
      <c r="G191" s="81"/>
      <c r="H191" s="15">
        <f>ROUND(SUM(H186:H190),1)</f>
        <v>1079493.5</v>
      </c>
    </row>
    <row r="192" spans="1:8" ht="16.5" customHeight="1">
      <c r="A192" s="131"/>
      <c r="B192" s="91"/>
      <c r="C192" s="90" t="s">
        <v>678</v>
      </c>
      <c r="D192" s="91"/>
      <c r="E192" s="93"/>
      <c r="F192" s="132"/>
      <c r="G192" s="94"/>
      <c r="H192" s="132">
        <f>ROUND(H193,1)</f>
        <v>838400</v>
      </c>
    </row>
    <row r="193" spans="1:8" ht="16.5" hidden="1" customHeight="1">
      <c r="A193" s="127"/>
      <c r="B193" s="13" t="str">
        <f>'Giá tháng'!B$51</f>
        <v>N2.35</v>
      </c>
      <c r="C193" s="14" t="str">
        <f>'Giá tháng'!C$51</f>
        <v>Nhân công 3,5/7 - Nhóm 2</v>
      </c>
      <c r="D193" s="13" t="str">
        <f>'Giá tháng'!D$51</f>
        <v>công</v>
      </c>
      <c r="E193" s="80">
        <f>HaoPhiVatTu!G$173</f>
        <v>3.2</v>
      </c>
      <c r="F193" s="15">
        <f>ROUND('Tổng hợp VT'!O$59,1)</f>
        <v>262000</v>
      </c>
      <c r="G193" s="81">
        <f>'Giá tháng'!G$51</f>
        <v>1</v>
      </c>
      <c r="H193" s="15">
        <f>ROUND(E193*F193*G193,1)</f>
        <v>838400</v>
      </c>
    </row>
    <row r="194" spans="1:8" ht="16.5" customHeight="1">
      <c r="A194" s="131"/>
      <c r="B194" s="91"/>
      <c r="C194" s="90" t="s">
        <v>679</v>
      </c>
      <c r="D194" s="91"/>
      <c r="E194" s="93"/>
      <c r="F194" s="132"/>
      <c r="G194" s="94"/>
      <c r="H194" s="132">
        <f>ROUND(H195,1)</f>
        <v>11441.1</v>
      </c>
    </row>
    <row r="195" spans="1:8" ht="27.75" customHeight="1">
      <c r="A195" s="133"/>
      <c r="B195" s="24" t="str">
        <f>'Giá tháng'!B$75</f>
        <v>M104.0202</v>
      </c>
      <c r="C195" s="25" t="str">
        <f>'Giá tháng'!C$75</f>
        <v>Máy trộn vữa 150 lít</v>
      </c>
      <c r="D195" s="24" t="str">
        <f>'Giá tháng'!D$75</f>
        <v>ca</v>
      </c>
      <c r="E195" s="84">
        <f>HaoPhiVatTu!H$175</f>
        <v>3.9E-2</v>
      </c>
      <c r="F195" s="26">
        <f>ROUND('Tổng hợp VT'!O$84,1)</f>
        <v>293362</v>
      </c>
      <c r="G195" s="85">
        <f>'Giá tháng'!G$75</f>
        <v>1</v>
      </c>
      <c r="H195" s="26">
        <f>ROUND(E195*F195*G195,1)</f>
        <v>11441.1</v>
      </c>
    </row>
    <row r="196" spans="1:8" ht="53.25" customHeight="1">
      <c r="A196" s="128">
        <f>'Công trình'!A62</f>
        <v>8</v>
      </c>
      <c r="B196" s="129" t="str">
        <f>'Công trình'!E62</f>
        <v>AK.21533</v>
      </c>
      <c r="C196" s="130" t="str">
        <f>'Công trình'!F62</f>
        <v>Trát tường xây gạch không nung bằng vữa thông thường, trát tường ga, chiều dày trát 2cm, vữa XM mác 75</v>
      </c>
      <c r="D196" s="129" t="str">
        <f>'Công trình'!G62</f>
        <v>m2</v>
      </c>
      <c r="E196" s="65">
        <v>1</v>
      </c>
      <c r="F196" s="69"/>
      <c r="G196" s="67"/>
      <c r="H196" s="69"/>
    </row>
    <row r="197" spans="1:8" ht="16.5" customHeight="1">
      <c r="A197" s="131"/>
      <c r="B197" s="91"/>
      <c r="C197" s="90" t="s">
        <v>683</v>
      </c>
      <c r="D197" s="91"/>
      <c r="E197" s="93"/>
      <c r="F197" s="132"/>
      <c r="G197" s="94"/>
      <c r="H197" s="132">
        <f>ROUND(H202,1)</f>
        <v>21521.3</v>
      </c>
    </row>
    <row r="198" spans="1:8" ht="27.75" hidden="1" customHeight="1">
      <c r="A198" s="127"/>
      <c r="B198" s="13" t="str">
        <f>'Giá tháng'!B$46</f>
        <v>A24.0796A</v>
      </c>
      <c r="C198" s="14" t="str">
        <f>'Giá tháng'!C$46</f>
        <v>Xi măng PCB40</v>
      </c>
      <c r="D198" s="13" t="str">
        <f>'Giá tháng'!D$46</f>
        <v>kg</v>
      </c>
      <c r="E198" s="80">
        <f>HaoPhiVatTu!F$178</f>
        <v>6.0720000000000001</v>
      </c>
      <c r="F198" s="15">
        <f>ROUND('Tổng hợp VT'!O$50,1)</f>
        <v>1500</v>
      </c>
      <c r="G198" s="81">
        <f>'Giá tháng'!G$46</f>
        <v>1</v>
      </c>
      <c r="H198" s="15">
        <f>ROUND(E198*F198*G198,1)</f>
        <v>9108</v>
      </c>
    </row>
    <row r="199" spans="1:8" ht="16.5" hidden="1" customHeight="1">
      <c r="A199" s="127"/>
      <c r="B199" s="13" t="str">
        <f>'Giá tháng'!B$9</f>
        <v>A24.0176</v>
      </c>
      <c r="C199" s="14" t="str">
        <f>'Giá tháng'!C$9</f>
        <v>Cát mịn ML=1,5-2,0</v>
      </c>
      <c r="D199" s="13" t="str">
        <f>'Giá tháng'!D$9</f>
        <v>m3</v>
      </c>
      <c r="E199" s="80">
        <f>HaoPhiVatTu!F$179</f>
        <v>2.7369999999999998E-2</v>
      </c>
      <c r="F199" s="15">
        <f>ROUND('Tổng hợp VT'!O$14,1)</f>
        <v>445000</v>
      </c>
      <c r="G199" s="81">
        <f>'Giá tháng'!G$9</f>
        <v>1</v>
      </c>
      <c r="H199" s="15">
        <f>ROUND(E199*F199*G199,1)</f>
        <v>12179.7</v>
      </c>
    </row>
    <row r="200" spans="1:8" ht="16.5" hidden="1" customHeight="1">
      <c r="A200" s="127"/>
      <c r="B200" s="13" t="str">
        <f>'Giá tháng'!B$32</f>
        <v>A24.0524</v>
      </c>
      <c r="C200" s="14" t="str">
        <f>'Giá tháng'!C$32</f>
        <v>Nước</v>
      </c>
      <c r="D200" s="13" t="str">
        <f>'Giá tháng'!D$32</f>
        <v>lít</v>
      </c>
      <c r="E200" s="80">
        <f>HaoPhiVatTu!F$180</f>
        <v>6.3250000000000002</v>
      </c>
      <c r="F200" s="15">
        <f>ROUND('Tổng hợp VT'!O$37,1)</f>
        <v>20</v>
      </c>
      <c r="G200" s="81">
        <f>'Giá tháng'!G$32</f>
        <v>1</v>
      </c>
      <c r="H200" s="15">
        <f>ROUND(E200*F200*G200,1)</f>
        <v>126.5</v>
      </c>
    </row>
    <row r="201" spans="1:8" ht="16.5" hidden="1" customHeight="1">
      <c r="A201" s="127"/>
      <c r="B201" s="13" t="s">
        <v>684</v>
      </c>
      <c r="C201" s="14" t="s">
        <v>685</v>
      </c>
      <c r="D201" s="13" t="s">
        <v>682</v>
      </c>
      <c r="E201" s="80">
        <f>HaoPhiVatTu!F$181</f>
        <v>0.5</v>
      </c>
      <c r="F201" s="15">
        <f>ROUND(SUM(H198:H200),1)</f>
        <v>21414.2</v>
      </c>
      <c r="G201" s="81"/>
      <c r="H201" s="15">
        <f>ROUND(E201*F201/100,1)</f>
        <v>107.1</v>
      </c>
    </row>
    <row r="202" spans="1:8" ht="16.5" customHeight="1">
      <c r="A202" s="127"/>
      <c r="B202" s="13"/>
      <c r="C202" s="14" t="s">
        <v>776</v>
      </c>
      <c r="D202" s="13"/>
      <c r="E202" s="80"/>
      <c r="F202" s="15"/>
      <c r="G202" s="81"/>
      <c r="H202" s="15">
        <f>ROUND(SUM(H198:H201),1)</f>
        <v>21521.3</v>
      </c>
    </row>
    <row r="203" spans="1:8" ht="16.5" customHeight="1">
      <c r="A203" s="131"/>
      <c r="B203" s="91"/>
      <c r="C203" s="90" t="s">
        <v>678</v>
      </c>
      <c r="D203" s="91"/>
      <c r="E203" s="93"/>
      <c r="F203" s="132"/>
      <c r="G203" s="94"/>
      <c r="H203" s="132">
        <f>ROUND(H204,1)</f>
        <v>91700</v>
      </c>
    </row>
    <row r="204" spans="1:8" ht="16.5" hidden="1" customHeight="1">
      <c r="A204" s="127"/>
      <c r="B204" s="13" t="str">
        <f>'Giá tháng'!B$51</f>
        <v>N2.35</v>
      </c>
      <c r="C204" s="14" t="str">
        <f>'Giá tháng'!C$51</f>
        <v>Nhân công 3,5/7 - Nhóm 2</v>
      </c>
      <c r="D204" s="13" t="str">
        <f>'Giá tháng'!D$51</f>
        <v>công</v>
      </c>
      <c r="E204" s="80">
        <f>HaoPhiVatTu!G$183</f>
        <v>0.35</v>
      </c>
      <c r="F204" s="15">
        <f>ROUND('Tổng hợp VT'!O$59,1)</f>
        <v>262000</v>
      </c>
      <c r="G204" s="81">
        <f>'Giá tháng'!G$51</f>
        <v>1</v>
      </c>
      <c r="H204" s="15">
        <f>ROUND(E204*F204*G204,1)</f>
        <v>91700</v>
      </c>
    </row>
    <row r="205" spans="1:8" ht="16.5" customHeight="1">
      <c r="A205" s="131"/>
      <c r="B205" s="91"/>
      <c r="C205" s="90" t="s">
        <v>679</v>
      </c>
      <c r="D205" s="91"/>
      <c r="E205" s="93"/>
      <c r="F205" s="132"/>
      <c r="G205" s="94"/>
      <c r="H205" s="132">
        <f>ROUND(H206,1)</f>
        <v>880.1</v>
      </c>
    </row>
    <row r="206" spans="1:8" ht="27.75" customHeight="1">
      <c r="A206" s="133"/>
      <c r="B206" s="24" t="str">
        <f>'Giá tháng'!B$75</f>
        <v>M104.0202</v>
      </c>
      <c r="C206" s="25" t="str">
        <f>'Giá tháng'!C$75</f>
        <v>Máy trộn vữa 150 lít</v>
      </c>
      <c r="D206" s="24" t="str">
        <f>'Giá tháng'!D$75</f>
        <v>ca</v>
      </c>
      <c r="E206" s="84">
        <f>HaoPhiVatTu!H$185</f>
        <v>3.0000000000000001E-3</v>
      </c>
      <c r="F206" s="26">
        <f>ROUND('Tổng hợp VT'!O$84,1)</f>
        <v>293362</v>
      </c>
      <c r="G206" s="85">
        <f>'Giá tháng'!G$75</f>
        <v>1</v>
      </c>
      <c r="H206" s="26">
        <f>ROUND(E206*F206*G206,1)</f>
        <v>880.1</v>
      </c>
    </row>
    <row r="207" spans="1:8" ht="27.75" customHeight="1">
      <c r="A207" s="128">
        <f>'Công trình'!A64</f>
        <v>9</v>
      </c>
      <c r="B207" s="129" t="str">
        <f>'Công trình'!E64</f>
        <v>AK.41113</v>
      </c>
      <c r="C207" s="130" t="str">
        <f>'Công trình'!F64</f>
        <v>Láng đáy ga, dày 2cm, vữa XM mác 75</v>
      </c>
      <c r="D207" s="129" t="str">
        <f>'Công trình'!G64</f>
        <v>m2</v>
      </c>
      <c r="E207" s="65">
        <v>1</v>
      </c>
      <c r="F207" s="69"/>
      <c r="G207" s="67"/>
      <c r="H207" s="69"/>
    </row>
    <row r="208" spans="1:8" ht="16.5" customHeight="1">
      <c r="A208" s="131"/>
      <c r="B208" s="91"/>
      <c r="C208" s="90" t="s">
        <v>683</v>
      </c>
      <c r="D208" s="91"/>
      <c r="E208" s="93"/>
      <c r="F208" s="132"/>
      <c r="G208" s="94"/>
      <c r="H208" s="132">
        <f>ROUND(H212,1)</f>
        <v>23276.3</v>
      </c>
    </row>
    <row r="209" spans="1:8" ht="27.75" hidden="1" customHeight="1">
      <c r="A209" s="127"/>
      <c r="B209" s="13" t="str">
        <f>'Giá tháng'!B$46</f>
        <v>A24.0796A</v>
      </c>
      <c r="C209" s="14" t="str">
        <f>'Giá tháng'!C$46</f>
        <v>Xi măng PCB40</v>
      </c>
      <c r="D209" s="13" t="str">
        <f>'Giá tháng'!D$46</f>
        <v>kg</v>
      </c>
      <c r="E209" s="80">
        <f>HaoPhiVatTu!F$188</f>
        <v>6.6</v>
      </c>
      <c r="F209" s="15">
        <f>ROUND('Tổng hợp VT'!O$50,1)</f>
        <v>1500</v>
      </c>
      <c r="G209" s="81">
        <f>'Giá tháng'!G$46</f>
        <v>1</v>
      </c>
      <c r="H209" s="15">
        <f>ROUND(E209*F209*G209,1)</f>
        <v>9900</v>
      </c>
    </row>
    <row r="210" spans="1:8" ht="16.5" hidden="1" customHeight="1">
      <c r="A210" s="127"/>
      <c r="B210" s="13" t="str">
        <f>'Giá tháng'!B$9</f>
        <v>A24.0176</v>
      </c>
      <c r="C210" s="14" t="str">
        <f>'Giá tháng'!C$9</f>
        <v>Cát mịn ML=1,5-2,0</v>
      </c>
      <c r="D210" s="13" t="str">
        <f>'Giá tháng'!D$9</f>
        <v>m3</v>
      </c>
      <c r="E210" s="80">
        <f>HaoPhiVatTu!F$189</f>
        <v>2.9749999999999999E-2</v>
      </c>
      <c r="F210" s="15">
        <f>ROUND('Tổng hợp VT'!O$14,1)</f>
        <v>445000</v>
      </c>
      <c r="G210" s="81">
        <f>'Giá tháng'!G$9</f>
        <v>1</v>
      </c>
      <c r="H210" s="15">
        <f>ROUND(E210*F210*G210,1)</f>
        <v>13238.8</v>
      </c>
    </row>
    <row r="211" spans="1:8" ht="16.5" hidden="1" customHeight="1">
      <c r="A211" s="127"/>
      <c r="B211" s="13" t="str">
        <f>'Giá tháng'!B$32</f>
        <v>A24.0524</v>
      </c>
      <c r="C211" s="14" t="str">
        <f>'Giá tháng'!C$32</f>
        <v>Nước</v>
      </c>
      <c r="D211" s="13" t="str">
        <f>'Giá tháng'!D$32</f>
        <v>lít</v>
      </c>
      <c r="E211" s="80">
        <f>HaoPhiVatTu!F$190</f>
        <v>6.875</v>
      </c>
      <c r="F211" s="15">
        <f>ROUND('Tổng hợp VT'!O$37,1)</f>
        <v>20</v>
      </c>
      <c r="G211" s="81">
        <f>'Giá tháng'!G$32</f>
        <v>1</v>
      </c>
      <c r="H211" s="15">
        <f>ROUND(E211*F211*G211,1)</f>
        <v>137.5</v>
      </c>
    </row>
    <row r="212" spans="1:8" ht="16.5" customHeight="1">
      <c r="A212" s="127"/>
      <c r="B212" s="13"/>
      <c r="C212" s="14" t="s">
        <v>776</v>
      </c>
      <c r="D212" s="13"/>
      <c r="E212" s="80"/>
      <c r="F212" s="15"/>
      <c r="G212" s="81"/>
      <c r="H212" s="15">
        <f>ROUND(SUM(H209:H211),1)</f>
        <v>23276.3</v>
      </c>
    </row>
    <row r="213" spans="1:8" ht="16.5" customHeight="1">
      <c r="A213" s="131"/>
      <c r="B213" s="91"/>
      <c r="C213" s="90" t="s">
        <v>678</v>
      </c>
      <c r="D213" s="91"/>
      <c r="E213" s="93"/>
      <c r="F213" s="132"/>
      <c r="G213" s="94"/>
      <c r="H213" s="132">
        <f>ROUND(H214,1)</f>
        <v>19339.7</v>
      </c>
    </row>
    <row r="214" spans="1:8" ht="16.5" hidden="1" customHeight="1">
      <c r="A214" s="127"/>
      <c r="B214" s="13" t="str">
        <f>'Giá tháng'!B$53</f>
        <v>N2.40</v>
      </c>
      <c r="C214" s="14" t="str">
        <f>'Giá tháng'!C$53</f>
        <v>Nhân công 4,0/7 - Nhóm 2</v>
      </c>
      <c r="D214" s="13" t="str">
        <f>'Giá tháng'!D$53</f>
        <v>công</v>
      </c>
      <c r="E214" s="80">
        <f>HaoPhiVatTu!G$192</f>
        <v>6.8000000000000005E-2</v>
      </c>
      <c r="F214" s="15">
        <f>ROUND('Tổng hợp VT'!O$60,1)</f>
        <v>284408</v>
      </c>
      <c r="G214" s="81">
        <f>'Giá tháng'!G$53</f>
        <v>1</v>
      </c>
      <c r="H214" s="15">
        <f>ROUND(E214*F214*G214,1)</f>
        <v>19339.7</v>
      </c>
    </row>
    <row r="215" spans="1:8" ht="16.5" customHeight="1">
      <c r="A215" s="131"/>
      <c r="B215" s="91"/>
      <c r="C215" s="90" t="s">
        <v>679</v>
      </c>
      <c r="D215" s="91"/>
      <c r="E215" s="93"/>
      <c r="F215" s="132"/>
      <c r="G215" s="94"/>
      <c r="H215" s="132">
        <f>ROUND(H216,1)</f>
        <v>1173.4000000000001</v>
      </c>
    </row>
    <row r="216" spans="1:8" ht="27.75" customHeight="1">
      <c r="A216" s="133"/>
      <c r="B216" s="24" t="str">
        <f>'Giá tháng'!B$75</f>
        <v>M104.0202</v>
      </c>
      <c r="C216" s="25" t="str">
        <f>'Giá tháng'!C$75</f>
        <v>Máy trộn vữa 150 lít</v>
      </c>
      <c r="D216" s="24" t="str">
        <f>'Giá tháng'!D$75</f>
        <v>ca</v>
      </c>
      <c r="E216" s="84">
        <f>HaoPhiVatTu!H$194</f>
        <v>4.0000000000000001E-3</v>
      </c>
      <c r="F216" s="26">
        <f>ROUND('Tổng hợp VT'!O$84,1)</f>
        <v>293362</v>
      </c>
      <c r="G216" s="85">
        <f>'Giá tháng'!G$75</f>
        <v>1</v>
      </c>
      <c r="H216" s="26">
        <f>ROUND(E216*F216*G216,1)</f>
        <v>1173.4000000000001</v>
      </c>
    </row>
    <row r="217" spans="1:8" ht="16.5" customHeight="1">
      <c r="A217" s="128">
        <f>'Công trình'!A66</f>
        <v>10</v>
      </c>
      <c r="B217" s="129" t="str">
        <f>'Công trình'!E66</f>
        <v>AF.81141</v>
      </c>
      <c r="C217" s="130" t="str">
        <f>'Công trình'!F66</f>
        <v>Ván khuôn gỗ. Ván khuôn cổ ga</v>
      </c>
      <c r="D217" s="129" t="str">
        <f>'Công trình'!G66</f>
        <v>100m2</v>
      </c>
      <c r="E217" s="65">
        <v>1</v>
      </c>
      <c r="F217" s="69"/>
      <c r="G217" s="67"/>
      <c r="H217" s="69"/>
    </row>
    <row r="218" spans="1:8" ht="16.5" customHeight="1">
      <c r="A218" s="131"/>
      <c r="B218" s="91"/>
      <c r="C218" s="90" t="s">
        <v>683</v>
      </c>
      <c r="D218" s="91"/>
      <c r="E218" s="93"/>
      <c r="F218" s="132"/>
      <c r="G218" s="94"/>
      <c r="H218" s="132">
        <f>ROUND(H224,1)</f>
        <v>8793002.5</v>
      </c>
    </row>
    <row r="219" spans="1:8" ht="16.5" hidden="1" customHeight="1">
      <c r="A219" s="127"/>
      <c r="B219" s="13" t="str">
        <f>'Giá tháng'!B$23</f>
        <v>A24.0418</v>
      </c>
      <c r="C219" s="14" t="str">
        <f>'Giá tháng'!C$23</f>
        <v>Gỗ ván</v>
      </c>
      <c r="D219" s="13" t="str">
        <f>'Giá tháng'!D$23</f>
        <v>m3</v>
      </c>
      <c r="E219" s="80">
        <f>HaoPhiVatTu!F$197</f>
        <v>0.79400000000000004</v>
      </c>
      <c r="F219" s="15">
        <f>ROUND('Tổng hợp VT'!O$28,1)</f>
        <v>4318182</v>
      </c>
      <c r="G219" s="81">
        <f>'Giá tháng'!G$23</f>
        <v>1</v>
      </c>
      <c r="H219" s="15">
        <f>ROUND(E219*F219*G219,1)</f>
        <v>3428636.5</v>
      </c>
    </row>
    <row r="220" spans="1:8" ht="16.5" hidden="1" customHeight="1">
      <c r="A220" s="127"/>
      <c r="B220" s="13" t="str">
        <f>'Giá tháng'!B$22</f>
        <v>A24.0404</v>
      </c>
      <c r="C220" s="14" t="str">
        <f>'Giá tháng'!C$22</f>
        <v>Gỗ đà nẹp</v>
      </c>
      <c r="D220" s="13" t="str">
        <f>'Giá tháng'!D$22</f>
        <v>m3</v>
      </c>
      <c r="E220" s="80">
        <f>HaoPhiVatTu!F$198</f>
        <v>0.189</v>
      </c>
      <c r="F220" s="15">
        <f>ROUND('Tổng hợp VT'!O$27,1)</f>
        <v>4318182</v>
      </c>
      <c r="G220" s="81">
        <f>'Giá tháng'!G$22</f>
        <v>1</v>
      </c>
      <c r="H220" s="15">
        <f>ROUND(E220*F220*G220,1)</f>
        <v>816136.4</v>
      </c>
    </row>
    <row r="221" spans="1:8" ht="16.5" hidden="1" customHeight="1">
      <c r="A221" s="127"/>
      <c r="B221" s="13" t="str">
        <f>'Giá tháng'!B$21</f>
        <v>A24.0406</v>
      </c>
      <c r="C221" s="14" t="str">
        <f>'Giá tháng'!C$21</f>
        <v>Gỗ chống</v>
      </c>
      <c r="D221" s="13" t="str">
        <f>'Giá tháng'!D$21</f>
        <v>m3</v>
      </c>
      <c r="E221" s="80">
        <f>HaoPhiVatTu!F$199</f>
        <v>0.95699999999999996</v>
      </c>
      <c r="F221" s="15">
        <f>ROUND('Tổng hợp VT'!O$26,1)</f>
        <v>4318182</v>
      </c>
      <c r="G221" s="81">
        <f>'Giá tháng'!G$21</f>
        <v>1</v>
      </c>
      <c r="H221" s="15">
        <f>ROUND(E221*F221*G221,1)</f>
        <v>4132500.2</v>
      </c>
    </row>
    <row r="222" spans="1:8" ht="16.5" hidden="1" customHeight="1">
      <c r="A222" s="127"/>
      <c r="B222" s="13" t="str">
        <f>'Giá tháng'!B$19</f>
        <v>A24.0054</v>
      </c>
      <c r="C222" s="14" t="str">
        <f>'Giá tháng'!C$19</f>
        <v>Đinh</v>
      </c>
      <c r="D222" s="13" t="str">
        <f>'Giá tháng'!D$19</f>
        <v>kg</v>
      </c>
      <c r="E222" s="80">
        <f>HaoPhiVatTu!F$200</f>
        <v>14.29</v>
      </c>
      <c r="F222" s="15">
        <f>ROUND('Tổng hợp VT'!O$24,1)</f>
        <v>23000</v>
      </c>
      <c r="G222" s="81">
        <f>'Giá tháng'!G$19</f>
        <v>1</v>
      </c>
      <c r="H222" s="15">
        <f>ROUND(E222*F222*G222,1)</f>
        <v>328670</v>
      </c>
    </row>
    <row r="223" spans="1:8" ht="16.5" hidden="1" customHeight="1">
      <c r="A223" s="127"/>
      <c r="B223" s="13" t="s">
        <v>684</v>
      </c>
      <c r="C223" s="14" t="s">
        <v>685</v>
      </c>
      <c r="D223" s="13" t="s">
        <v>682</v>
      </c>
      <c r="E223" s="80">
        <f>HaoPhiVatTu!F$201</f>
        <v>1</v>
      </c>
      <c r="F223" s="15">
        <f>ROUND(SUM(H219:H222),1)</f>
        <v>8705943.0999999996</v>
      </c>
      <c r="G223" s="81"/>
      <c r="H223" s="15">
        <f>ROUND(E223*F223/100,1)</f>
        <v>87059.4</v>
      </c>
    </row>
    <row r="224" spans="1:8" ht="16.5" customHeight="1">
      <c r="A224" s="127"/>
      <c r="B224" s="13"/>
      <c r="C224" s="14" t="s">
        <v>776</v>
      </c>
      <c r="D224" s="13"/>
      <c r="E224" s="80"/>
      <c r="F224" s="15"/>
      <c r="G224" s="81"/>
      <c r="H224" s="15">
        <f>ROUND(SUM(H219:H223),1)</f>
        <v>8793002.5</v>
      </c>
    </row>
    <row r="225" spans="1:8" ht="16.5" customHeight="1">
      <c r="A225" s="131"/>
      <c r="B225" s="91"/>
      <c r="C225" s="90" t="s">
        <v>678</v>
      </c>
      <c r="D225" s="91"/>
      <c r="E225" s="93"/>
      <c r="F225" s="132"/>
      <c r="G225" s="94"/>
      <c r="H225" s="132">
        <f>ROUND(H226,1)</f>
        <v>7205000</v>
      </c>
    </row>
    <row r="226" spans="1:8" ht="16.5" hidden="1" customHeight="1">
      <c r="A226" s="133"/>
      <c r="B226" s="24" t="str">
        <f>'Giá tháng'!B$51</f>
        <v>N2.35</v>
      </c>
      <c r="C226" s="25" t="str">
        <f>'Giá tháng'!C$51</f>
        <v>Nhân công 3,5/7 - Nhóm 2</v>
      </c>
      <c r="D226" s="24" t="str">
        <f>'Giá tháng'!D$51</f>
        <v>công</v>
      </c>
      <c r="E226" s="84">
        <f>HaoPhiVatTu!G$203</f>
        <v>27.5</v>
      </c>
      <c r="F226" s="26">
        <f>ROUND('Tổng hợp VT'!O$59,1)</f>
        <v>262000</v>
      </c>
      <c r="G226" s="85">
        <f>'Giá tháng'!G$51</f>
        <v>1</v>
      </c>
      <c r="H226" s="26">
        <f>ROUND(E226*F226*G226,1)</f>
        <v>7205000</v>
      </c>
    </row>
    <row r="227" spans="1:8" ht="16.5" customHeight="1">
      <c r="A227" s="128">
        <f>'Công trình'!A68</f>
        <v>11</v>
      </c>
      <c r="B227" s="129" t="str">
        <f>'Công trình'!E68</f>
        <v>AF.12313A</v>
      </c>
      <c r="C227" s="130" t="str">
        <f>'Công trình'!F68</f>
        <v>Đổ bê tông cổ ga, đá 1x2, mác 200</v>
      </c>
      <c r="D227" s="129" t="str">
        <f>'Công trình'!G68</f>
        <v>m3</v>
      </c>
      <c r="E227" s="65">
        <v>1</v>
      </c>
      <c r="F227" s="69"/>
      <c r="G227" s="67"/>
      <c r="H227" s="69"/>
    </row>
    <row r="228" spans="1:8" ht="16.5" customHeight="1">
      <c r="A228" s="131"/>
      <c r="B228" s="91"/>
      <c r="C228" s="90" t="s">
        <v>683</v>
      </c>
      <c r="D228" s="91"/>
      <c r="E228" s="93"/>
      <c r="F228" s="132"/>
      <c r="G228" s="94"/>
      <c r="H228" s="132">
        <f>ROUND(H234,1)</f>
        <v>1040813.5</v>
      </c>
    </row>
    <row r="229" spans="1:8" ht="27.75" hidden="1" customHeight="1">
      <c r="A229" s="127"/>
      <c r="B229" s="13" t="str">
        <f>'Giá tháng'!B$45</f>
        <v>A24.0797A</v>
      </c>
      <c r="C229" s="14" t="str">
        <f>'Giá tháng'!C$45</f>
        <v>Xi măng PCB30</v>
      </c>
      <c r="D229" s="13" t="str">
        <f>'Giá tháng'!D$45</f>
        <v>kg</v>
      </c>
      <c r="E229" s="80">
        <f>HaoPhiVatTu!F$206</f>
        <v>321.85000000000002</v>
      </c>
      <c r="F229" s="15">
        <f>ROUND('Tổng hợp VT'!O$49,1)</f>
        <v>1481</v>
      </c>
      <c r="G229" s="81">
        <f>'Giá tháng'!G$45</f>
        <v>1</v>
      </c>
      <c r="H229" s="15">
        <f>ROUND(E229*F229*G229,1)</f>
        <v>476659.9</v>
      </c>
    </row>
    <row r="230" spans="1:8" ht="16.5" hidden="1" customHeight="1">
      <c r="A230" s="127"/>
      <c r="B230" s="13" t="str">
        <f>'Giá tháng'!B$10</f>
        <v>A24.0180</v>
      </c>
      <c r="C230" s="14" t="str">
        <f>'Giá tháng'!C$10</f>
        <v>Cát vàng</v>
      </c>
      <c r="D230" s="13" t="str">
        <f>'Giá tháng'!D$10</f>
        <v>m3</v>
      </c>
      <c r="E230" s="80">
        <f>HaoPhiVatTu!F$207</f>
        <v>0.52890000000000004</v>
      </c>
      <c r="F230" s="15">
        <f>ROUND('Tổng hợp VT'!O$15,1)</f>
        <v>480000</v>
      </c>
      <c r="G230" s="81">
        <f>'Giá tháng'!G$10</f>
        <v>1</v>
      </c>
      <c r="H230" s="15">
        <f>ROUND(E230*F230*G230,1)</f>
        <v>253872</v>
      </c>
    </row>
    <row r="231" spans="1:8" ht="16.5" hidden="1" customHeight="1">
      <c r="A231" s="127"/>
      <c r="B231" s="13" t="str">
        <f>'Giá tháng'!B$15</f>
        <v>A24.0008</v>
      </c>
      <c r="C231" s="14" t="str">
        <f>'Giá tháng'!C$15</f>
        <v>Đá 1x2</v>
      </c>
      <c r="D231" s="13" t="str">
        <f>'Giá tháng'!D$15</f>
        <v>m3</v>
      </c>
      <c r="E231" s="80">
        <f>HaoPhiVatTu!F$208</f>
        <v>0.87124999999999997</v>
      </c>
      <c r="F231" s="15">
        <f>ROUND('Tổng hợp VT'!O$20,1)</f>
        <v>340000</v>
      </c>
      <c r="G231" s="81">
        <f>'Giá tháng'!G$15</f>
        <v>1</v>
      </c>
      <c r="H231" s="15">
        <f>ROUND(E231*F231*G231,1)</f>
        <v>296225</v>
      </c>
    </row>
    <row r="232" spans="1:8" ht="16.5" hidden="1" customHeight="1">
      <c r="A232" s="127"/>
      <c r="B232" s="13" t="str">
        <f>'Giá tháng'!B$32</f>
        <v>A24.0524</v>
      </c>
      <c r="C232" s="14" t="str">
        <f>'Giá tháng'!C$32</f>
        <v>Nước</v>
      </c>
      <c r="D232" s="13" t="str">
        <f>'Giá tháng'!D$32</f>
        <v>lít</v>
      </c>
      <c r="E232" s="80">
        <f>HaoPhiVatTu!F$209</f>
        <v>187.57499999999999</v>
      </c>
      <c r="F232" s="15">
        <f>ROUND('Tổng hợp VT'!O$37,1)</f>
        <v>20</v>
      </c>
      <c r="G232" s="81">
        <f>'Giá tháng'!G$32</f>
        <v>1</v>
      </c>
      <c r="H232" s="15">
        <f>ROUND(E232*F232*G232,1)</f>
        <v>3751.5</v>
      </c>
    </row>
    <row r="233" spans="1:8" ht="16.5" hidden="1" customHeight="1">
      <c r="A233" s="127"/>
      <c r="B233" s="13" t="s">
        <v>684</v>
      </c>
      <c r="C233" s="14" t="s">
        <v>685</v>
      </c>
      <c r="D233" s="13" t="s">
        <v>682</v>
      </c>
      <c r="E233" s="80">
        <f>HaoPhiVatTu!F$210</f>
        <v>1</v>
      </c>
      <c r="F233" s="15">
        <f>ROUND(SUM(H229:H232),1)</f>
        <v>1030508.4</v>
      </c>
      <c r="G233" s="81"/>
      <c r="H233" s="15">
        <f>ROUND(E233*F233/100,1)</f>
        <v>10305.1</v>
      </c>
    </row>
    <row r="234" spans="1:8" ht="16.5" customHeight="1">
      <c r="A234" s="127"/>
      <c r="B234" s="13"/>
      <c r="C234" s="14" t="s">
        <v>776</v>
      </c>
      <c r="D234" s="13"/>
      <c r="E234" s="80"/>
      <c r="F234" s="15"/>
      <c r="G234" s="81"/>
      <c r="H234" s="15">
        <f>ROUND(SUM(H229:H233),1)</f>
        <v>1040813.5</v>
      </c>
    </row>
    <row r="235" spans="1:8" ht="16.5" customHeight="1">
      <c r="A235" s="131"/>
      <c r="B235" s="91"/>
      <c r="C235" s="90" t="s">
        <v>678</v>
      </c>
      <c r="D235" s="91"/>
      <c r="E235" s="93"/>
      <c r="F235" s="132"/>
      <c r="G235" s="94"/>
      <c r="H235" s="132">
        <f>ROUND(H236,1)</f>
        <v>639710.6</v>
      </c>
    </row>
    <row r="236" spans="1:8" ht="16.5" hidden="1" customHeight="1">
      <c r="A236" s="127"/>
      <c r="B236" s="13" t="str">
        <f>'Giá tháng'!B$49</f>
        <v>N2.30</v>
      </c>
      <c r="C236" s="14" t="str">
        <f>'Giá tháng'!C$49</f>
        <v>Nhân công 3,0/7 - Nhóm 2</v>
      </c>
      <c r="D236" s="13" t="str">
        <f>'Giá tháng'!D$49</f>
        <v>công</v>
      </c>
      <c r="E236" s="80">
        <f>HaoPhiVatTu!G$212</f>
        <v>2.67</v>
      </c>
      <c r="F236" s="15">
        <f>ROUND('Tổng hợp VT'!O$57,1)</f>
        <v>239592</v>
      </c>
      <c r="G236" s="81">
        <f>'Giá tháng'!G$49</f>
        <v>1</v>
      </c>
      <c r="H236" s="15">
        <f>ROUND(E236*F236*G236,1)</f>
        <v>639710.6</v>
      </c>
    </row>
    <row r="237" spans="1:8" ht="16.5" customHeight="1">
      <c r="A237" s="131"/>
      <c r="B237" s="91"/>
      <c r="C237" s="90" t="s">
        <v>679</v>
      </c>
      <c r="D237" s="91"/>
      <c r="E237" s="93"/>
      <c r="F237" s="132"/>
      <c r="G237" s="94"/>
      <c r="H237" s="132">
        <f>ROUND(H240,1)</f>
        <v>79863</v>
      </c>
    </row>
    <row r="238" spans="1:8" ht="27.75" customHeight="1">
      <c r="A238" s="127"/>
      <c r="B238" s="13" t="str">
        <f>'Giá tháng'!B$74</f>
        <v>M104.0102</v>
      </c>
      <c r="C238" s="14" t="str">
        <f>'Giá tháng'!C$74</f>
        <v>Máy trộn bê tông - dung tích : 250,0 lít</v>
      </c>
      <c r="D238" s="13" t="str">
        <f>'Giá tháng'!D$74</f>
        <v>ca</v>
      </c>
      <c r="E238" s="80">
        <f>HaoPhiVatTu!H$214</f>
        <v>9.5000000000000001E-2</v>
      </c>
      <c r="F238" s="15">
        <f>ROUND('Tổng hợp VT'!O$83,1)</f>
        <v>318734</v>
      </c>
      <c r="G238" s="81">
        <f>'Giá tháng'!G$74</f>
        <v>1</v>
      </c>
      <c r="H238" s="15">
        <f>ROUND(E238*F238*G238,1)</f>
        <v>30279.7</v>
      </c>
    </row>
    <row r="239" spans="1:8" ht="27.75" customHeight="1">
      <c r="A239" s="127"/>
      <c r="B239" s="13" t="str">
        <f>'Giá tháng'!B$62</f>
        <v>M112.1301</v>
      </c>
      <c r="C239" s="14" t="str">
        <f>'Giá tháng'!C$62</f>
        <v>Máy đầm bê tông, dầm dùi - công suất : 1,5 kW</v>
      </c>
      <c r="D239" s="13" t="str">
        <f>'Giá tháng'!D$62</f>
        <v>ca</v>
      </c>
      <c r="E239" s="80">
        <f>HaoPhiVatTu!H$215</f>
        <v>0.18</v>
      </c>
      <c r="F239" s="15">
        <f>ROUND('Tổng hợp VT'!O$71,1)</f>
        <v>275463</v>
      </c>
      <c r="G239" s="81">
        <f>'Giá tháng'!G$62</f>
        <v>1</v>
      </c>
      <c r="H239" s="15">
        <f>ROUND(E239*F239*G239,1)</f>
        <v>49583.3</v>
      </c>
    </row>
    <row r="240" spans="1:8" ht="16.5" customHeight="1">
      <c r="A240" s="133"/>
      <c r="B240" s="24"/>
      <c r="C240" s="25" t="s">
        <v>776</v>
      </c>
      <c r="D240" s="24"/>
      <c r="E240" s="84"/>
      <c r="F240" s="26"/>
      <c r="G240" s="85"/>
      <c r="H240" s="26">
        <f>ROUND(SUM(H238:H239),1)</f>
        <v>79863</v>
      </c>
    </row>
    <row r="241" spans="1:8" ht="16.5" customHeight="1">
      <c r="A241" s="128">
        <f>'Công trình'!A70</f>
        <v>12</v>
      </c>
      <c r="B241" s="129" t="str">
        <f>'Công trình'!E70</f>
        <v>AF.61521</v>
      </c>
      <c r="C241" s="130" t="str">
        <f>'Công trình'!F70</f>
        <v>Thép cổ ga</v>
      </c>
      <c r="D241" s="129" t="str">
        <f>'Công trình'!G70</f>
        <v>tấn</v>
      </c>
      <c r="E241" s="65">
        <v>1</v>
      </c>
      <c r="F241" s="69"/>
      <c r="G241" s="67"/>
      <c r="H241" s="69"/>
    </row>
    <row r="242" spans="1:8" ht="16.5" customHeight="1">
      <c r="A242" s="131"/>
      <c r="B242" s="91"/>
      <c r="C242" s="90" t="s">
        <v>683</v>
      </c>
      <c r="D242" s="91"/>
      <c r="E242" s="93"/>
      <c r="F242" s="132"/>
      <c r="G242" s="94"/>
      <c r="H242" s="132">
        <f>ROUND(H246,1)</f>
        <v>17170220</v>
      </c>
    </row>
    <row r="243" spans="1:8" ht="16.5" hidden="1" customHeight="1">
      <c r="A243" s="127"/>
      <c r="B243" s="13" t="str">
        <f>'Giá tháng'!B$43</f>
        <v>A24.0739</v>
      </c>
      <c r="C243" s="14" t="str">
        <f>'Giá tháng'!C$43</f>
        <v>Thép tròn D&lt;=18mm</v>
      </c>
      <c r="D243" s="13" t="str">
        <f>'Giá tháng'!D$43</f>
        <v>kg</v>
      </c>
      <c r="E243" s="80">
        <f>HaoPhiVatTu!F$218</f>
        <v>1020</v>
      </c>
      <c r="F243" s="15">
        <f>ROUND('Tổng hợp VT'!O$48,1)</f>
        <v>16500</v>
      </c>
      <c r="G243" s="81">
        <f>'Giá tháng'!G$43</f>
        <v>1</v>
      </c>
      <c r="H243" s="15">
        <f>ROUND(E243*F243*G243,1)</f>
        <v>16830000</v>
      </c>
    </row>
    <row r="244" spans="1:8" ht="16.5" hidden="1" customHeight="1">
      <c r="A244" s="127"/>
      <c r="B244" s="13" t="str">
        <f>'Giá tháng'!B$14</f>
        <v>A24.0293</v>
      </c>
      <c r="C244" s="14" t="str">
        <f>'Giá tháng'!C$14</f>
        <v>Dây thép</v>
      </c>
      <c r="D244" s="13" t="str">
        <f>'Giá tháng'!D$14</f>
        <v>kg</v>
      </c>
      <c r="E244" s="80">
        <f>HaoPhiVatTu!F$219</f>
        <v>9.2799999999999994</v>
      </c>
      <c r="F244" s="15">
        <f>ROUND('Tổng hợp VT'!O$19,1)</f>
        <v>24000</v>
      </c>
      <c r="G244" s="81">
        <f>'Giá tháng'!G$14</f>
        <v>1</v>
      </c>
      <c r="H244" s="15">
        <f>ROUND(E244*F244*G244,1)</f>
        <v>222720</v>
      </c>
    </row>
    <row r="245" spans="1:8" ht="16.5" hidden="1" customHeight="1">
      <c r="A245" s="127"/>
      <c r="B245" s="13" t="str">
        <f>'Giá tháng'!B$37</f>
        <v>A24.0543</v>
      </c>
      <c r="C245" s="14" t="str">
        <f>'Giá tháng'!C$37</f>
        <v>Que hàn</v>
      </c>
      <c r="D245" s="13" t="str">
        <f>'Giá tháng'!D$37</f>
        <v>kg</v>
      </c>
      <c r="E245" s="80">
        <f>HaoPhiVatTu!F$220</f>
        <v>4.7</v>
      </c>
      <c r="F245" s="15">
        <f>ROUND('Tổng hợp VT'!O$42,1)</f>
        <v>25000</v>
      </c>
      <c r="G245" s="81">
        <f>'Giá tháng'!G$37</f>
        <v>1</v>
      </c>
      <c r="H245" s="15">
        <f>ROUND(E245*F245*G245,1)</f>
        <v>117500</v>
      </c>
    </row>
    <row r="246" spans="1:8" ht="16.5" customHeight="1">
      <c r="A246" s="127"/>
      <c r="B246" s="13"/>
      <c r="C246" s="14" t="s">
        <v>776</v>
      </c>
      <c r="D246" s="13"/>
      <c r="E246" s="80"/>
      <c r="F246" s="15"/>
      <c r="G246" s="81"/>
      <c r="H246" s="15">
        <f>ROUND(SUM(H243:H245),1)</f>
        <v>17170220</v>
      </c>
    </row>
    <row r="247" spans="1:8" ht="16.5" customHeight="1">
      <c r="A247" s="131"/>
      <c r="B247" s="91"/>
      <c r="C247" s="90" t="s">
        <v>678</v>
      </c>
      <c r="D247" s="91"/>
      <c r="E247" s="93"/>
      <c r="F247" s="132"/>
      <c r="G247" s="94"/>
      <c r="H247" s="132">
        <f>ROUND(H248,1)</f>
        <v>2420880</v>
      </c>
    </row>
    <row r="248" spans="1:8" ht="16.5" hidden="1" customHeight="1">
      <c r="A248" s="127"/>
      <c r="B248" s="13" t="str">
        <f>'Giá tháng'!B$51</f>
        <v>N2.35</v>
      </c>
      <c r="C248" s="14" t="str">
        <f>'Giá tháng'!C$51</f>
        <v>Nhân công 3,5/7 - Nhóm 2</v>
      </c>
      <c r="D248" s="13" t="str">
        <f>'Giá tháng'!D$51</f>
        <v>công</v>
      </c>
      <c r="E248" s="80">
        <f>HaoPhiVatTu!G$222</f>
        <v>9.24</v>
      </c>
      <c r="F248" s="15">
        <f>ROUND('Tổng hợp VT'!O$59,1)</f>
        <v>262000</v>
      </c>
      <c r="G248" s="81">
        <f>'Giá tháng'!G$51</f>
        <v>1</v>
      </c>
      <c r="H248" s="15">
        <f>ROUND(E248*F248*G248,1)</f>
        <v>2420880</v>
      </c>
    </row>
    <row r="249" spans="1:8" ht="16.5" customHeight="1">
      <c r="A249" s="131"/>
      <c r="B249" s="91"/>
      <c r="C249" s="90" t="s">
        <v>679</v>
      </c>
      <c r="D249" s="91"/>
      <c r="E249" s="93"/>
      <c r="F249" s="132"/>
      <c r="G249" s="94"/>
      <c r="H249" s="132">
        <f>ROUND(H252,1)</f>
        <v>545678.30000000005</v>
      </c>
    </row>
    <row r="250" spans="1:8" ht="27.75" customHeight="1">
      <c r="A250" s="127"/>
      <c r="B250" s="13" t="str">
        <f>'Giá tháng'!B$64</f>
        <v>M112.4003</v>
      </c>
      <c r="C250" s="14" t="str">
        <f>'Giá tháng'!C$64</f>
        <v>Máy hàn xoay chiều - công suất : 23,0 kW</v>
      </c>
      <c r="D250" s="13" t="str">
        <f>'Giá tháng'!D$64</f>
        <v>ca</v>
      </c>
      <c r="E250" s="80">
        <f>HaoPhiVatTu!H$224</f>
        <v>1.133</v>
      </c>
      <c r="F250" s="15">
        <f>ROUND('Tổng hợp VT'!O$73,1)</f>
        <v>402656</v>
      </c>
      <c r="G250" s="81">
        <f>'Giá tháng'!G$64</f>
        <v>1</v>
      </c>
      <c r="H250" s="15">
        <f>ROUND(E250*F250*G250,1)</f>
        <v>456209.2</v>
      </c>
    </row>
    <row r="251" spans="1:8" ht="27.75" customHeight="1">
      <c r="A251" s="127"/>
      <c r="B251" s="13" t="str">
        <f>'Giá tháng'!B$56</f>
        <v>M112.2601</v>
      </c>
      <c r="C251" s="14" t="str">
        <f>'Giá tháng'!C$56</f>
        <v>Máy cắt uốn cốt thép - công suất : 5,0 kW</v>
      </c>
      <c r="D251" s="13" t="str">
        <f>'Giá tháng'!D$56</f>
        <v>ca</v>
      </c>
      <c r="E251" s="80">
        <f>HaoPhiVatTu!H$225</f>
        <v>0.32</v>
      </c>
      <c r="F251" s="15">
        <f>ROUND('Tổng hợp VT'!O$65,1)</f>
        <v>279591</v>
      </c>
      <c r="G251" s="81">
        <f>'Giá tháng'!G$56</f>
        <v>1</v>
      </c>
      <c r="H251" s="15">
        <f>ROUND(E251*F251*G251,1)</f>
        <v>89469.1</v>
      </c>
    </row>
    <row r="252" spans="1:8" ht="16.5" customHeight="1">
      <c r="A252" s="133"/>
      <c r="B252" s="24"/>
      <c r="C252" s="25" t="s">
        <v>776</v>
      </c>
      <c r="D252" s="24"/>
      <c r="E252" s="84"/>
      <c r="F252" s="26"/>
      <c r="G252" s="85"/>
      <c r="H252" s="26">
        <f>ROUND(SUM(H250:H251),1)</f>
        <v>545678.30000000005</v>
      </c>
    </row>
    <row r="253" spans="1:8" ht="16.5" customHeight="1">
      <c r="A253" s="128">
        <f>'Công trình'!A72</f>
        <v>13</v>
      </c>
      <c r="B253" s="129" t="str">
        <f>'Công trình'!E72</f>
        <v>AI.13131</v>
      </c>
      <c r="C253" s="130" t="str">
        <f>'Công trình'!F72</f>
        <v>Thép góc viền cổ ga</v>
      </c>
      <c r="D253" s="129" t="str">
        <f>'Công trình'!G72</f>
        <v>tấn</v>
      </c>
      <c r="E253" s="65">
        <v>1</v>
      </c>
      <c r="F253" s="69"/>
      <c r="G253" s="67"/>
      <c r="H253" s="69"/>
    </row>
    <row r="254" spans="1:8" ht="16.5" customHeight="1">
      <c r="A254" s="131"/>
      <c r="B254" s="91"/>
      <c r="C254" s="90" t="s">
        <v>683</v>
      </c>
      <c r="D254" s="91"/>
      <c r="E254" s="93"/>
      <c r="F254" s="132"/>
      <c r="G254" s="94"/>
      <c r="H254" s="132">
        <f>ROUND(H262,1)</f>
        <v>20495537.899999999</v>
      </c>
    </row>
    <row r="255" spans="1:8" ht="16.5" hidden="1" customHeight="1">
      <c r="A255" s="127"/>
      <c r="B255" s="13" t="str">
        <f>'Giá tháng'!B$40</f>
        <v>A24.0726</v>
      </c>
      <c r="C255" s="14" t="str">
        <f>'Giá tháng'!C$40</f>
        <v>Thép tấm</v>
      </c>
      <c r="D255" s="13" t="str">
        <f>'Giá tháng'!D$40</f>
        <v>kg</v>
      </c>
      <c r="E255" s="80">
        <f>HaoPhiVatTu!F$228</f>
        <v>787</v>
      </c>
      <c r="F255" s="15">
        <f>ROUND('Tổng hợp VT'!O$45,1)</f>
        <v>19500</v>
      </c>
      <c r="G255" s="81">
        <f>'Giá tháng'!G$40</f>
        <v>1</v>
      </c>
      <c r="H255" s="15">
        <f t="shared" ref="H255:H260" si="1">ROUND(E255*F255*G255,1)</f>
        <v>15346500</v>
      </c>
    </row>
    <row r="256" spans="1:8" ht="16.5" hidden="1" customHeight="1">
      <c r="A256" s="127"/>
      <c r="B256" s="13" t="str">
        <f>'Giá tháng'!B$41</f>
        <v>A24.0735</v>
      </c>
      <c r="C256" s="14" t="str">
        <f>'Giá tháng'!C$41</f>
        <v>Thép tròn</v>
      </c>
      <c r="D256" s="13" t="str">
        <f>'Giá tháng'!D$41</f>
        <v>kg</v>
      </c>
      <c r="E256" s="80">
        <f>HaoPhiVatTu!F$229</f>
        <v>263</v>
      </c>
      <c r="F256" s="15">
        <f>ROUND('Tổng hợp VT'!O$46,1)</f>
        <v>16500</v>
      </c>
      <c r="G256" s="81">
        <f>'Giá tháng'!G$41</f>
        <v>1</v>
      </c>
      <c r="H256" s="15">
        <f t="shared" si="1"/>
        <v>4339500</v>
      </c>
    </row>
    <row r="257" spans="1:8" ht="16.5" hidden="1" customHeight="1">
      <c r="A257" s="127"/>
      <c r="B257" s="13" t="str">
        <f>'Giá tháng'!B$34</f>
        <v>A24.0001</v>
      </c>
      <c r="C257" s="14" t="str">
        <f>'Giá tháng'!C$34</f>
        <v>Ô xy</v>
      </c>
      <c r="D257" s="13" t="str">
        <f>'Giá tháng'!D$34</f>
        <v>chai</v>
      </c>
      <c r="E257" s="80">
        <f>HaoPhiVatTu!F$230</f>
        <v>2.69</v>
      </c>
      <c r="F257" s="15">
        <f>ROUND('Tổng hợp VT'!O$39,1)</f>
        <v>83000</v>
      </c>
      <c r="G257" s="81">
        <f>'Giá tháng'!G$34</f>
        <v>1</v>
      </c>
      <c r="H257" s="15">
        <f t="shared" si="1"/>
        <v>223270</v>
      </c>
    </row>
    <row r="258" spans="1:8" ht="16.5" hidden="1" customHeight="1">
      <c r="A258" s="127"/>
      <c r="B258" s="13" t="str">
        <f>'Giá tháng'!B$26</f>
        <v>A24.0931</v>
      </c>
      <c r="C258" s="14" t="str">
        <f>'Giá tháng'!C$26</f>
        <v>Khí gas</v>
      </c>
      <c r="D258" s="13" t="str">
        <f>'Giá tháng'!D$26</f>
        <v>kg</v>
      </c>
      <c r="E258" s="80">
        <f>HaoPhiVatTu!F$231</f>
        <v>5.38</v>
      </c>
      <c r="F258" s="15">
        <f>ROUND('Tổng hợp VT'!O$31,1)</f>
        <v>35000</v>
      </c>
      <c r="G258" s="81">
        <f>'Giá tháng'!G$26</f>
        <v>1</v>
      </c>
      <c r="H258" s="15">
        <f t="shared" si="1"/>
        <v>188300</v>
      </c>
    </row>
    <row r="259" spans="1:8" ht="16.5" hidden="1" customHeight="1">
      <c r="A259" s="127"/>
      <c r="B259" s="13" t="str">
        <f>'Giá tháng'!B$18</f>
        <v>A24.0032</v>
      </c>
      <c r="C259" s="14" t="str">
        <f>'Giá tháng'!C$18</f>
        <v>Đá mài</v>
      </c>
      <c r="D259" s="13" t="str">
        <f>'Giá tháng'!D$18</f>
        <v>viên</v>
      </c>
      <c r="E259" s="80">
        <f>HaoPhiVatTu!F$232</f>
        <v>0.6</v>
      </c>
      <c r="F259" s="15">
        <f>ROUND('Tổng hợp VT'!O$23,1)</f>
        <v>35000</v>
      </c>
      <c r="G259" s="81">
        <f>'Giá tháng'!G$18</f>
        <v>1</v>
      </c>
      <c r="H259" s="15">
        <f t="shared" si="1"/>
        <v>21000</v>
      </c>
    </row>
    <row r="260" spans="1:8" ht="16.5" hidden="1" customHeight="1">
      <c r="A260" s="127"/>
      <c r="B260" s="13" t="str">
        <f>'Giá tháng'!B$37</f>
        <v>A24.0543</v>
      </c>
      <c r="C260" s="14" t="str">
        <f>'Giá tháng'!C$37</f>
        <v>Que hàn</v>
      </c>
      <c r="D260" s="13" t="str">
        <f>'Giá tháng'!D$37</f>
        <v>kg</v>
      </c>
      <c r="E260" s="80">
        <f>HaoPhiVatTu!F$233</f>
        <v>11</v>
      </c>
      <c r="F260" s="15">
        <f>ROUND('Tổng hợp VT'!O$42,1)</f>
        <v>25000</v>
      </c>
      <c r="G260" s="81">
        <f>'Giá tháng'!G$37</f>
        <v>1</v>
      </c>
      <c r="H260" s="15">
        <f t="shared" si="1"/>
        <v>275000</v>
      </c>
    </row>
    <row r="261" spans="1:8" ht="16.5" hidden="1" customHeight="1">
      <c r="A261" s="127"/>
      <c r="B261" s="13" t="s">
        <v>684</v>
      </c>
      <c r="C261" s="14" t="s">
        <v>685</v>
      </c>
      <c r="D261" s="13" t="s">
        <v>682</v>
      </c>
      <c r="E261" s="80">
        <f>HaoPhiVatTu!F$234</f>
        <v>0.5</v>
      </c>
      <c r="F261" s="15">
        <f>ROUND(SUM(H255:H260),1)</f>
        <v>20393570</v>
      </c>
      <c r="G261" s="81"/>
      <c r="H261" s="15">
        <f>ROUND(E261*F261/100,1)</f>
        <v>101967.9</v>
      </c>
    </row>
    <row r="262" spans="1:8" ht="16.5" customHeight="1">
      <c r="A262" s="127"/>
      <c r="B262" s="13"/>
      <c r="C262" s="14" t="s">
        <v>776</v>
      </c>
      <c r="D262" s="13"/>
      <c r="E262" s="80"/>
      <c r="F262" s="15"/>
      <c r="G262" s="81"/>
      <c r="H262" s="15">
        <f>ROUND(SUM(H255:H261),1)</f>
        <v>20495537.899999999</v>
      </c>
    </row>
    <row r="263" spans="1:8" ht="16.5" customHeight="1">
      <c r="A263" s="131"/>
      <c r="B263" s="91"/>
      <c r="C263" s="90" t="s">
        <v>678</v>
      </c>
      <c r="D263" s="91"/>
      <c r="E263" s="93"/>
      <c r="F263" s="132"/>
      <c r="G263" s="94"/>
      <c r="H263" s="132">
        <f>ROUND(H264,1)</f>
        <v>5557332.2999999998</v>
      </c>
    </row>
    <row r="264" spans="1:8" ht="16.5" hidden="1" customHeight="1">
      <c r="A264" s="127"/>
      <c r="B264" s="13" t="str">
        <f>'Giá tháng'!B$53</f>
        <v>N2.40</v>
      </c>
      <c r="C264" s="14" t="str">
        <f>'Giá tháng'!C$53</f>
        <v>Nhân công 4,0/7 - Nhóm 2</v>
      </c>
      <c r="D264" s="13" t="str">
        <f>'Giá tháng'!D$53</f>
        <v>công</v>
      </c>
      <c r="E264" s="80">
        <f>HaoPhiVatTu!G$236</f>
        <v>19.54</v>
      </c>
      <c r="F264" s="15">
        <f>ROUND('Tổng hợp VT'!O$60,1)</f>
        <v>284408</v>
      </c>
      <c r="G264" s="81">
        <f>'Giá tháng'!G$53</f>
        <v>1</v>
      </c>
      <c r="H264" s="15">
        <f>ROUND(E264*F264*G264,1)</f>
        <v>5557332.2999999998</v>
      </c>
    </row>
    <row r="265" spans="1:8" ht="16.5" customHeight="1">
      <c r="A265" s="131"/>
      <c r="B265" s="91"/>
      <c r="C265" s="90" t="s">
        <v>679</v>
      </c>
      <c r="D265" s="91"/>
      <c r="E265" s="93"/>
      <c r="F265" s="132"/>
      <c r="G265" s="94"/>
      <c r="H265" s="132">
        <f>ROUND(H270,1)</f>
        <v>1149945.3</v>
      </c>
    </row>
    <row r="266" spans="1:8" ht="27.75" customHeight="1">
      <c r="A266" s="127"/>
      <c r="B266" s="13" t="str">
        <f>'Giá tháng'!B$64</f>
        <v>M112.4003</v>
      </c>
      <c r="C266" s="14" t="str">
        <f>'Giá tháng'!C$64</f>
        <v>Máy hàn xoay chiều - công suất : 23,0 kW</v>
      </c>
      <c r="D266" s="13" t="str">
        <f>'Giá tháng'!D$64</f>
        <v>ca</v>
      </c>
      <c r="E266" s="80">
        <f>HaoPhiVatTu!H$238</f>
        <v>2.62</v>
      </c>
      <c r="F266" s="15">
        <f>ROUND('Tổng hợp VT'!O$73,1)</f>
        <v>402656</v>
      </c>
      <c r="G266" s="81">
        <f>'Giá tháng'!G$64</f>
        <v>1</v>
      </c>
      <c r="H266" s="15">
        <f>ROUND(E266*F266*G266,1)</f>
        <v>1054958.7</v>
      </c>
    </row>
    <row r="267" spans="1:8" ht="27.75" customHeight="1">
      <c r="A267" s="127"/>
      <c r="B267" s="13" t="str">
        <f>'Giá tháng'!B$71</f>
        <v>M112.3703</v>
      </c>
      <c r="C267" s="14" t="str">
        <f>'Giá tháng'!C$71</f>
        <v>Máy mài - công suất : 2,7 kW</v>
      </c>
      <c r="D267" s="13" t="str">
        <f>'Giá tháng'!D$71</f>
        <v>ca</v>
      </c>
      <c r="E267" s="80">
        <f>HaoPhiVatTu!H$239</f>
        <v>1.29</v>
      </c>
      <c r="F267" s="15">
        <f>ROUND('Tổng hợp VT'!O$80,1)</f>
        <v>18228</v>
      </c>
      <c r="G267" s="81">
        <f>'Giá tháng'!G$71</f>
        <v>1</v>
      </c>
      <c r="H267" s="15">
        <f>ROUND(E267*F267*G267,1)</f>
        <v>23514.1</v>
      </c>
    </row>
    <row r="268" spans="1:8" ht="27.75" customHeight="1">
      <c r="A268" s="127"/>
      <c r="B268" s="13" t="str">
        <f>'Giá tháng'!B$65</f>
        <v>M112.1501</v>
      </c>
      <c r="C268" s="14" t="str">
        <f>'Giá tháng'!C$65</f>
        <v>Máy khoan đứng - công suất : 2,5 kW</v>
      </c>
      <c r="D268" s="13" t="str">
        <f>'Giá tháng'!D$65</f>
        <v>ca</v>
      </c>
      <c r="E268" s="80">
        <f>HaoPhiVatTu!H$240</f>
        <v>1.29</v>
      </c>
      <c r="F268" s="15">
        <f>ROUND('Tổng hợp VT'!O$74,1)</f>
        <v>46579</v>
      </c>
      <c r="G268" s="81">
        <f>'Giá tháng'!G$65</f>
        <v>1</v>
      </c>
      <c r="H268" s="15">
        <f>ROUND(E268*F268*G268,1)</f>
        <v>60086.9</v>
      </c>
    </row>
    <row r="269" spans="1:8" ht="16.5" customHeight="1">
      <c r="A269" s="127"/>
      <c r="B269" s="13" t="s">
        <v>680</v>
      </c>
      <c r="C269" s="14" t="s">
        <v>681</v>
      </c>
      <c r="D269" s="13" t="s">
        <v>682</v>
      </c>
      <c r="E269" s="80">
        <f>HaoPhiVatTu!H$241</f>
        <v>1</v>
      </c>
      <c r="F269" s="15">
        <f>ROUND(SUM(H266:H268),1)</f>
        <v>1138559.7</v>
      </c>
      <c r="G269" s="81"/>
      <c r="H269" s="15">
        <f>ROUND(E269*F269/100,1)</f>
        <v>11385.6</v>
      </c>
    </row>
    <row r="270" spans="1:8" ht="16.5" customHeight="1">
      <c r="A270" s="133"/>
      <c r="B270" s="24"/>
      <c r="C270" s="25" t="s">
        <v>776</v>
      </c>
      <c r="D270" s="24"/>
      <c r="E270" s="84"/>
      <c r="F270" s="26"/>
      <c r="G270" s="85"/>
      <c r="H270" s="26">
        <f>ROUND(SUM(H266:H269),1)</f>
        <v>1149945.3</v>
      </c>
    </row>
    <row r="271" spans="1:8" ht="40.5" customHeight="1">
      <c r="A271" s="128">
        <f>'Công trình'!A75</f>
        <v>14</v>
      </c>
      <c r="B271" s="129" t="str">
        <f>'Công trình'!E75</f>
        <v>AG.13231</v>
      </c>
      <c r="C271" s="130" t="str">
        <f>'Công trình'!F75</f>
        <v>Công tác gia công, lắp đặt cốt thép bê tông đúc sẵn. Cốt thép tấm đan</v>
      </c>
      <c r="D271" s="129" t="str">
        <f>'Công trình'!G75</f>
        <v>tấn</v>
      </c>
      <c r="E271" s="65">
        <v>1</v>
      </c>
      <c r="F271" s="69"/>
      <c r="G271" s="67"/>
      <c r="H271" s="69"/>
    </row>
    <row r="272" spans="1:8" ht="16.5" customHeight="1">
      <c r="A272" s="131"/>
      <c r="B272" s="91"/>
      <c r="C272" s="90" t="s">
        <v>683</v>
      </c>
      <c r="D272" s="91"/>
      <c r="E272" s="93"/>
      <c r="F272" s="132"/>
      <c r="G272" s="94"/>
      <c r="H272" s="132">
        <f>ROUND(H275,1)</f>
        <v>17215680</v>
      </c>
    </row>
    <row r="273" spans="1:8" ht="16.5" hidden="1" customHeight="1">
      <c r="A273" s="127"/>
      <c r="B273" s="13" t="str">
        <f>'Giá tháng'!B$41</f>
        <v>A24.0735</v>
      </c>
      <c r="C273" s="14" t="str">
        <f>'Giá tháng'!C$41</f>
        <v>Thép tròn</v>
      </c>
      <c r="D273" s="13" t="str">
        <f>'Giá tháng'!D$41</f>
        <v>kg</v>
      </c>
      <c r="E273" s="80">
        <f>HaoPhiVatTu!F$244</f>
        <v>1020</v>
      </c>
      <c r="F273" s="15">
        <f>ROUND('Tổng hợp VT'!O$46,1)</f>
        <v>16500</v>
      </c>
      <c r="G273" s="81">
        <f>'Giá tháng'!G$41</f>
        <v>1</v>
      </c>
      <c r="H273" s="15">
        <f>ROUND(E273*F273*G273,1)</f>
        <v>16830000</v>
      </c>
    </row>
    <row r="274" spans="1:8" ht="16.5" hidden="1" customHeight="1">
      <c r="A274" s="127"/>
      <c r="B274" s="13" t="str">
        <f>'Giá tháng'!B$14</f>
        <v>A24.0293</v>
      </c>
      <c r="C274" s="14" t="str">
        <f>'Giá tháng'!C$14</f>
        <v>Dây thép</v>
      </c>
      <c r="D274" s="13" t="str">
        <f>'Giá tháng'!D$14</f>
        <v>kg</v>
      </c>
      <c r="E274" s="80">
        <f>HaoPhiVatTu!F$245</f>
        <v>16.07</v>
      </c>
      <c r="F274" s="15">
        <f>ROUND('Tổng hợp VT'!O$19,1)</f>
        <v>24000</v>
      </c>
      <c r="G274" s="81">
        <f>'Giá tháng'!G$14</f>
        <v>1</v>
      </c>
      <c r="H274" s="15">
        <f>ROUND(E274*F274*G274,1)</f>
        <v>385680</v>
      </c>
    </row>
    <row r="275" spans="1:8" ht="16.5" customHeight="1">
      <c r="A275" s="127"/>
      <c r="B275" s="13"/>
      <c r="C275" s="14" t="s">
        <v>776</v>
      </c>
      <c r="D275" s="13"/>
      <c r="E275" s="80"/>
      <c r="F275" s="15"/>
      <c r="G275" s="81"/>
      <c r="H275" s="15">
        <f>ROUND(SUM(H273:H274),1)</f>
        <v>17215680</v>
      </c>
    </row>
    <row r="276" spans="1:8" ht="16.5" customHeight="1">
      <c r="A276" s="131"/>
      <c r="B276" s="91"/>
      <c r="C276" s="90" t="s">
        <v>678</v>
      </c>
      <c r="D276" s="91"/>
      <c r="E276" s="93"/>
      <c r="F276" s="132"/>
      <c r="G276" s="94"/>
      <c r="H276" s="132">
        <f>ROUND(H277,1)</f>
        <v>4257500</v>
      </c>
    </row>
    <row r="277" spans="1:8" ht="16.5" hidden="1" customHeight="1">
      <c r="A277" s="127"/>
      <c r="B277" s="13" t="str">
        <f>'Giá tháng'!B$51</f>
        <v>N2.35</v>
      </c>
      <c r="C277" s="14" t="str">
        <f>'Giá tháng'!C$51</f>
        <v>Nhân công 3,5/7 - Nhóm 2</v>
      </c>
      <c r="D277" s="13" t="str">
        <f>'Giá tháng'!D$51</f>
        <v>công</v>
      </c>
      <c r="E277" s="80">
        <f>HaoPhiVatTu!G$247</f>
        <v>16.25</v>
      </c>
      <c r="F277" s="15">
        <f>ROUND('Tổng hợp VT'!O$59,1)</f>
        <v>262000</v>
      </c>
      <c r="G277" s="81">
        <f>'Giá tháng'!G$51</f>
        <v>1</v>
      </c>
      <c r="H277" s="15">
        <f>ROUND(E277*F277*G277,1)</f>
        <v>4257500</v>
      </c>
    </row>
    <row r="278" spans="1:8" ht="16.5" customHeight="1">
      <c r="A278" s="131"/>
      <c r="B278" s="91"/>
      <c r="C278" s="90" t="s">
        <v>679</v>
      </c>
      <c r="D278" s="91"/>
      <c r="E278" s="93"/>
      <c r="F278" s="132"/>
      <c r="G278" s="94"/>
      <c r="H278" s="132">
        <f>ROUND(H279,1)</f>
        <v>111836.4</v>
      </c>
    </row>
    <row r="279" spans="1:8" ht="27.75" customHeight="1">
      <c r="A279" s="133"/>
      <c r="B279" s="24" t="str">
        <f>'Giá tháng'!B$56</f>
        <v>M112.2601</v>
      </c>
      <c r="C279" s="25" t="str">
        <f>'Giá tháng'!C$56</f>
        <v>Máy cắt uốn cốt thép - công suất : 5,0 kW</v>
      </c>
      <c r="D279" s="24" t="str">
        <f>'Giá tháng'!D$56</f>
        <v>ca</v>
      </c>
      <c r="E279" s="84">
        <f>HaoPhiVatTu!H$249</f>
        <v>0.4</v>
      </c>
      <c r="F279" s="26">
        <f>ROUND('Tổng hợp VT'!O$65,1)</f>
        <v>279591</v>
      </c>
      <c r="G279" s="85">
        <f>'Giá tháng'!G$56</f>
        <v>1</v>
      </c>
      <c r="H279" s="26">
        <f>ROUND(E279*F279*G279,1)</f>
        <v>111836.4</v>
      </c>
    </row>
    <row r="280" spans="1:8" ht="16.5" customHeight="1">
      <c r="A280" s="128">
        <f>'Công trình'!A78</f>
        <v>15</v>
      </c>
      <c r="B280" s="129" t="str">
        <f>'Công trình'!E78</f>
        <v>AG.11414A</v>
      </c>
      <c r="C280" s="130" t="str">
        <f>'Công trình'!F78</f>
        <v>Bê tông tấm đan, đá 1x2 mác 250</v>
      </c>
      <c r="D280" s="129" t="str">
        <f>'Công trình'!G78</f>
        <v>m3</v>
      </c>
      <c r="E280" s="65">
        <v>1</v>
      </c>
      <c r="F280" s="69"/>
      <c r="G280" s="67"/>
      <c r="H280" s="69"/>
    </row>
    <row r="281" spans="1:8" ht="16.5" customHeight="1">
      <c r="A281" s="131"/>
      <c r="B281" s="91"/>
      <c r="C281" s="90" t="s">
        <v>683</v>
      </c>
      <c r="D281" s="91"/>
      <c r="E281" s="93"/>
      <c r="F281" s="132"/>
      <c r="G281" s="94"/>
      <c r="H281" s="132">
        <f>ROUND(H287,1)</f>
        <v>1083421.7</v>
      </c>
    </row>
    <row r="282" spans="1:8" ht="27.75" hidden="1" customHeight="1">
      <c r="A282" s="127"/>
      <c r="B282" s="13" t="str">
        <f>'Giá tháng'!B$45</f>
        <v>A24.0797A</v>
      </c>
      <c r="C282" s="14" t="str">
        <f>'Giá tháng'!C$45</f>
        <v>Xi măng PCB30</v>
      </c>
      <c r="D282" s="13" t="str">
        <f>'Giá tháng'!D$45</f>
        <v>kg</v>
      </c>
      <c r="E282" s="80">
        <f>HaoPhiVatTu!F$252</f>
        <v>365.4</v>
      </c>
      <c r="F282" s="15">
        <f>ROUND('Tổng hợp VT'!O$49,1)</f>
        <v>1481</v>
      </c>
      <c r="G282" s="81">
        <f>'Giá tháng'!G$45</f>
        <v>1</v>
      </c>
      <c r="H282" s="15">
        <f>ROUND(E282*F282*G282,1)</f>
        <v>541157.4</v>
      </c>
    </row>
    <row r="283" spans="1:8" ht="16.5" hidden="1" customHeight="1">
      <c r="A283" s="127"/>
      <c r="B283" s="13" t="str">
        <f>'Giá tháng'!B$10</f>
        <v>A24.0180</v>
      </c>
      <c r="C283" s="14" t="str">
        <f>'Giá tháng'!C$10</f>
        <v>Cát vàng</v>
      </c>
      <c r="D283" s="13" t="str">
        <f>'Giá tháng'!D$10</f>
        <v>m3</v>
      </c>
      <c r="E283" s="80">
        <f>HaoPhiVatTu!F$253</f>
        <v>0.512575</v>
      </c>
      <c r="F283" s="15">
        <f>ROUND('Tổng hợp VT'!O$15,1)</f>
        <v>480000</v>
      </c>
      <c r="G283" s="81">
        <f>'Giá tháng'!G$10</f>
        <v>1</v>
      </c>
      <c r="H283" s="15">
        <f>ROUND(E283*F283*G283,1)</f>
        <v>246036</v>
      </c>
    </row>
    <row r="284" spans="1:8" ht="16.5" hidden="1" customHeight="1">
      <c r="A284" s="127"/>
      <c r="B284" s="13" t="str">
        <f>'Giá tháng'!B$15</f>
        <v>A24.0008</v>
      </c>
      <c r="C284" s="14" t="str">
        <f>'Giá tháng'!C$15</f>
        <v>Đá 1x2</v>
      </c>
      <c r="D284" s="13" t="str">
        <f>'Giá tháng'!D$15</f>
        <v>m3</v>
      </c>
      <c r="E284" s="80">
        <f>HaoPhiVatTu!F$254</f>
        <v>0.84448000000000001</v>
      </c>
      <c r="F284" s="15">
        <f>ROUND('Tổng hợp VT'!O$20,1)</f>
        <v>340000</v>
      </c>
      <c r="G284" s="81">
        <f>'Giá tháng'!G$15</f>
        <v>1</v>
      </c>
      <c r="H284" s="15">
        <f>ROUND(E284*F284*G284,1)</f>
        <v>287123.20000000001</v>
      </c>
    </row>
    <row r="285" spans="1:8" ht="16.5" hidden="1" customHeight="1">
      <c r="A285" s="127"/>
      <c r="B285" s="13" t="str">
        <f>'Giá tháng'!B$32</f>
        <v>A24.0524</v>
      </c>
      <c r="C285" s="14" t="str">
        <f>'Giá tháng'!C$32</f>
        <v>Nước</v>
      </c>
      <c r="D285" s="13" t="str">
        <f>'Giá tháng'!D$32</f>
        <v>lít</v>
      </c>
      <c r="E285" s="80">
        <f>HaoPhiVatTu!F$255</f>
        <v>185.745</v>
      </c>
      <c r="F285" s="15">
        <f>ROUND('Tổng hợp VT'!O$37,1)</f>
        <v>20</v>
      </c>
      <c r="G285" s="81">
        <f>'Giá tháng'!G$32</f>
        <v>1</v>
      </c>
      <c r="H285" s="15">
        <f>ROUND(E285*F285*G285,1)</f>
        <v>3714.9</v>
      </c>
    </row>
    <row r="286" spans="1:8" ht="16.5" hidden="1" customHeight="1">
      <c r="A286" s="127"/>
      <c r="B286" s="13" t="s">
        <v>684</v>
      </c>
      <c r="C286" s="14" t="s">
        <v>685</v>
      </c>
      <c r="D286" s="13" t="s">
        <v>682</v>
      </c>
      <c r="E286" s="80">
        <f>HaoPhiVatTu!F$256</f>
        <v>0.5</v>
      </c>
      <c r="F286" s="15">
        <f>ROUND(SUM(H282:H285),1)</f>
        <v>1078031.5</v>
      </c>
      <c r="G286" s="81"/>
      <c r="H286" s="15">
        <f>ROUND(E286*F286/100,1)</f>
        <v>5390.2</v>
      </c>
    </row>
    <row r="287" spans="1:8" ht="16.5" customHeight="1">
      <c r="A287" s="127"/>
      <c r="B287" s="13"/>
      <c r="C287" s="14" t="s">
        <v>776</v>
      </c>
      <c r="D287" s="13"/>
      <c r="E287" s="80"/>
      <c r="F287" s="15"/>
      <c r="G287" s="81"/>
      <c r="H287" s="15">
        <f>ROUND(SUM(H282:H286),1)</f>
        <v>1083421.7</v>
      </c>
    </row>
    <row r="288" spans="1:8" ht="16.5" customHeight="1">
      <c r="A288" s="131"/>
      <c r="B288" s="91"/>
      <c r="C288" s="90" t="s">
        <v>678</v>
      </c>
      <c r="D288" s="91"/>
      <c r="E288" s="93"/>
      <c r="F288" s="132"/>
      <c r="G288" s="94"/>
      <c r="H288" s="132">
        <f>ROUND(H289,1)</f>
        <v>462412.6</v>
      </c>
    </row>
    <row r="289" spans="1:8" ht="16.5" hidden="1" customHeight="1">
      <c r="A289" s="127"/>
      <c r="B289" s="13" t="str">
        <f>'Giá tháng'!B$49</f>
        <v>N2.30</v>
      </c>
      <c r="C289" s="14" t="str">
        <f>'Giá tháng'!C$49</f>
        <v>Nhân công 3,0/7 - Nhóm 2</v>
      </c>
      <c r="D289" s="13" t="str">
        <f>'Giá tháng'!D$49</f>
        <v>công</v>
      </c>
      <c r="E289" s="80">
        <f>HaoPhiVatTu!G$258</f>
        <v>1.93</v>
      </c>
      <c r="F289" s="15">
        <f>ROUND('Tổng hợp VT'!O$57,1)</f>
        <v>239592</v>
      </c>
      <c r="G289" s="81">
        <f>'Giá tháng'!G$49</f>
        <v>1</v>
      </c>
      <c r="H289" s="15">
        <f>ROUND(E289*F289*G289,1)</f>
        <v>462412.6</v>
      </c>
    </row>
    <row r="290" spans="1:8" ht="16.5" customHeight="1">
      <c r="A290" s="131"/>
      <c r="B290" s="91"/>
      <c r="C290" s="90" t="s">
        <v>679</v>
      </c>
      <c r="D290" s="91"/>
      <c r="E290" s="93"/>
      <c r="F290" s="132"/>
      <c r="G290" s="94"/>
      <c r="H290" s="132">
        <f>ROUND(H291,1)</f>
        <v>30279.7</v>
      </c>
    </row>
    <row r="291" spans="1:8" ht="27.75" customHeight="1">
      <c r="A291" s="133"/>
      <c r="B291" s="24" t="str">
        <f>'Giá tháng'!B$74</f>
        <v>M104.0102</v>
      </c>
      <c r="C291" s="25" t="str">
        <f>'Giá tháng'!C$74</f>
        <v>Máy trộn bê tông - dung tích : 250,0 lít</v>
      </c>
      <c r="D291" s="24" t="str">
        <f>'Giá tháng'!D$74</f>
        <v>ca</v>
      </c>
      <c r="E291" s="84">
        <f>HaoPhiVatTu!H$260</f>
        <v>9.5000000000000001E-2</v>
      </c>
      <c r="F291" s="26">
        <f>ROUND('Tổng hợp VT'!O$83,1)</f>
        <v>318734</v>
      </c>
      <c r="G291" s="85">
        <f>'Giá tháng'!G$74</f>
        <v>1</v>
      </c>
      <c r="H291" s="26">
        <f>ROUND(E291*F291*G291,1)</f>
        <v>30279.7</v>
      </c>
    </row>
    <row r="292" spans="1:8" ht="16.5" customHeight="1">
      <c r="A292" s="128">
        <f>'Công trình'!A80</f>
        <v>16</v>
      </c>
      <c r="B292" s="129" t="str">
        <f>'Công trình'!E80</f>
        <v>AG.41610</v>
      </c>
      <c r="C292" s="130" t="str">
        <f>'Công trình'!F80</f>
        <v>Lăp đặt tấm đan 110kg/tấm</v>
      </c>
      <c r="D292" s="129" t="str">
        <f>'Công trình'!G80</f>
        <v>1 cấu kiện</v>
      </c>
      <c r="E292" s="65">
        <v>1</v>
      </c>
      <c r="F292" s="69"/>
      <c r="G292" s="67"/>
      <c r="H292" s="69"/>
    </row>
    <row r="293" spans="1:8" ht="16.5" customHeight="1">
      <c r="A293" s="131"/>
      <c r="B293" s="91"/>
      <c r="C293" s="90" t="s">
        <v>678</v>
      </c>
      <c r="D293" s="91"/>
      <c r="E293" s="93"/>
      <c r="F293" s="132"/>
      <c r="G293" s="94"/>
      <c r="H293" s="132">
        <f>ROUND(H294,1)</f>
        <v>7187.8</v>
      </c>
    </row>
    <row r="294" spans="1:8" ht="16.5" hidden="1" customHeight="1">
      <c r="A294" s="127"/>
      <c r="B294" s="13" t="str">
        <f>'Giá tháng'!B$49</f>
        <v>N2.30</v>
      </c>
      <c r="C294" s="14" t="str">
        <f>'Giá tháng'!C$49</f>
        <v>Nhân công 3,0/7 - Nhóm 2</v>
      </c>
      <c r="D294" s="13" t="str">
        <f>'Giá tháng'!D$49</f>
        <v>công</v>
      </c>
      <c r="E294" s="80">
        <f>HaoPhiVatTu!G$263</f>
        <v>0.03</v>
      </c>
      <c r="F294" s="15">
        <f>ROUND('Tổng hợp VT'!O$57,1)</f>
        <v>239592</v>
      </c>
      <c r="G294" s="81">
        <f>'Giá tháng'!G$49</f>
        <v>1</v>
      </c>
      <c r="H294" s="15">
        <f>ROUND(E294*F294*G294,1)</f>
        <v>7187.8</v>
      </c>
    </row>
    <row r="295" spans="1:8" ht="16.5" customHeight="1">
      <c r="A295" s="131"/>
      <c r="B295" s="91"/>
      <c r="C295" s="90" t="s">
        <v>679</v>
      </c>
      <c r="D295" s="91"/>
      <c r="E295" s="93"/>
      <c r="F295" s="132"/>
      <c r="G295" s="94"/>
      <c r="H295" s="132">
        <f>ROUND(H296,1)</f>
        <v>26465.599999999999</v>
      </c>
    </row>
    <row r="296" spans="1:8" ht="27.75" customHeight="1">
      <c r="A296" s="133"/>
      <c r="B296" s="24" t="str">
        <f>'Giá tháng'!B$55</f>
        <v>M102.0201</v>
      </c>
      <c r="C296" s="25" t="str">
        <f>'Giá tháng'!C$55</f>
        <v>Cần cẩu bánh hơi 6 T</v>
      </c>
      <c r="D296" s="24" t="str">
        <f>'Giá tháng'!D$55</f>
        <v>ca</v>
      </c>
      <c r="E296" s="84">
        <f>HaoPhiVatTu!H$265</f>
        <v>1.4999999999999999E-2</v>
      </c>
      <c r="F296" s="26">
        <f>ROUND('Tổng hợp VT'!O$64,1)</f>
        <v>1764371</v>
      </c>
      <c r="G296" s="85">
        <f>'Giá tháng'!G$55</f>
        <v>1</v>
      </c>
      <c r="H296" s="26">
        <f>ROUND(E296*F296*G296,1)</f>
        <v>26465.599999999999</v>
      </c>
    </row>
    <row r="297" spans="1:8" ht="40.5" customHeight="1">
      <c r="A297" s="128">
        <f>'Công trình'!A84</f>
        <v>17</v>
      </c>
      <c r="B297" s="129" t="str">
        <f>'Công trình'!E84</f>
        <v>AG.31311</v>
      </c>
      <c r="C297" s="130" t="str">
        <f>'Công trình'!F84</f>
        <v>Công tác gia công, lắp dựng, tháo dỡ ván khuôn. Ván khuôn gỗ, ván khuôn tấm đan hố tụ</v>
      </c>
      <c r="D297" s="129" t="str">
        <f>'Công trình'!G84</f>
        <v>100m2</v>
      </c>
      <c r="E297" s="65">
        <v>1</v>
      </c>
      <c r="F297" s="69"/>
      <c r="G297" s="67"/>
      <c r="H297" s="69"/>
    </row>
    <row r="298" spans="1:8" ht="16.5" customHeight="1">
      <c r="A298" s="131"/>
      <c r="B298" s="91"/>
      <c r="C298" s="90" t="s">
        <v>683</v>
      </c>
      <c r="D298" s="91"/>
      <c r="E298" s="93"/>
      <c r="F298" s="132"/>
      <c r="G298" s="94"/>
      <c r="H298" s="132">
        <f>ROUND(H302,1)</f>
        <v>908127.8</v>
      </c>
    </row>
    <row r="299" spans="1:8" ht="16.5" hidden="1" customHeight="1">
      <c r="A299" s="127"/>
      <c r="B299" s="13" t="str">
        <f>'Giá tháng'!B$24</f>
        <v>A24.0420</v>
      </c>
      <c r="C299" s="14" t="str">
        <f>'Giá tháng'!C$24</f>
        <v>Gỗ ván ( cả nẹp)</v>
      </c>
      <c r="D299" s="13" t="str">
        <f>'Giá tháng'!D$24</f>
        <v>m3</v>
      </c>
      <c r="E299" s="80">
        <f>HaoPhiVatTu!F$268</f>
        <v>0.123</v>
      </c>
      <c r="F299" s="15">
        <f>ROUND('Tổng hợp VT'!O$29,1)</f>
        <v>4318182</v>
      </c>
      <c r="G299" s="81">
        <f>'Giá tháng'!G$24</f>
        <v>1</v>
      </c>
      <c r="H299" s="15">
        <f>ROUND(E299*F299*G299,1)</f>
        <v>531136.4</v>
      </c>
    </row>
    <row r="300" spans="1:8" ht="16.5" hidden="1" customHeight="1">
      <c r="A300" s="127"/>
      <c r="B300" s="13" t="str">
        <f>'Giá tháng'!B$19</f>
        <v>A24.0054</v>
      </c>
      <c r="C300" s="14" t="str">
        <f>'Giá tháng'!C$19</f>
        <v>Đinh</v>
      </c>
      <c r="D300" s="13" t="str">
        <f>'Giá tháng'!D$19</f>
        <v>kg</v>
      </c>
      <c r="E300" s="80">
        <f>HaoPhiVatTu!F$269</f>
        <v>16</v>
      </c>
      <c r="F300" s="15">
        <f>ROUND('Tổng hợp VT'!O$24,1)</f>
        <v>23000</v>
      </c>
      <c r="G300" s="81">
        <f>'Giá tháng'!G$19</f>
        <v>1</v>
      </c>
      <c r="H300" s="15">
        <f>ROUND(E300*F300*G300,1)</f>
        <v>368000</v>
      </c>
    </row>
    <row r="301" spans="1:8" ht="16.5" hidden="1" customHeight="1">
      <c r="A301" s="127"/>
      <c r="B301" s="13" t="s">
        <v>684</v>
      </c>
      <c r="C301" s="14" t="s">
        <v>685</v>
      </c>
      <c r="D301" s="13" t="s">
        <v>682</v>
      </c>
      <c r="E301" s="80">
        <f>HaoPhiVatTu!F$270</f>
        <v>1</v>
      </c>
      <c r="F301" s="15">
        <f>ROUND(SUM(H299:H300),1)</f>
        <v>899136.4</v>
      </c>
      <c r="G301" s="81"/>
      <c r="H301" s="15">
        <f>ROUND(E301*F301/100,1)</f>
        <v>8991.4</v>
      </c>
    </row>
    <row r="302" spans="1:8" ht="16.5" customHeight="1">
      <c r="A302" s="127"/>
      <c r="B302" s="13"/>
      <c r="C302" s="14" t="s">
        <v>776</v>
      </c>
      <c r="D302" s="13"/>
      <c r="E302" s="80"/>
      <c r="F302" s="15"/>
      <c r="G302" s="81"/>
      <c r="H302" s="15">
        <f>ROUND(SUM(H299:H301),1)</f>
        <v>908127.8</v>
      </c>
    </row>
    <row r="303" spans="1:8" ht="16.5" customHeight="1">
      <c r="A303" s="131"/>
      <c r="B303" s="91"/>
      <c r="C303" s="90" t="s">
        <v>678</v>
      </c>
      <c r="D303" s="91"/>
      <c r="E303" s="93"/>
      <c r="F303" s="132"/>
      <c r="G303" s="94"/>
      <c r="H303" s="132">
        <f>ROUND(H304,1)</f>
        <v>6200040</v>
      </c>
    </row>
    <row r="304" spans="1:8" ht="16.5" hidden="1" customHeight="1">
      <c r="A304" s="133"/>
      <c r="B304" s="24" t="str">
        <f>'Giá tháng'!B$50</f>
        <v>N1.35</v>
      </c>
      <c r="C304" s="25" t="str">
        <f>'Giá tháng'!C$50</f>
        <v>Nhân công 3,5/7 - Nhóm 1</v>
      </c>
      <c r="D304" s="24" t="str">
        <f>'Giá tháng'!D$50</f>
        <v>công</v>
      </c>
      <c r="E304" s="84">
        <f>HaoPhiVatTu!G$272</f>
        <v>25.62</v>
      </c>
      <c r="F304" s="26">
        <f>ROUND('Tổng hợp VT'!O$58,1)</f>
        <v>242000</v>
      </c>
      <c r="G304" s="85">
        <f>'Giá tháng'!G$50</f>
        <v>1</v>
      </c>
      <c r="H304" s="26">
        <f>ROUND(E304*F304*G304,1)</f>
        <v>6200040</v>
      </c>
    </row>
    <row r="305" spans="1:8" ht="40.5" customHeight="1">
      <c r="A305" s="128">
        <f>'Công trình'!A86</f>
        <v>18</v>
      </c>
      <c r="B305" s="129" t="str">
        <f>'Công trình'!E86</f>
        <v>AG.13231</v>
      </c>
      <c r="C305" s="130" t="str">
        <f>'Công trình'!F86</f>
        <v>Công tác gia công, lắp đặt cốt thép bê tông đúc sẵn. Cốt thép tấm đan</v>
      </c>
      <c r="D305" s="129" t="str">
        <f>'Công trình'!G86</f>
        <v>tấn</v>
      </c>
      <c r="E305" s="65">
        <v>1</v>
      </c>
      <c r="F305" s="69"/>
      <c r="G305" s="67"/>
      <c r="H305" s="69"/>
    </row>
    <row r="306" spans="1:8" ht="16.5" customHeight="1">
      <c r="A306" s="131"/>
      <c r="B306" s="91"/>
      <c r="C306" s="90" t="s">
        <v>683</v>
      </c>
      <c r="D306" s="91"/>
      <c r="E306" s="93"/>
      <c r="F306" s="132"/>
      <c r="G306" s="94"/>
      <c r="H306" s="132">
        <f>ROUND(H309,1)</f>
        <v>17215680</v>
      </c>
    </row>
    <row r="307" spans="1:8" ht="16.5" hidden="1" customHeight="1">
      <c r="A307" s="127"/>
      <c r="B307" s="13" t="str">
        <f>'Giá tháng'!B$41</f>
        <v>A24.0735</v>
      </c>
      <c r="C307" s="14" t="str">
        <f>'Giá tháng'!C$41</f>
        <v>Thép tròn</v>
      </c>
      <c r="D307" s="13" t="str">
        <f>'Giá tháng'!D$41</f>
        <v>kg</v>
      </c>
      <c r="E307" s="80">
        <f>HaoPhiVatTu!F$275</f>
        <v>1020</v>
      </c>
      <c r="F307" s="15">
        <f>ROUND('Tổng hợp VT'!O$46,1)</f>
        <v>16500</v>
      </c>
      <c r="G307" s="81">
        <f>'Giá tháng'!G$41</f>
        <v>1</v>
      </c>
      <c r="H307" s="15">
        <f>ROUND(E307*F307*G307,1)</f>
        <v>16830000</v>
      </c>
    </row>
    <row r="308" spans="1:8" ht="16.5" hidden="1" customHeight="1">
      <c r="A308" s="127"/>
      <c r="B308" s="13" t="str">
        <f>'Giá tháng'!B$14</f>
        <v>A24.0293</v>
      </c>
      <c r="C308" s="14" t="str">
        <f>'Giá tháng'!C$14</f>
        <v>Dây thép</v>
      </c>
      <c r="D308" s="13" t="str">
        <f>'Giá tháng'!D$14</f>
        <v>kg</v>
      </c>
      <c r="E308" s="80">
        <f>HaoPhiVatTu!F$276</f>
        <v>16.07</v>
      </c>
      <c r="F308" s="15">
        <f>ROUND('Tổng hợp VT'!O$19,1)</f>
        <v>24000</v>
      </c>
      <c r="G308" s="81">
        <f>'Giá tháng'!G$14</f>
        <v>1</v>
      </c>
      <c r="H308" s="15">
        <f>ROUND(E308*F308*G308,1)</f>
        <v>385680</v>
      </c>
    </row>
    <row r="309" spans="1:8" ht="16.5" customHeight="1">
      <c r="A309" s="127"/>
      <c r="B309" s="13"/>
      <c r="C309" s="14" t="s">
        <v>776</v>
      </c>
      <c r="D309" s="13"/>
      <c r="E309" s="80"/>
      <c r="F309" s="15"/>
      <c r="G309" s="81"/>
      <c r="H309" s="15">
        <f>ROUND(SUM(H307:H308),1)</f>
        <v>17215680</v>
      </c>
    </row>
    <row r="310" spans="1:8" ht="16.5" customHeight="1">
      <c r="A310" s="131"/>
      <c r="B310" s="91"/>
      <c r="C310" s="90" t="s">
        <v>678</v>
      </c>
      <c r="D310" s="91"/>
      <c r="E310" s="93"/>
      <c r="F310" s="132"/>
      <c r="G310" s="94"/>
      <c r="H310" s="132">
        <f>ROUND(H311,1)</f>
        <v>4257500</v>
      </c>
    </row>
    <row r="311" spans="1:8" ht="16.5" hidden="1" customHeight="1">
      <c r="A311" s="127"/>
      <c r="B311" s="13" t="str">
        <f>'Giá tháng'!B$51</f>
        <v>N2.35</v>
      </c>
      <c r="C311" s="14" t="str">
        <f>'Giá tháng'!C$51</f>
        <v>Nhân công 3,5/7 - Nhóm 2</v>
      </c>
      <c r="D311" s="13" t="str">
        <f>'Giá tháng'!D$51</f>
        <v>công</v>
      </c>
      <c r="E311" s="80">
        <f>HaoPhiVatTu!G$278</f>
        <v>16.25</v>
      </c>
      <c r="F311" s="15">
        <f>ROUND('Tổng hợp VT'!O$59,1)</f>
        <v>262000</v>
      </c>
      <c r="G311" s="81">
        <f>'Giá tháng'!G$51</f>
        <v>1</v>
      </c>
      <c r="H311" s="15">
        <f>ROUND(E311*F311*G311,1)</f>
        <v>4257500</v>
      </c>
    </row>
    <row r="312" spans="1:8" ht="16.5" customHeight="1">
      <c r="A312" s="131"/>
      <c r="B312" s="91"/>
      <c r="C312" s="90" t="s">
        <v>679</v>
      </c>
      <c r="D312" s="91"/>
      <c r="E312" s="93"/>
      <c r="F312" s="132"/>
      <c r="G312" s="94"/>
      <c r="H312" s="132">
        <f>ROUND(H313,1)</f>
        <v>111836.4</v>
      </c>
    </row>
    <row r="313" spans="1:8" ht="27.75" customHeight="1">
      <c r="A313" s="133"/>
      <c r="B313" s="24" t="str">
        <f>'Giá tháng'!B$56</f>
        <v>M112.2601</v>
      </c>
      <c r="C313" s="25" t="str">
        <f>'Giá tháng'!C$56</f>
        <v>Máy cắt uốn cốt thép - công suất : 5,0 kW</v>
      </c>
      <c r="D313" s="24" t="str">
        <f>'Giá tháng'!D$56</f>
        <v>ca</v>
      </c>
      <c r="E313" s="84">
        <f>HaoPhiVatTu!H$280</f>
        <v>0.4</v>
      </c>
      <c r="F313" s="26">
        <f>ROUND('Tổng hợp VT'!O$65,1)</f>
        <v>279591</v>
      </c>
      <c r="G313" s="85">
        <f>'Giá tháng'!G$56</f>
        <v>1</v>
      </c>
      <c r="H313" s="26">
        <f>ROUND(E313*F313*G313,1)</f>
        <v>111836.4</v>
      </c>
    </row>
    <row r="314" spans="1:8" ht="27.75" customHeight="1">
      <c r="A314" s="128">
        <f>'Công trình'!A88</f>
        <v>19</v>
      </c>
      <c r="B314" s="129" t="str">
        <f>'Công trình'!E88</f>
        <v>AG.11414A</v>
      </c>
      <c r="C314" s="130" t="str">
        <f>'Công trình'!F88</f>
        <v>Bê tông tấm đan hố tụ, đá 1x2 mác 250</v>
      </c>
      <c r="D314" s="129" t="str">
        <f>'Công trình'!G88</f>
        <v>m3</v>
      </c>
      <c r="E314" s="65">
        <v>1</v>
      </c>
      <c r="F314" s="69"/>
      <c r="G314" s="67"/>
      <c r="H314" s="69"/>
    </row>
    <row r="315" spans="1:8" ht="16.5" customHeight="1">
      <c r="A315" s="131"/>
      <c r="B315" s="91"/>
      <c r="C315" s="90" t="s">
        <v>683</v>
      </c>
      <c r="D315" s="91"/>
      <c r="E315" s="93"/>
      <c r="F315" s="132"/>
      <c r="G315" s="94"/>
      <c r="H315" s="132">
        <f>ROUND(H321,1)</f>
        <v>1083421.7</v>
      </c>
    </row>
    <row r="316" spans="1:8" ht="27.75" hidden="1" customHeight="1">
      <c r="A316" s="127"/>
      <c r="B316" s="13" t="str">
        <f>'Giá tháng'!B$45</f>
        <v>A24.0797A</v>
      </c>
      <c r="C316" s="14" t="str">
        <f>'Giá tháng'!C$45</f>
        <v>Xi măng PCB30</v>
      </c>
      <c r="D316" s="13" t="str">
        <f>'Giá tháng'!D$45</f>
        <v>kg</v>
      </c>
      <c r="E316" s="80">
        <f>HaoPhiVatTu!F$283</f>
        <v>365.4</v>
      </c>
      <c r="F316" s="15">
        <f>ROUND('Tổng hợp VT'!O$49,1)</f>
        <v>1481</v>
      </c>
      <c r="G316" s="81">
        <f>'Giá tháng'!G$45</f>
        <v>1</v>
      </c>
      <c r="H316" s="15">
        <f>ROUND(E316*F316*G316,1)</f>
        <v>541157.4</v>
      </c>
    </row>
    <row r="317" spans="1:8" ht="16.5" hidden="1" customHeight="1">
      <c r="A317" s="127"/>
      <c r="B317" s="13" t="str">
        <f>'Giá tháng'!B$10</f>
        <v>A24.0180</v>
      </c>
      <c r="C317" s="14" t="str">
        <f>'Giá tháng'!C$10</f>
        <v>Cát vàng</v>
      </c>
      <c r="D317" s="13" t="str">
        <f>'Giá tháng'!D$10</f>
        <v>m3</v>
      </c>
      <c r="E317" s="80">
        <f>HaoPhiVatTu!F$284</f>
        <v>0.512575</v>
      </c>
      <c r="F317" s="15">
        <f>ROUND('Tổng hợp VT'!O$15,1)</f>
        <v>480000</v>
      </c>
      <c r="G317" s="81">
        <f>'Giá tháng'!G$10</f>
        <v>1</v>
      </c>
      <c r="H317" s="15">
        <f>ROUND(E317*F317*G317,1)</f>
        <v>246036</v>
      </c>
    </row>
    <row r="318" spans="1:8" ht="16.5" hidden="1" customHeight="1">
      <c r="A318" s="127"/>
      <c r="B318" s="13" t="str">
        <f>'Giá tháng'!B$15</f>
        <v>A24.0008</v>
      </c>
      <c r="C318" s="14" t="str">
        <f>'Giá tháng'!C$15</f>
        <v>Đá 1x2</v>
      </c>
      <c r="D318" s="13" t="str">
        <f>'Giá tháng'!D$15</f>
        <v>m3</v>
      </c>
      <c r="E318" s="80">
        <f>HaoPhiVatTu!F$285</f>
        <v>0.84448000000000001</v>
      </c>
      <c r="F318" s="15">
        <f>ROUND('Tổng hợp VT'!O$20,1)</f>
        <v>340000</v>
      </c>
      <c r="G318" s="81">
        <f>'Giá tháng'!G$15</f>
        <v>1</v>
      </c>
      <c r="H318" s="15">
        <f>ROUND(E318*F318*G318,1)</f>
        <v>287123.20000000001</v>
      </c>
    </row>
    <row r="319" spans="1:8" ht="16.5" hidden="1" customHeight="1">
      <c r="A319" s="127"/>
      <c r="B319" s="13" t="str">
        <f>'Giá tháng'!B$32</f>
        <v>A24.0524</v>
      </c>
      <c r="C319" s="14" t="str">
        <f>'Giá tháng'!C$32</f>
        <v>Nước</v>
      </c>
      <c r="D319" s="13" t="str">
        <f>'Giá tháng'!D$32</f>
        <v>lít</v>
      </c>
      <c r="E319" s="80">
        <f>HaoPhiVatTu!F$286</f>
        <v>185.745</v>
      </c>
      <c r="F319" s="15">
        <f>ROUND('Tổng hợp VT'!O$37,1)</f>
        <v>20</v>
      </c>
      <c r="G319" s="81">
        <f>'Giá tháng'!G$32</f>
        <v>1</v>
      </c>
      <c r="H319" s="15">
        <f>ROUND(E319*F319*G319,1)</f>
        <v>3714.9</v>
      </c>
    </row>
    <row r="320" spans="1:8" ht="16.5" hidden="1" customHeight="1">
      <c r="A320" s="127"/>
      <c r="B320" s="13" t="s">
        <v>684</v>
      </c>
      <c r="C320" s="14" t="s">
        <v>685</v>
      </c>
      <c r="D320" s="13" t="s">
        <v>682</v>
      </c>
      <c r="E320" s="80">
        <f>HaoPhiVatTu!F$287</f>
        <v>0.5</v>
      </c>
      <c r="F320" s="15">
        <f>ROUND(SUM(H316:H319),1)</f>
        <v>1078031.5</v>
      </c>
      <c r="G320" s="81"/>
      <c r="H320" s="15">
        <f>ROUND(E320*F320/100,1)</f>
        <v>5390.2</v>
      </c>
    </row>
    <row r="321" spans="1:8" ht="16.5" customHeight="1">
      <c r="A321" s="127"/>
      <c r="B321" s="13"/>
      <c r="C321" s="14" t="s">
        <v>776</v>
      </c>
      <c r="D321" s="13"/>
      <c r="E321" s="80"/>
      <c r="F321" s="15"/>
      <c r="G321" s="81"/>
      <c r="H321" s="15">
        <f>ROUND(SUM(H316:H320),1)</f>
        <v>1083421.7</v>
      </c>
    </row>
    <row r="322" spans="1:8" ht="16.5" customHeight="1">
      <c r="A322" s="131"/>
      <c r="B322" s="91"/>
      <c r="C322" s="90" t="s">
        <v>678</v>
      </c>
      <c r="D322" s="91"/>
      <c r="E322" s="93"/>
      <c r="F322" s="132"/>
      <c r="G322" s="94"/>
      <c r="H322" s="132">
        <f>ROUND(H323,1)</f>
        <v>462412.6</v>
      </c>
    </row>
    <row r="323" spans="1:8" ht="16.5" hidden="1" customHeight="1">
      <c r="A323" s="127"/>
      <c r="B323" s="13" t="str">
        <f>'Giá tháng'!B$49</f>
        <v>N2.30</v>
      </c>
      <c r="C323" s="14" t="str">
        <f>'Giá tháng'!C$49</f>
        <v>Nhân công 3,0/7 - Nhóm 2</v>
      </c>
      <c r="D323" s="13" t="str">
        <f>'Giá tháng'!D$49</f>
        <v>công</v>
      </c>
      <c r="E323" s="80">
        <f>HaoPhiVatTu!G$289</f>
        <v>1.93</v>
      </c>
      <c r="F323" s="15">
        <f>ROUND('Tổng hợp VT'!O$57,1)</f>
        <v>239592</v>
      </c>
      <c r="G323" s="81">
        <f>'Giá tháng'!G$49</f>
        <v>1</v>
      </c>
      <c r="H323" s="15">
        <f>ROUND(E323*F323*G323,1)</f>
        <v>462412.6</v>
      </c>
    </row>
    <row r="324" spans="1:8" ht="16.5" customHeight="1">
      <c r="A324" s="131"/>
      <c r="B324" s="91"/>
      <c r="C324" s="90" t="s">
        <v>679</v>
      </c>
      <c r="D324" s="91"/>
      <c r="E324" s="93"/>
      <c r="F324" s="132"/>
      <c r="G324" s="94"/>
      <c r="H324" s="132">
        <f>ROUND(H325,1)</f>
        <v>30279.7</v>
      </c>
    </row>
    <row r="325" spans="1:8" ht="27.75" customHeight="1">
      <c r="A325" s="133"/>
      <c r="B325" s="24" t="str">
        <f>'Giá tháng'!B$74</f>
        <v>M104.0102</v>
      </c>
      <c r="C325" s="25" t="str">
        <f>'Giá tháng'!C$74</f>
        <v>Máy trộn bê tông - dung tích : 250,0 lít</v>
      </c>
      <c r="D325" s="24" t="str">
        <f>'Giá tháng'!D$74</f>
        <v>ca</v>
      </c>
      <c r="E325" s="84">
        <f>HaoPhiVatTu!H$291</f>
        <v>9.5000000000000001E-2</v>
      </c>
      <c r="F325" s="26">
        <f>ROUND('Tổng hợp VT'!O$83,1)</f>
        <v>318734</v>
      </c>
      <c r="G325" s="85">
        <f>'Giá tháng'!G$74</f>
        <v>1</v>
      </c>
      <c r="H325" s="26">
        <f>ROUND(E325*F325*G325,1)</f>
        <v>30279.7</v>
      </c>
    </row>
    <row r="326" spans="1:8" ht="16.5" customHeight="1">
      <c r="A326" s="128">
        <f>'Công trình'!A90</f>
        <v>20</v>
      </c>
      <c r="B326" s="129" t="str">
        <f>'Công trình'!E90</f>
        <v>AG.41610</v>
      </c>
      <c r="C326" s="130" t="str">
        <f>'Công trình'!F90</f>
        <v>Lăp đặt tấm đan 200kg/tấm</v>
      </c>
      <c r="D326" s="129" t="str">
        <f>'Công trình'!G90</f>
        <v>1 cấu kiện</v>
      </c>
      <c r="E326" s="65">
        <v>1</v>
      </c>
      <c r="F326" s="69"/>
      <c r="G326" s="67"/>
      <c r="H326" s="69"/>
    </row>
    <row r="327" spans="1:8" ht="16.5" customHeight="1">
      <c r="A327" s="131"/>
      <c r="B327" s="91"/>
      <c r="C327" s="90" t="s">
        <v>678</v>
      </c>
      <c r="D327" s="91"/>
      <c r="E327" s="93"/>
      <c r="F327" s="132"/>
      <c r="G327" s="94"/>
      <c r="H327" s="132">
        <f>ROUND(H328,1)</f>
        <v>7187.8</v>
      </c>
    </row>
    <row r="328" spans="1:8" ht="16.5" hidden="1" customHeight="1">
      <c r="A328" s="127"/>
      <c r="B328" s="13" t="str">
        <f>'Giá tháng'!B$49</f>
        <v>N2.30</v>
      </c>
      <c r="C328" s="14" t="str">
        <f>'Giá tháng'!C$49</f>
        <v>Nhân công 3,0/7 - Nhóm 2</v>
      </c>
      <c r="D328" s="13" t="str">
        <f>'Giá tháng'!D$49</f>
        <v>công</v>
      </c>
      <c r="E328" s="80">
        <f>HaoPhiVatTu!G$294</f>
        <v>0.03</v>
      </c>
      <c r="F328" s="15">
        <f>ROUND('Tổng hợp VT'!O$57,1)</f>
        <v>239592</v>
      </c>
      <c r="G328" s="81">
        <f>'Giá tháng'!G$49</f>
        <v>1</v>
      </c>
      <c r="H328" s="15">
        <f>ROUND(E328*F328*G328,1)</f>
        <v>7187.8</v>
      </c>
    </row>
    <row r="329" spans="1:8" ht="16.5" customHeight="1">
      <c r="A329" s="131"/>
      <c r="B329" s="91"/>
      <c r="C329" s="90" t="s">
        <v>679</v>
      </c>
      <c r="D329" s="91"/>
      <c r="E329" s="93"/>
      <c r="F329" s="132"/>
      <c r="G329" s="94"/>
      <c r="H329" s="132">
        <f>ROUND(H330,1)</f>
        <v>26465.599999999999</v>
      </c>
    </row>
    <row r="330" spans="1:8" ht="27.75" customHeight="1">
      <c r="A330" s="133"/>
      <c r="B330" s="24" t="str">
        <f>'Giá tháng'!B$55</f>
        <v>M102.0201</v>
      </c>
      <c r="C330" s="25" t="str">
        <f>'Giá tháng'!C$55</f>
        <v>Cần cẩu bánh hơi 6 T</v>
      </c>
      <c r="D330" s="24" t="str">
        <f>'Giá tháng'!D$55</f>
        <v>ca</v>
      </c>
      <c r="E330" s="84">
        <f>HaoPhiVatTu!H$296</f>
        <v>1.4999999999999999E-2</v>
      </c>
      <c r="F330" s="26">
        <f>ROUND('Tổng hợp VT'!O$64,1)</f>
        <v>1764371</v>
      </c>
      <c r="G330" s="85">
        <f>'Giá tháng'!G$55</f>
        <v>1</v>
      </c>
      <c r="H330" s="26">
        <f>ROUND(E330*F330*G330,1)</f>
        <v>26465.599999999999</v>
      </c>
    </row>
    <row r="331" spans="1:8" ht="27.75" customHeight="1">
      <c r="A331" s="128">
        <f>'Công trình'!A93</f>
        <v>21</v>
      </c>
      <c r="B331" s="129" t="str">
        <f>'Công trình'!E93</f>
        <v>AE.26213A</v>
      </c>
      <c r="C331" s="130" t="str">
        <f>'Công trình'!F93</f>
        <v>Xây gạch không nung 6,5x10,5x22, xây hố tụ nước, vữa XM mác 75</v>
      </c>
      <c r="D331" s="129" t="str">
        <f>'Công trình'!G93</f>
        <v>m3</v>
      </c>
      <c r="E331" s="65">
        <v>1</v>
      </c>
      <c r="F331" s="69"/>
      <c r="G331" s="67"/>
      <c r="H331" s="69"/>
    </row>
    <row r="332" spans="1:8" ht="16.5" customHeight="1">
      <c r="A332" s="131"/>
      <c r="B332" s="91"/>
      <c r="C332" s="90" t="s">
        <v>683</v>
      </c>
      <c r="D332" s="91"/>
      <c r="E332" s="93"/>
      <c r="F332" s="132"/>
      <c r="G332" s="94"/>
      <c r="H332" s="132">
        <f>ROUND(H338,1)</f>
        <v>1079493.5</v>
      </c>
    </row>
    <row r="333" spans="1:8" ht="27.75" hidden="1" customHeight="1">
      <c r="A333" s="127"/>
      <c r="B333" s="13" t="str">
        <f>'Giá tháng'!B$20</f>
        <v>A24.0383A</v>
      </c>
      <c r="C333" s="14" t="str">
        <f>'Giá tháng'!C$20</f>
        <v>Gạch không nung 6,5x10,5x22</v>
      </c>
      <c r="D333" s="13" t="str">
        <f>'Giá tháng'!D$20</f>
        <v>viên</v>
      </c>
      <c r="E333" s="80">
        <f>HaoPhiVatTu!F$299</f>
        <v>550</v>
      </c>
      <c r="F333" s="15">
        <f>ROUND('Tổng hợp VT'!O$25,1)</f>
        <v>1250</v>
      </c>
      <c r="G333" s="81">
        <f>'Giá tháng'!G$20</f>
        <v>1</v>
      </c>
      <c r="H333" s="15">
        <f>ROUND(E333*F333*G333,1)</f>
        <v>687500</v>
      </c>
    </row>
    <row r="334" spans="1:8" ht="27.75" hidden="1" customHeight="1">
      <c r="A334" s="127"/>
      <c r="B334" s="13" t="str">
        <f>'Giá tháng'!B$45</f>
        <v>A24.0797A</v>
      </c>
      <c r="C334" s="14" t="str">
        <f>'Giá tháng'!C$45</f>
        <v>Xi măng PCB30</v>
      </c>
      <c r="D334" s="13" t="str">
        <f>'Giá tháng'!D$45</f>
        <v>kg</v>
      </c>
      <c r="E334" s="80">
        <f>HaoPhiVatTu!F$300</f>
        <v>111.54</v>
      </c>
      <c r="F334" s="15">
        <f>ROUND('Tổng hợp VT'!O$49,1)</f>
        <v>1481</v>
      </c>
      <c r="G334" s="81">
        <f>'Giá tháng'!G$45</f>
        <v>1</v>
      </c>
      <c r="H334" s="15">
        <f>ROUND(E334*F334*G334,1)</f>
        <v>165190.70000000001</v>
      </c>
    </row>
    <row r="335" spans="1:8" ht="16.5" hidden="1" customHeight="1">
      <c r="A335" s="127"/>
      <c r="B335" s="13" t="str">
        <f>'Giá tháng'!B$9</f>
        <v>A24.0176</v>
      </c>
      <c r="C335" s="14" t="str">
        <f>'Giá tháng'!C$9</f>
        <v>Cát mịn ML=1,5-2,0</v>
      </c>
      <c r="D335" s="13" t="str">
        <f>'Giá tháng'!D$9</f>
        <v>m3</v>
      </c>
      <c r="E335" s="80">
        <f>HaoPhiVatTu!F$301</f>
        <v>0.37917000000000001</v>
      </c>
      <c r="F335" s="15">
        <f>ROUND('Tổng hợp VT'!O$14,1)</f>
        <v>445000</v>
      </c>
      <c r="G335" s="81">
        <f>'Giá tháng'!G$9</f>
        <v>1</v>
      </c>
      <c r="H335" s="15">
        <f>ROUND(E335*F335*G335,1)</f>
        <v>168730.7</v>
      </c>
    </row>
    <row r="336" spans="1:8" ht="16.5" hidden="1" customHeight="1">
      <c r="A336" s="127"/>
      <c r="B336" s="13" t="str">
        <f>'Giá tháng'!B$32</f>
        <v>A24.0524</v>
      </c>
      <c r="C336" s="14" t="str">
        <f>'Giá tháng'!C$32</f>
        <v>Nước</v>
      </c>
      <c r="D336" s="13" t="str">
        <f>'Giá tháng'!D$32</f>
        <v>lít</v>
      </c>
      <c r="E336" s="80">
        <f>HaoPhiVatTu!F$302</f>
        <v>89.76</v>
      </c>
      <c r="F336" s="15">
        <f>ROUND('Tổng hợp VT'!O$37,1)</f>
        <v>20</v>
      </c>
      <c r="G336" s="81">
        <f>'Giá tháng'!G$32</f>
        <v>1</v>
      </c>
      <c r="H336" s="15">
        <f>ROUND(E336*F336*G336,1)</f>
        <v>1795.2</v>
      </c>
    </row>
    <row r="337" spans="1:8" ht="16.5" hidden="1" customHeight="1">
      <c r="A337" s="127"/>
      <c r="B337" s="13" t="s">
        <v>684</v>
      </c>
      <c r="C337" s="14" t="s">
        <v>685</v>
      </c>
      <c r="D337" s="13" t="s">
        <v>682</v>
      </c>
      <c r="E337" s="80">
        <f>HaoPhiVatTu!F$303</f>
        <v>5.5</v>
      </c>
      <c r="F337" s="15">
        <f>ROUND(SUM(H333:H336),1)</f>
        <v>1023216.6</v>
      </c>
      <c r="G337" s="81"/>
      <c r="H337" s="15">
        <f>ROUND(E337*F337/100,1)</f>
        <v>56276.9</v>
      </c>
    </row>
    <row r="338" spans="1:8" ht="16.5" customHeight="1">
      <c r="A338" s="127"/>
      <c r="B338" s="13"/>
      <c r="C338" s="14" t="s">
        <v>776</v>
      </c>
      <c r="D338" s="13"/>
      <c r="E338" s="80"/>
      <c r="F338" s="15"/>
      <c r="G338" s="81"/>
      <c r="H338" s="15">
        <f>ROUND(SUM(H333:H337),1)</f>
        <v>1079493.5</v>
      </c>
    </row>
    <row r="339" spans="1:8" ht="16.5" customHeight="1">
      <c r="A339" s="131"/>
      <c r="B339" s="91"/>
      <c r="C339" s="90" t="s">
        <v>678</v>
      </c>
      <c r="D339" s="91"/>
      <c r="E339" s="93"/>
      <c r="F339" s="132"/>
      <c r="G339" s="94"/>
      <c r="H339" s="132">
        <f>ROUND(H340,1)</f>
        <v>838400</v>
      </c>
    </row>
    <row r="340" spans="1:8" ht="16.5" hidden="1" customHeight="1">
      <c r="A340" s="127"/>
      <c r="B340" s="13" t="str">
        <f>'Giá tháng'!B$51</f>
        <v>N2.35</v>
      </c>
      <c r="C340" s="14" t="str">
        <f>'Giá tháng'!C$51</f>
        <v>Nhân công 3,5/7 - Nhóm 2</v>
      </c>
      <c r="D340" s="13" t="str">
        <f>'Giá tháng'!D$51</f>
        <v>công</v>
      </c>
      <c r="E340" s="80">
        <f>HaoPhiVatTu!G$305</f>
        <v>3.2</v>
      </c>
      <c r="F340" s="15">
        <f>ROUND('Tổng hợp VT'!O$59,1)</f>
        <v>262000</v>
      </c>
      <c r="G340" s="81">
        <f>'Giá tháng'!G$51</f>
        <v>1</v>
      </c>
      <c r="H340" s="15">
        <f>ROUND(E340*F340*G340,1)</f>
        <v>838400</v>
      </c>
    </row>
    <row r="341" spans="1:8" ht="16.5" customHeight="1">
      <c r="A341" s="131"/>
      <c r="B341" s="91"/>
      <c r="C341" s="90" t="s">
        <v>679</v>
      </c>
      <c r="D341" s="91"/>
      <c r="E341" s="93"/>
      <c r="F341" s="132"/>
      <c r="G341" s="94"/>
      <c r="H341" s="132">
        <f>ROUND(H342,1)</f>
        <v>11441.1</v>
      </c>
    </row>
    <row r="342" spans="1:8" ht="27.75" customHeight="1">
      <c r="A342" s="133"/>
      <c r="B342" s="24" t="str">
        <f>'Giá tháng'!B$75</f>
        <v>M104.0202</v>
      </c>
      <c r="C342" s="25" t="str">
        <f>'Giá tháng'!C$75</f>
        <v>Máy trộn vữa 150 lít</v>
      </c>
      <c r="D342" s="24" t="str">
        <f>'Giá tháng'!D$75</f>
        <v>ca</v>
      </c>
      <c r="E342" s="84">
        <f>HaoPhiVatTu!H$307</f>
        <v>3.9E-2</v>
      </c>
      <c r="F342" s="26">
        <f>ROUND('Tổng hợp VT'!O$84,1)</f>
        <v>293362</v>
      </c>
      <c r="G342" s="85">
        <f>'Giá tháng'!G$75</f>
        <v>1</v>
      </c>
      <c r="H342" s="26">
        <f>ROUND(E342*F342*G342,1)</f>
        <v>11441.1</v>
      </c>
    </row>
    <row r="343" spans="1:8" ht="27.75" customHeight="1">
      <c r="A343" s="128">
        <f>'Công trình'!A95</f>
        <v>22</v>
      </c>
      <c r="B343" s="129" t="str">
        <f>'Công trình'!E95</f>
        <v>AK.21533A</v>
      </c>
      <c r="C343" s="130" t="str">
        <f>'Công trình'!F95</f>
        <v>Trát tường hố tụ, chiều dày trát 2cm, vữa XM mác 75, PCB30</v>
      </c>
      <c r="D343" s="129" t="str">
        <f>'Công trình'!G95</f>
        <v>m2</v>
      </c>
      <c r="E343" s="65">
        <v>1</v>
      </c>
      <c r="F343" s="69"/>
      <c r="G343" s="67"/>
      <c r="H343" s="69"/>
    </row>
    <row r="344" spans="1:8" ht="16.5" customHeight="1">
      <c r="A344" s="131"/>
      <c r="B344" s="91"/>
      <c r="C344" s="90" t="s">
        <v>683</v>
      </c>
      <c r="D344" s="91"/>
      <c r="E344" s="93"/>
      <c r="F344" s="132"/>
      <c r="G344" s="94"/>
      <c r="H344" s="132">
        <f>ROUND(H349,1)</f>
        <v>23515.4</v>
      </c>
    </row>
    <row r="345" spans="1:8" ht="27.75" hidden="1" customHeight="1">
      <c r="A345" s="127"/>
      <c r="B345" s="13" t="str">
        <f>'Giá tháng'!B$45</f>
        <v>A24.0797A</v>
      </c>
      <c r="C345" s="14" t="str">
        <f>'Giá tháng'!C$45</f>
        <v>Xi măng PCB30</v>
      </c>
      <c r="D345" s="13" t="str">
        <f>'Giá tháng'!D$45</f>
        <v>kg</v>
      </c>
      <c r="E345" s="80">
        <f>HaoPhiVatTu!F$310</f>
        <v>7.774</v>
      </c>
      <c r="F345" s="15">
        <f>ROUND('Tổng hợp VT'!O$49,1)</f>
        <v>1481</v>
      </c>
      <c r="G345" s="81">
        <f>'Giá tháng'!G$45</f>
        <v>1</v>
      </c>
      <c r="H345" s="15">
        <f>ROUND(E345*F345*G345,1)</f>
        <v>11513.3</v>
      </c>
    </row>
    <row r="346" spans="1:8" ht="16.5" hidden="1" customHeight="1">
      <c r="A346" s="127"/>
      <c r="B346" s="13" t="str">
        <f>'Giá tháng'!B$9</f>
        <v>A24.0176</v>
      </c>
      <c r="C346" s="14" t="str">
        <f>'Giá tháng'!C$9</f>
        <v>Cát mịn ML=1,5-2,0</v>
      </c>
      <c r="D346" s="13" t="str">
        <f>'Giá tháng'!D$9</f>
        <v>m3</v>
      </c>
      <c r="E346" s="80">
        <f>HaoPhiVatTu!F$311</f>
        <v>2.6426999999999999E-2</v>
      </c>
      <c r="F346" s="15">
        <f>ROUND('Tổng hợp VT'!O$14,1)</f>
        <v>445000</v>
      </c>
      <c r="G346" s="81">
        <f>'Giá tháng'!G$9</f>
        <v>1</v>
      </c>
      <c r="H346" s="15">
        <f>ROUND(E346*F346*G346,1)</f>
        <v>11760</v>
      </c>
    </row>
    <row r="347" spans="1:8" ht="16.5" hidden="1" customHeight="1">
      <c r="A347" s="127"/>
      <c r="B347" s="13" t="str">
        <f>'Giá tháng'!B$32</f>
        <v>A24.0524</v>
      </c>
      <c r="C347" s="14" t="str">
        <f>'Giá tháng'!C$32</f>
        <v>Nước</v>
      </c>
      <c r="D347" s="13" t="str">
        <f>'Giá tháng'!D$32</f>
        <v>lít</v>
      </c>
      <c r="E347" s="80">
        <f>HaoPhiVatTu!F$312</f>
        <v>6.2560000000000002</v>
      </c>
      <c r="F347" s="15">
        <f>ROUND('Tổng hợp VT'!O$37,1)</f>
        <v>20</v>
      </c>
      <c r="G347" s="81">
        <f>'Giá tháng'!G$32</f>
        <v>1</v>
      </c>
      <c r="H347" s="15">
        <f>ROUND(E347*F347*G347,1)</f>
        <v>125.1</v>
      </c>
    </row>
    <row r="348" spans="1:8" ht="16.5" hidden="1" customHeight="1">
      <c r="A348" s="127"/>
      <c r="B348" s="13" t="s">
        <v>684</v>
      </c>
      <c r="C348" s="14" t="s">
        <v>685</v>
      </c>
      <c r="D348" s="13" t="s">
        <v>682</v>
      </c>
      <c r="E348" s="80">
        <f>HaoPhiVatTu!F$313</f>
        <v>0.5</v>
      </c>
      <c r="F348" s="15">
        <f>ROUND(SUM(H345:H347),1)</f>
        <v>23398.400000000001</v>
      </c>
      <c r="G348" s="81"/>
      <c r="H348" s="15">
        <f>ROUND(E348*F348/100,1)</f>
        <v>117</v>
      </c>
    </row>
    <row r="349" spans="1:8" ht="16.5" customHeight="1">
      <c r="A349" s="127"/>
      <c r="B349" s="13"/>
      <c r="C349" s="14" t="s">
        <v>776</v>
      </c>
      <c r="D349" s="13"/>
      <c r="E349" s="80"/>
      <c r="F349" s="15"/>
      <c r="G349" s="81"/>
      <c r="H349" s="15">
        <f>ROUND(SUM(H345:H348),1)</f>
        <v>23515.4</v>
      </c>
    </row>
    <row r="350" spans="1:8" ht="16.5" customHeight="1">
      <c r="A350" s="131"/>
      <c r="B350" s="91"/>
      <c r="C350" s="90" t="s">
        <v>678</v>
      </c>
      <c r="D350" s="91"/>
      <c r="E350" s="93"/>
      <c r="F350" s="132"/>
      <c r="G350" s="94"/>
      <c r="H350" s="132">
        <f>ROUND(H351,1)</f>
        <v>91700</v>
      </c>
    </row>
    <row r="351" spans="1:8" ht="16.5" hidden="1" customHeight="1">
      <c r="A351" s="127"/>
      <c r="B351" s="13" t="str">
        <f>'Giá tháng'!B$51</f>
        <v>N2.35</v>
      </c>
      <c r="C351" s="14" t="str">
        <f>'Giá tháng'!C$51</f>
        <v>Nhân công 3,5/7 - Nhóm 2</v>
      </c>
      <c r="D351" s="13" t="str">
        <f>'Giá tháng'!D$51</f>
        <v>công</v>
      </c>
      <c r="E351" s="80">
        <f>HaoPhiVatTu!G$315</f>
        <v>0.35</v>
      </c>
      <c r="F351" s="15">
        <f>ROUND('Tổng hợp VT'!O$59,1)</f>
        <v>262000</v>
      </c>
      <c r="G351" s="81">
        <f>'Giá tháng'!G$51</f>
        <v>1</v>
      </c>
      <c r="H351" s="15">
        <f>ROUND(E351*F351*G351,1)</f>
        <v>91700</v>
      </c>
    </row>
    <row r="352" spans="1:8" ht="16.5" customHeight="1">
      <c r="A352" s="131"/>
      <c r="B352" s="91"/>
      <c r="C352" s="90" t="s">
        <v>679</v>
      </c>
      <c r="D352" s="91"/>
      <c r="E352" s="93"/>
      <c r="F352" s="132"/>
      <c r="G352" s="94"/>
      <c r="H352" s="132">
        <f>ROUND(H353,1)</f>
        <v>880.1</v>
      </c>
    </row>
    <row r="353" spans="1:8" ht="27.75" customHeight="1">
      <c r="A353" s="133"/>
      <c r="B353" s="24" t="str">
        <f>'Giá tháng'!B$75</f>
        <v>M104.0202</v>
      </c>
      <c r="C353" s="25" t="str">
        <f>'Giá tháng'!C$75</f>
        <v>Máy trộn vữa 150 lít</v>
      </c>
      <c r="D353" s="24" t="str">
        <f>'Giá tháng'!D$75</f>
        <v>ca</v>
      </c>
      <c r="E353" s="84">
        <f>HaoPhiVatTu!H$317</f>
        <v>3.0000000000000001E-3</v>
      </c>
      <c r="F353" s="26">
        <f>ROUND('Tổng hợp VT'!O$84,1)</f>
        <v>293362</v>
      </c>
      <c r="G353" s="85">
        <f>'Giá tháng'!G$75</f>
        <v>1</v>
      </c>
      <c r="H353" s="26">
        <f>ROUND(E353*F353*G353,1)</f>
        <v>880.1</v>
      </c>
    </row>
    <row r="354" spans="1:8" ht="16.5" customHeight="1">
      <c r="A354" s="128">
        <f>'Công trình'!A97</f>
        <v>23</v>
      </c>
      <c r="B354" s="129" t="str">
        <f>'Công trình'!E97</f>
        <v>AF.81141</v>
      </c>
      <c r="C354" s="130" t="str">
        <f>'Công trình'!F97</f>
        <v>Ván khuôn gỗ. Ván khuôn cổ hố tụ</v>
      </c>
      <c r="D354" s="129" t="str">
        <f>'Công trình'!G97</f>
        <v>100m2</v>
      </c>
      <c r="E354" s="65">
        <v>1</v>
      </c>
      <c r="F354" s="69"/>
      <c r="G354" s="67"/>
      <c r="H354" s="69"/>
    </row>
    <row r="355" spans="1:8" ht="16.5" customHeight="1">
      <c r="A355" s="131"/>
      <c r="B355" s="91"/>
      <c r="C355" s="90" t="s">
        <v>683</v>
      </c>
      <c r="D355" s="91"/>
      <c r="E355" s="93"/>
      <c r="F355" s="132"/>
      <c r="G355" s="94"/>
      <c r="H355" s="132">
        <f>ROUND(H361,1)</f>
        <v>8793002.5</v>
      </c>
    </row>
    <row r="356" spans="1:8" ht="16.5" hidden="1" customHeight="1">
      <c r="A356" s="127"/>
      <c r="B356" s="13" t="str">
        <f>'Giá tháng'!B$23</f>
        <v>A24.0418</v>
      </c>
      <c r="C356" s="14" t="str">
        <f>'Giá tháng'!C$23</f>
        <v>Gỗ ván</v>
      </c>
      <c r="D356" s="13" t="str">
        <f>'Giá tháng'!D$23</f>
        <v>m3</v>
      </c>
      <c r="E356" s="80">
        <f>HaoPhiVatTu!F$320</f>
        <v>0.79400000000000004</v>
      </c>
      <c r="F356" s="15">
        <f>ROUND('Tổng hợp VT'!O$28,1)</f>
        <v>4318182</v>
      </c>
      <c r="G356" s="81">
        <f>'Giá tháng'!G$23</f>
        <v>1</v>
      </c>
      <c r="H356" s="15">
        <f>ROUND(E356*F356*G356,1)</f>
        <v>3428636.5</v>
      </c>
    </row>
    <row r="357" spans="1:8" ht="16.5" hidden="1" customHeight="1">
      <c r="A357" s="127"/>
      <c r="B357" s="13" t="str">
        <f>'Giá tháng'!B$22</f>
        <v>A24.0404</v>
      </c>
      <c r="C357" s="14" t="str">
        <f>'Giá tháng'!C$22</f>
        <v>Gỗ đà nẹp</v>
      </c>
      <c r="D357" s="13" t="str">
        <f>'Giá tháng'!D$22</f>
        <v>m3</v>
      </c>
      <c r="E357" s="80">
        <f>HaoPhiVatTu!F$321</f>
        <v>0.189</v>
      </c>
      <c r="F357" s="15">
        <f>ROUND('Tổng hợp VT'!O$27,1)</f>
        <v>4318182</v>
      </c>
      <c r="G357" s="81">
        <f>'Giá tháng'!G$22</f>
        <v>1</v>
      </c>
      <c r="H357" s="15">
        <f>ROUND(E357*F357*G357,1)</f>
        <v>816136.4</v>
      </c>
    </row>
    <row r="358" spans="1:8" ht="16.5" hidden="1" customHeight="1">
      <c r="A358" s="127"/>
      <c r="B358" s="13" t="str">
        <f>'Giá tháng'!B$21</f>
        <v>A24.0406</v>
      </c>
      <c r="C358" s="14" t="str">
        <f>'Giá tháng'!C$21</f>
        <v>Gỗ chống</v>
      </c>
      <c r="D358" s="13" t="str">
        <f>'Giá tháng'!D$21</f>
        <v>m3</v>
      </c>
      <c r="E358" s="80">
        <f>HaoPhiVatTu!F$322</f>
        <v>0.95699999999999996</v>
      </c>
      <c r="F358" s="15">
        <f>ROUND('Tổng hợp VT'!O$26,1)</f>
        <v>4318182</v>
      </c>
      <c r="G358" s="81">
        <f>'Giá tháng'!G$21</f>
        <v>1</v>
      </c>
      <c r="H358" s="15">
        <f>ROUND(E358*F358*G358,1)</f>
        <v>4132500.2</v>
      </c>
    </row>
    <row r="359" spans="1:8" ht="16.5" hidden="1" customHeight="1">
      <c r="A359" s="127"/>
      <c r="B359" s="13" t="str">
        <f>'Giá tháng'!B$19</f>
        <v>A24.0054</v>
      </c>
      <c r="C359" s="14" t="str">
        <f>'Giá tháng'!C$19</f>
        <v>Đinh</v>
      </c>
      <c r="D359" s="13" t="str">
        <f>'Giá tháng'!D$19</f>
        <v>kg</v>
      </c>
      <c r="E359" s="80">
        <f>HaoPhiVatTu!F$323</f>
        <v>14.29</v>
      </c>
      <c r="F359" s="15">
        <f>ROUND('Tổng hợp VT'!O$24,1)</f>
        <v>23000</v>
      </c>
      <c r="G359" s="81">
        <f>'Giá tháng'!G$19</f>
        <v>1</v>
      </c>
      <c r="H359" s="15">
        <f>ROUND(E359*F359*G359,1)</f>
        <v>328670</v>
      </c>
    </row>
    <row r="360" spans="1:8" ht="16.5" hidden="1" customHeight="1">
      <c r="A360" s="127"/>
      <c r="B360" s="13" t="s">
        <v>684</v>
      </c>
      <c r="C360" s="14" t="s">
        <v>685</v>
      </c>
      <c r="D360" s="13" t="s">
        <v>682</v>
      </c>
      <c r="E360" s="80">
        <f>HaoPhiVatTu!F$324</f>
        <v>1</v>
      </c>
      <c r="F360" s="15">
        <f>ROUND(SUM(H356:H359),1)</f>
        <v>8705943.0999999996</v>
      </c>
      <c r="G360" s="81"/>
      <c r="H360" s="15">
        <f>ROUND(E360*F360/100,1)</f>
        <v>87059.4</v>
      </c>
    </row>
    <row r="361" spans="1:8" ht="16.5" customHeight="1">
      <c r="A361" s="127"/>
      <c r="B361" s="13"/>
      <c r="C361" s="14" t="s">
        <v>776</v>
      </c>
      <c r="D361" s="13"/>
      <c r="E361" s="80"/>
      <c r="F361" s="15"/>
      <c r="G361" s="81"/>
      <c r="H361" s="15">
        <f>ROUND(SUM(H356:H360),1)</f>
        <v>8793002.5</v>
      </c>
    </row>
    <row r="362" spans="1:8" ht="16.5" customHeight="1">
      <c r="A362" s="131"/>
      <c r="B362" s="91"/>
      <c r="C362" s="90" t="s">
        <v>678</v>
      </c>
      <c r="D362" s="91"/>
      <c r="E362" s="93"/>
      <c r="F362" s="132"/>
      <c r="G362" s="94"/>
      <c r="H362" s="132">
        <f>ROUND(H363,1)</f>
        <v>7205000</v>
      </c>
    </row>
    <row r="363" spans="1:8" ht="16.5" hidden="1" customHeight="1">
      <c r="A363" s="133"/>
      <c r="B363" s="24" t="str">
        <f>'Giá tháng'!B$51</f>
        <v>N2.35</v>
      </c>
      <c r="C363" s="25" t="str">
        <f>'Giá tháng'!C$51</f>
        <v>Nhân công 3,5/7 - Nhóm 2</v>
      </c>
      <c r="D363" s="24" t="str">
        <f>'Giá tháng'!D$51</f>
        <v>công</v>
      </c>
      <c r="E363" s="84">
        <f>HaoPhiVatTu!G$326</f>
        <v>27.5</v>
      </c>
      <c r="F363" s="26">
        <f>ROUND('Tổng hợp VT'!O$59,1)</f>
        <v>262000</v>
      </c>
      <c r="G363" s="85">
        <f>'Giá tháng'!G$51</f>
        <v>1</v>
      </c>
      <c r="H363" s="26">
        <f>ROUND(E363*F363*G363,1)</f>
        <v>7205000</v>
      </c>
    </row>
    <row r="364" spans="1:8" ht="27.75" customHeight="1">
      <c r="A364" s="128">
        <f>'Công trình'!A99</f>
        <v>24</v>
      </c>
      <c r="B364" s="129" t="str">
        <f>'Công trình'!E99</f>
        <v>AF.12314A</v>
      </c>
      <c r="C364" s="130" t="str">
        <f>'Công trình'!F99</f>
        <v>Đổ bê tông cổ hố tụ, đá 1x2, mác 250</v>
      </c>
      <c r="D364" s="129" t="str">
        <f>'Công trình'!G99</f>
        <v>m3</v>
      </c>
      <c r="E364" s="65">
        <v>1</v>
      </c>
      <c r="F364" s="69"/>
      <c r="G364" s="67"/>
      <c r="H364" s="69"/>
    </row>
    <row r="365" spans="1:8" ht="16.5" customHeight="1">
      <c r="A365" s="131"/>
      <c r="B365" s="91"/>
      <c r="C365" s="90" t="s">
        <v>683</v>
      </c>
      <c r="D365" s="91"/>
      <c r="E365" s="93"/>
      <c r="F365" s="132"/>
      <c r="G365" s="94"/>
      <c r="H365" s="132">
        <f>ROUND(H371,1)</f>
        <v>1099539</v>
      </c>
    </row>
    <row r="366" spans="1:8" ht="27.75" hidden="1" customHeight="1">
      <c r="A366" s="127"/>
      <c r="B366" s="13" t="str">
        <f>'Giá tháng'!B$45</f>
        <v>A24.0797A</v>
      </c>
      <c r="C366" s="14" t="str">
        <f>'Giá tháng'!C$45</f>
        <v>Xi măng PCB30</v>
      </c>
      <c r="D366" s="13" t="str">
        <f>'Giá tháng'!D$45</f>
        <v>kg</v>
      </c>
      <c r="E366" s="80">
        <f>HaoPhiVatTu!F$329</f>
        <v>369</v>
      </c>
      <c r="F366" s="15">
        <f>ROUND('Tổng hợp VT'!O$49,1)</f>
        <v>1481</v>
      </c>
      <c r="G366" s="81">
        <f>'Giá tháng'!G$45</f>
        <v>1</v>
      </c>
      <c r="H366" s="15">
        <f>ROUND(E366*F366*G366,1)</f>
        <v>546489</v>
      </c>
    </row>
    <row r="367" spans="1:8" ht="16.5" hidden="1" customHeight="1">
      <c r="A367" s="127"/>
      <c r="B367" s="13" t="str">
        <f>'Giá tháng'!B$10</f>
        <v>A24.0180</v>
      </c>
      <c r="C367" s="14" t="str">
        <f>'Giá tháng'!C$10</f>
        <v>Cát vàng</v>
      </c>
      <c r="D367" s="13" t="str">
        <f>'Giá tháng'!D$10</f>
        <v>m3</v>
      </c>
      <c r="E367" s="80">
        <f>HaoPhiVatTu!F$330</f>
        <v>0.517625</v>
      </c>
      <c r="F367" s="15">
        <f>ROUND('Tổng hợp VT'!O$15,1)</f>
        <v>480000</v>
      </c>
      <c r="G367" s="81">
        <f>'Giá tháng'!G$10</f>
        <v>1</v>
      </c>
      <c r="H367" s="15">
        <f>ROUND(E367*F367*G367,1)</f>
        <v>248460</v>
      </c>
    </row>
    <row r="368" spans="1:8" ht="16.5" hidden="1" customHeight="1">
      <c r="A368" s="127"/>
      <c r="B368" s="13" t="str">
        <f>'Giá tháng'!B$15</f>
        <v>A24.0008</v>
      </c>
      <c r="C368" s="14" t="str">
        <f>'Giá tháng'!C$15</f>
        <v>Đá 1x2</v>
      </c>
      <c r="D368" s="13" t="str">
        <f>'Giá tháng'!D$15</f>
        <v>m3</v>
      </c>
      <c r="E368" s="80">
        <f>HaoPhiVatTu!F$331</f>
        <v>0.8528</v>
      </c>
      <c r="F368" s="15">
        <f>ROUND('Tổng hợp VT'!O$20,1)</f>
        <v>340000</v>
      </c>
      <c r="G368" s="81">
        <f>'Giá tháng'!G$15</f>
        <v>1</v>
      </c>
      <c r="H368" s="15">
        <f>ROUND(E368*F368*G368,1)</f>
        <v>289952</v>
      </c>
    </row>
    <row r="369" spans="1:8" ht="16.5" hidden="1" customHeight="1">
      <c r="A369" s="127"/>
      <c r="B369" s="13" t="str">
        <f>'Giá tháng'!B$32</f>
        <v>A24.0524</v>
      </c>
      <c r="C369" s="14" t="str">
        <f>'Giá tháng'!C$32</f>
        <v>Nước</v>
      </c>
      <c r="D369" s="13" t="str">
        <f>'Giá tháng'!D$32</f>
        <v>lít</v>
      </c>
      <c r="E369" s="80">
        <f>HaoPhiVatTu!F$332</f>
        <v>187.57499999999999</v>
      </c>
      <c r="F369" s="15">
        <f>ROUND('Tổng hợp VT'!O$37,1)</f>
        <v>20</v>
      </c>
      <c r="G369" s="81">
        <f>'Giá tháng'!G$32</f>
        <v>1</v>
      </c>
      <c r="H369" s="15">
        <f>ROUND(E369*F369*G369,1)</f>
        <v>3751.5</v>
      </c>
    </row>
    <row r="370" spans="1:8" ht="16.5" hidden="1" customHeight="1">
      <c r="A370" s="127"/>
      <c r="B370" s="13" t="s">
        <v>684</v>
      </c>
      <c r="C370" s="14" t="s">
        <v>685</v>
      </c>
      <c r="D370" s="13" t="s">
        <v>682</v>
      </c>
      <c r="E370" s="80">
        <f>HaoPhiVatTu!F$333</f>
        <v>1</v>
      </c>
      <c r="F370" s="15">
        <f>ROUND(SUM(H366:H369),1)</f>
        <v>1088652.5</v>
      </c>
      <c r="G370" s="81"/>
      <c r="H370" s="15">
        <f>ROUND(E370*F370/100,1)</f>
        <v>10886.5</v>
      </c>
    </row>
    <row r="371" spans="1:8" ht="16.5" customHeight="1">
      <c r="A371" s="127"/>
      <c r="B371" s="13"/>
      <c r="C371" s="14" t="s">
        <v>776</v>
      </c>
      <c r="D371" s="13"/>
      <c r="E371" s="80"/>
      <c r="F371" s="15"/>
      <c r="G371" s="81"/>
      <c r="H371" s="15">
        <f>ROUND(SUM(H366:H370),1)</f>
        <v>1099539</v>
      </c>
    </row>
    <row r="372" spans="1:8" ht="16.5" customHeight="1">
      <c r="A372" s="131"/>
      <c r="B372" s="91"/>
      <c r="C372" s="90" t="s">
        <v>678</v>
      </c>
      <c r="D372" s="91"/>
      <c r="E372" s="93"/>
      <c r="F372" s="132"/>
      <c r="G372" s="94"/>
      <c r="H372" s="132">
        <f>ROUND(H373,1)</f>
        <v>639710.6</v>
      </c>
    </row>
    <row r="373" spans="1:8" ht="16.5" hidden="1" customHeight="1">
      <c r="A373" s="127"/>
      <c r="B373" s="13" t="str">
        <f>'Giá tháng'!B$49</f>
        <v>N2.30</v>
      </c>
      <c r="C373" s="14" t="str">
        <f>'Giá tháng'!C$49</f>
        <v>Nhân công 3,0/7 - Nhóm 2</v>
      </c>
      <c r="D373" s="13" t="str">
        <f>'Giá tháng'!D$49</f>
        <v>công</v>
      </c>
      <c r="E373" s="80">
        <f>HaoPhiVatTu!G$335</f>
        <v>2.67</v>
      </c>
      <c r="F373" s="15">
        <f>ROUND('Tổng hợp VT'!O$57,1)</f>
        <v>239592</v>
      </c>
      <c r="G373" s="81">
        <f>'Giá tháng'!G$49</f>
        <v>1</v>
      </c>
      <c r="H373" s="15">
        <f>ROUND(E373*F373*G373,1)</f>
        <v>639710.6</v>
      </c>
    </row>
    <row r="374" spans="1:8" ht="16.5" customHeight="1">
      <c r="A374" s="131"/>
      <c r="B374" s="91"/>
      <c r="C374" s="90" t="s">
        <v>679</v>
      </c>
      <c r="D374" s="91"/>
      <c r="E374" s="93"/>
      <c r="F374" s="132"/>
      <c r="G374" s="94"/>
      <c r="H374" s="132">
        <f>ROUND(H377,1)</f>
        <v>79863</v>
      </c>
    </row>
    <row r="375" spans="1:8" ht="27.75" customHeight="1">
      <c r="A375" s="127"/>
      <c r="B375" s="13" t="str">
        <f>'Giá tháng'!B$74</f>
        <v>M104.0102</v>
      </c>
      <c r="C375" s="14" t="str">
        <f>'Giá tháng'!C$74</f>
        <v>Máy trộn bê tông - dung tích : 250,0 lít</v>
      </c>
      <c r="D375" s="13" t="str">
        <f>'Giá tháng'!D$74</f>
        <v>ca</v>
      </c>
      <c r="E375" s="80">
        <f>HaoPhiVatTu!H$337</f>
        <v>9.5000000000000001E-2</v>
      </c>
      <c r="F375" s="15">
        <f>ROUND('Tổng hợp VT'!O$83,1)</f>
        <v>318734</v>
      </c>
      <c r="G375" s="81">
        <f>'Giá tháng'!G$74</f>
        <v>1</v>
      </c>
      <c r="H375" s="15">
        <f>ROUND(E375*F375*G375,1)</f>
        <v>30279.7</v>
      </c>
    </row>
    <row r="376" spans="1:8" ht="27.75" customHeight="1">
      <c r="A376" s="127"/>
      <c r="B376" s="13" t="str">
        <f>'Giá tháng'!B$62</f>
        <v>M112.1301</v>
      </c>
      <c r="C376" s="14" t="str">
        <f>'Giá tháng'!C$62</f>
        <v>Máy đầm bê tông, dầm dùi - công suất : 1,5 kW</v>
      </c>
      <c r="D376" s="13" t="str">
        <f>'Giá tháng'!D$62</f>
        <v>ca</v>
      </c>
      <c r="E376" s="80">
        <f>HaoPhiVatTu!H$338</f>
        <v>0.18</v>
      </c>
      <c r="F376" s="15">
        <f>ROUND('Tổng hợp VT'!O$71,1)</f>
        <v>275463</v>
      </c>
      <c r="G376" s="81">
        <f>'Giá tháng'!G$62</f>
        <v>1</v>
      </c>
      <c r="H376" s="15">
        <f>ROUND(E376*F376*G376,1)</f>
        <v>49583.3</v>
      </c>
    </row>
    <row r="377" spans="1:8" ht="16.5" customHeight="1">
      <c r="A377" s="133"/>
      <c r="B377" s="24"/>
      <c r="C377" s="25" t="s">
        <v>776</v>
      </c>
      <c r="D377" s="24"/>
      <c r="E377" s="84"/>
      <c r="F377" s="26"/>
      <c r="G377" s="85"/>
      <c r="H377" s="26">
        <f>ROUND(SUM(H375:H376),1)</f>
        <v>79863</v>
      </c>
    </row>
    <row r="378" spans="1:8" ht="27.75" customHeight="1">
      <c r="A378" s="128">
        <f>'Công trình'!A101</f>
        <v>25</v>
      </c>
      <c r="B378" s="129" t="str">
        <f>'Công trình'!E101</f>
        <v>TT</v>
      </c>
      <c r="C378" s="130" t="str">
        <f>'Công trình'!F101</f>
        <v>Ghi chắn rác Composite, tải trọng 250KN, KT 880x380</v>
      </c>
      <c r="D378" s="129" t="str">
        <f>'Công trình'!G101</f>
        <v>Cái</v>
      </c>
      <c r="E378" s="65">
        <v>1</v>
      </c>
      <c r="F378" s="69"/>
      <c r="G378" s="67"/>
      <c r="H378" s="69"/>
    </row>
    <row r="379" spans="1:8" ht="16.5" customHeight="1">
      <c r="A379" s="131"/>
      <c r="B379" s="91"/>
      <c r="C379" s="90" t="s">
        <v>683</v>
      </c>
      <c r="D379" s="91"/>
      <c r="E379" s="93"/>
      <c r="F379" s="132"/>
      <c r="G379" s="94"/>
      <c r="H379" s="132">
        <f>ROUND(H380,1)</f>
        <v>1850000</v>
      </c>
    </row>
    <row r="380" spans="1:8" ht="16.5" customHeight="1">
      <c r="A380" s="133"/>
      <c r="B380" s="24" t="str">
        <f>""</f>
        <v/>
      </c>
      <c r="C380" s="25" t="s">
        <v>27</v>
      </c>
      <c r="D380" s="24" t="str">
        <f>""</f>
        <v/>
      </c>
      <c r="E380" s="84">
        <v>1</v>
      </c>
      <c r="F380" s="26">
        <f>ROUND('Tổng hợp VT'!O7,1)</f>
        <v>1850000</v>
      </c>
      <c r="G380" s="85"/>
      <c r="H380" s="26">
        <f>ROUND(E380*F380,1)</f>
        <v>1850000</v>
      </c>
    </row>
    <row r="381" spans="1:8" ht="27.75" customHeight="1">
      <c r="A381" s="128">
        <f>'Công trình'!A104</f>
        <v>26</v>
      </c>
      <c r="B381" s="129" t="str">
        <f>'Công trình'!E104</f>
        <v>AB.25102</v>
      </c>
      <c r="C381" s="130" t="str">
        <f>'Công trình'!F104</f>
        <v>Đào móng cống</v>
      </c>
      <c r="D381" s="129" t="str">
        <f>'Công trình'!G104</f>
        <v>100m3</v>
      </c>
      <c r="E381" s="65">
        <v>1</v>
      </c>
      <c r="F381" s="69"/>
      <c r="G381" s="67"/>
      <c r="H381" s="69"/>
    </row>
    <row r="382" spans="1:8" ht="16.5" customHeight="1">
      <c r="A382" s="131"/>
      <c r="B382" s="91"/>
      <c r="C382" s="90" t="s">
        <v>678</v>
      </c>
      <c r="D382" s="91"/>
      <c r="E382" s="93"/>
      <c r="F382" s="132"/>
      <c r="G382" s="94"/>
      <c r="H382" s="132">
        <f>ROUND(H383,1)</f>
        <v>863081.7</v>
      </c>
    </row>
    <row r="383" spans="1:8" ht="16.5" hidden="1" customHeight="1">
      <c r="A383" s="127"/>
      <c r="B383" s="13" t="str">
        <f>'Giá tháng'!B$48</f>
        <v>N1.30</v>
      </c>
      <c r="C383" s="14" t="str">
        <f>'Giá tháng'!C$48</f>
        <v>Nhân công 3,0/7 - Nhóm 1</v>
      </c>
      <c r="D383" s="13" t="str">
        <f>'Giá tháng'!D$48</f>
        <v>công</v>
      </c>
      <c r="E383" s="80">
        <f>HaoPhiVatTu!G$341</f>
        <v>3.9</v>
      </c>
      <c r="F383" s="15">
        <f>ROUND('Tổng hợp VT'!O$56,1)</f>
        <v>221303</v>
      </c>
      <c r="G383" s="81">
        <f>'Giá tháng'!G$48</f>
        <v>1</v>
      </c>
      <c r="H383" s="15">
        <f>ROUND(E383*F383*G383,1)</f>
        <v>863081.7</v>
      </c>
    </row>
    <row r="384" spans="1:8" ht="16.5" customHeight="1">
      <c r="A384" s="131"/>
      <c r="B384" s="91"/>
      <c r="C384" s="90" t="s">
        <v>679</v>
      </c>
      <c r="D384" s="91"/>
      <c r="E384" s="93"/>
      <c r="F384" s="132"/>
      <c r="G384" s="94"/>
      <c r="H384" s="132">
        <f>ROUND(H385,1)</f>
        <v>1313771</v>
      </c>
    </row>
    <row r="385" spans="1:8" ht="27.75" customHeight="1">
      <c r="A385" s="133"/>
      <c r="B385" s="24" t="str">
        <f>'Giá tháng'!B$58</f>
        <v>M101.0101</v>
      </c>
      <c r="C385" s="25" t="str">
        <f>'Giá tháng'!C$58</f>
        <v>Máy đào một gầu, bánh xích - dung tích gầu : 0,40 m3</v>
      </c>
      <c r="D385" s="24" t="str">
        <f>'Giá tháng'!D$58</f>
        <v>ca</v>
      </c>
      <c r="E385" s="84">
        <f>HaoPhiVatTu!H$343</f>
        <v>0.63100000000000001</v>
      </c>
      <c r="F385" s="26">
        <f>ROUND('Tổng hợp VT'!O$67,1)</f>
        <v>2082046</v>
      </c>
      <c r="G385" s="85">
        <f>'Giá tháng'!G$58</f>
        <v>1</v>
      </c>
      <c r="H385" s="26">
        <f>ROUND(E385*F385*G385,1)</f>
        <v>1313771</v>
      </c>
    </row>
    <row r="386" spans="1:8" ht="16.5" customHeight="1">
      <c r="A386" s="128">
        <f>'Công trình'!A106</f>
        <v>44</v>
      </c>
      <c r="B386" s="129" t="str">
        <f>'Công trình'!E106</f>
        <v>AB.11312</v>
      </c>
      <c r="C386" s="130" t="str">
        <f>'Công trình'!F106</f>
        <v>Đào móng bằng thủ công 10%</v>
      </c>
      <c r="D386" s="129" t="str">
        <f>'Công trình'!G106</f>
        <v>m3</v>
      </c>
      <c r="E386" s="65">
        <v>1</v>
      </c>
      <c r="F386" s="69"/>
      <c r="G386" s="67"/>
      <c r="H386" s="69"/>
    </row>
    <row r="387" spans="1:8" ht="16.5" customHeight="1">
      <c r="A387" s="131"/>
      <c r="B387" s="91"/>
      <c r="C387" s="90" t="s">
        <v>678</v>
      </c>
      <c r="D387" s="91"/>
      <c r="E387" s="93"/>
      <c r="F387" s="132"/>
      <c r="G387" s="94"/>
      <c r="H387" s="132">
        <f>ROUND(H388,1)</f>
        <v>181468.5</v>
      </c>
    </row>
    <row r="388" spans="1:8" ht="16.5" hidden="1" customHeight="1">
      <c r="A388" s="133"/>
      <c r="B388" s="24" t="str">
        <f>'Giá tháng'!B$48</f>
        <v>N1.30</v>
      </c>
      <c r="C388" s="25" t="str">
        <f>'Giá tháng'!C$48</f>
        <v>Nhân công 3,0/7 - Nhóm 1</v>
      </c>
      <c r="D388" s="24" t="str">
        <f>'Giá tháng'!D$48</f>
        <v>công</v>
      </c>
      <c r="E388" s="84">
        <f>HaoPhiVatTu!G$346</f>
        <v>0.82</v>
      </c>
      <c r="F388" s="26">
        <f>ROUND('Tổng hợp VT'!O$56,1)</f>
        <v>221303</v>
      </c>
      <c r="G388" s="85">
        <f>'Giá tháng'!G$48</f>
        <v>1</v>
      </c>
      <c r="H388" s="26">
        <f>ROUND(E388*F388*G388,1)</f>
        <v>181468.5</v>
      </c>
    </row>
    <row r="389" spans="1:8" ht="16.5" customHeight="1">
      <c r="A389" s="128">
        <f>'Công trình'!A108</f>
        <v>27</v>
      </c>
      <c r="B389" s="129" t="str">
        <f>'Công trình'!E108</f>
        <v>AB.64112</v>
      </c>
      <c r="C389" s="130" t="str">
        <f>'Công trình'!F108</f>
        <v>Đắp đất thân cống K95</v>
      </c>
      <c r="D389" s="129" t="str">
        <f>'Công trình'!G108</f>
        <v>100m3</v>
      </c>
      <c r="E389" s="65">
        <v>1</v>
      </c>
      <c r="F389" s="69"/>
      <c r="G389" s="67"/>
      <c r="H389" s="69"/>
    </row>
    <row r="390" spans="1:8" ht="16.5" customHeight="1">
      <c r="A390" s="131"/>
      <c r="B390" s="91"/>
      <c r="C390" s="90" t="s">
        <v>678</v>
      </c>
      <c r="D390" s="91"/>
      <c r="E390" s="93"/>
      <c r="F390" s="132"/>
      <c r="G390" s="94"/>
      <c r="H390" s="132">
        <f>ROUND(H391,1)</f>
        <v>287693.90000000002</v>
      </c>
    </row>
    <row r="391" spans="1:8" ht="16.5" hidden="1" customHeight="1">
      <c r="A391" s="127"/>
      <c r="B391" s="13" t="str">
        <f>'Giá tháng'!B$48</f>
        <v>N1.30</v>
      </c>
      <c r="C391" s="14" t="str">
        <f>'Giá tháng'!C$48</f>
        <v>Nhân công 3,0/7 - Nhóm 1</v>
      </c>
      <c r="D391" s="13" t="str">
        <f>'Giá tháng'!D$48</f>
        <v>công</v>
      </c>
      <c r="E391" s="80">
        <f>HaoPhiVatTu!G$349</f>
        <v>1.3</v>
      </c>
      <c r="F391" s="15">
        <f>ROUND('Tổng hợp VT'!O$56,1)</f>
        <v>221303</v>
      </c>
      <c r="G391" s="81">
        <f>'Giá tháng'!G$48</f>
        <v>1</v>
      </c>
      <c r="H391" s="15">
        <f>ROUND(E391*F391*G391,1)</f>
        <v>287693.90000000002</v>
      </c>
    </row>
    <row r="392" spans="1:8" ht="16.5" customHeight="1">
      <c r="A392" s="131"/>
      <c r="B392" s="91"/>
      <c r="C392" s="90" t="s">
        <v>679</v>
      </c>
      <c r="D392" s="91"/>
      <c r="E392" s="93"/>
      <c r="F392" s="132"/>
      <c r="G392" s="94"/>
      <c r="H392" s="132">
        <f>ROUND(H396,1)</f>
        <v>674685.4</v>
      </c>
    </row>
    <row r="393" spans="1:8" ht="27.75" customHeight="1">
      <c r="A393" s="127"/>
      <c r="B393" s="13" t="str">
        <f>'Giá tháng'!B$69</f>
        <v>M101.1102</v>
      </c>
      <c r="C393" s="14" t="str">
        <f>'Giá tháng'!C$69</f>
        <v>Máy lu bánh thép tự hành - trọng lượng tĩnh : 8,5 T - 9 T</v>
      </c>
      <c r="D393" s="13" t="str">
        <f>'Giá tháng'!D$69</f>
        <v>ca</v>
      </c>
      <c r="E393" s="80">
        <f>HaoPhiVatTu!H$351</f>
        <v>0.3</v>
      </c>
      <c r="F393" s="15">
        <f>ROUND('Tổng hợp VT'!O$78,1)</f>
        <v>1160162</v>
      </c>
      <c r="G393" s="81">
        <f>'Giá tháng'!G$69</f>
        <v>1</v>
      </c>
      <c r="H393" s="15">
        <f>ROUND(E393*F393*G393,1)</f>
        <v>348048.6</v>
      </c>
    </row>
    <row r="394" spans="1:8" ht="27.75" customHeight="1">
      <c r="A394" s="127"/>
      <c r="B394" s="13" t="str">
        <f>'Giá tháng'!B$76</f>
        <v>M101.0503</v>
      </c>
      <c r="C394" s="14" t="str">
        <f>'Giá tháng'!C$76</f>
        <v>Máy ủi - công suất : 110,0 CV</v>
      </c>
      <c r="D394" s="13" t="str">
        <f>'Giá tháng'!D$76</f>
        <v>ca</v>
      </c>
      <c r="E394" s="80">
        <f>HaoPhiVatTu!H$352</f>
        <v>0.15</v>
      </c>
      <c r="F394" s="15">
        <f>ROUND('Tổng hợp VT'!O$85,1)</f>
        <v>2111107</v>
      </c>
      <c r="G394" s="81">
        <f>'Giá tháng'!G$76</f>
        <v>1</v>
      </c>
      <c r="H394" s="15">
        <f>ROUND(E394*F394*G394,1)</f>
        <v>316666.09999999998</v>
      </c>
    </row>
    <row r="395" spans="1:8" ht="16.5" customHeight="1">
      <c r="A395" s="127"/>
      <c r="B395" s="13" t="s">
        <v>680</v>
      </c>
      <c r="C395" s="14" t="s">
        <v>681</v>
      </c>
      <c r="D395" s="13" t="s">
        <v>682</v>
      </c>
      <c r="E395" s="80">
        <f>HaoPhiVatTu!H$353</f>
        <v>1.5</v>
      </c>
      <c r="F395" s="15">
        <f>ROUND(SUM(H393:H394),1)</f>
        <v>664714.69999999995</v>
      </c>
      <c r="G395" s="81"/>
      <c r="H395" s="15">
        <f>ROUND(E395*F395/100,1)</f>
        <v>9970.7000000000007</v>
      </c>
    </row>
    <row r="396" spans="1:8" ht="16.5" customHeight="1">
      <c r="A396" s="133"/>
      <c r="B396" s="24"/>
      <c r="C396" s="25" t="s">
        <v>776</v>
      </c>
      <c r="D396" s="24"/>
      <c r="E396" s="84"/>
      <c r="F396" s="26"/>
      <c r="G396" s="85"/>
      <c r="H396" s="26">
        <f>ROUND(SUM(H393:H395),1)</f>
        <v>674685.4</v>
      </c>
    </row>
    <row r="397" spans="1:8" ht="40.5" customHeight="1">
      <c r="A397" s="128">
        <f>'Công trình'!A110</f>
        <v>28</v>
      </c>
      <c r="B397" s="129" t="str">
        <f>'Công trình'!E110</f>
        <v>AB.41412</v>
      </c>
      <c r="C397" s="130" t="str">
        <f>'Công trình'!F110</f>
        <v>Vận chuyển đất bằng ôtô tự đổ 5 tấn trong phạm vi &lt;= 1000m, đất cấp II</v>
      </c>
      <c r="D397" s="129" t="str">
        <f>'Công trình'!G110</f>
        <v>100m3</v>
      </c>
      <c r="E397" s="65">
        <v>1</v>
      </c>
      <c r="F397" s="69"/>
      <c r="G397" s="67"/>
      <c r="H397" s="69"/>
    </row>
    <row r="398" spans="1:8" ht="16.5" customHeight="1">
      <c r="A398" s="131"/>
      <c r="B398" s="91"/>
      <c r="C398" s="90" t="s">
        <v>679</v>
      </c>
      <c r="D398" s="91"/>
      <c r="E398" s="93"/>
      <c r="F398" s="132"/>
      <c r="G398" s="94"/>
      <c r="H398" s="132">
        <f>ROUND(H399,1)</f>
        <v>2313202.9</v>
      </c>
    </row>
    <row r="399" spans="1:8" ht="27.75" customHeight="1">
      <c r="A399" s="133"/>
      <c r="B399" s="24" t="str">
        <f>'Giá tháng'!B$78</f>
        <v>M106.0202</v>
      </c>
      <c r="C399" s="25" t="str">
        <f>'Giá tháng'!C$78</f>
        <v>Ô tô tự đổ - trọng tải : 5,0 T</v>
      </c>
      <c r="D399" s="24" t="str">
        <f>'Giá tháng'!D$78</f>
        <v>ca</v>
      </c>
      <c r="E399" s="84">
        <f>HaoPhiVatTu!H$356</f>
        <v>1.329</v>
      </c>
      <c r="F399" s="26">
        <f>ROUND('Tổng hợp VT'!O$87,1)</f>
        <v>1740559</v>
      </c>
      <c r="G399" s="85">
        <f>'Giá tháng'!G$78</f>
        <v>1</v>
      </c>
      <c r="H399" s="26">
        <f>ROUND(E399*F399*G399,1)</f>
        <v>2313202.9</v>
      </c>
    </row>
    <row r="400" spans="1:8" ht="16.5" customHeight="1">
      <c r="A400" s="128">
        <f>'Công trình'!A112</f>
        <v>29</v>
      </c>
      <c r="B400" s="129" t="str">
        <f>'Công trình'!E112</f>
        <v>AK.98110</v>
      </c>
      <c r="C400" s="130" t="str">
        <f>'Công trình'!F112</f>
        <v>Đá dăm 2x4 lót móng, dày 10cm</v>
      </c>
      <c r="D400" s="129" t="str">
        <f>'Công trình'!G112</f>
        <v>m3</v>
      </c>
      <c r="E400" s="65">
        <v>1</v>
      </c>
      <c r="F400" s="69"/>
      <c r="G400" s="67"/>
      <c r="H400" s="69"/>
    </row>
    <row r="401" spans="1:8" ht="16.5" customHeight="1">
      <c r="A401" s="131"/>
      <c r="B401" s="91"/>
      <c r="C401" s="90" t="s">
        <v>683</v>
      </c>
      <c r="D401" s="91"/>
      <c r="E401" s="93"/>
      <c r="F401" s="132"/>
      <c r="G401" s="94"/>
      <c r="H401" s="132">
        <f>ROUND(H404,1)</f>
        <v>453000</v>
      </c>
    </row>
    <row r="402" spans="1:8" ht="16.5" hidden="1" customHeight="1">
      <c r="A402" s="127"/>
      <c r="B402" s="13" t="str">
        <f>'Giá tháng'!B$17</f>
        <v>A24.0025</v>
      </c>
      <c r="C402" s="14" t="str">
        <f>'Giá tháng'!C$17</f>
        <v>Đá dăm 2x4 lót móng</v>
      </c>
      <c r="D402" s="13" t="str">
        <f>'Giá tháng'!D$17</f>
        <v>m3</v>
      </c>
      <c r="E402" s="80">
        <f>HaoPhiVatTu!F$359</f>
        <v>1.2</v>
      </c>
      <c r="F402" s="15">
        <f>ROUND('Tổng hợp VT'!O$22,1)</f>
        <v>340000</v>
      </c>
      <c r="G402" s="81">
        <f>'Giá tháng'!G$17</f>
        <v>1</v>
      </c>
      <c r="H402" s="15">
        <f>ROUND(E402*F402*G402,1)</f>
        <v>408000</v>
      </c>
    </row>
    <row r="403" spans="1:8" ht="16.5" hidden="1" customHeight="1">
      <c r="A403" s="127"/>
      <c r="B403" s="13" t="str">
        <f>'Giá tháng'!B$7</f>
        <v>A24.1042</v>
      </c>
      <c r="C403" s="14" t="str">
        <f>'Giá tháng'!C$7</f>
        <v>Cát</v>
      </c>
      <c r="D403" s="13" t="str">
        <f>'Giá tháng'!D$7</f>
        <v>m3</v>
      </c>
      <c r="E403" s="80">
        <f>HaoPhiVatTu!F$360</f>
        <v>0.3</v>
      </c>
      <c r="F403" s="15">
        <f>ROUND('Tổng hợp VT'!O$12,1)</f>
        <v>150000</v>
      </c>
      <c r="G403" s="81">
        <f>'Giá tháng'!G$7</f>
        <v>1</v>
      </c>
      <c r="H403" s="15">
        <f>ROUND(E403*F403*G403,1)</f>
        <v>45000</v>
      </c>
    </row>
    <row r="404" spans="1:8" ht="16.5" customHeight="1">
      <c r="A404" s="127"/>
      <c r="B404" s="13"/>
      <c r="C404" s="14" t="s">
        <v>776</v>
      </c>
      <c r="D404" s="13"/>
      <c r="E404" s="80"/>
      <c r="F404" s="15"/>
      <c r="G404" s="81"/>
      <c r="H404" s="15">
        <f>ROUND(SUM(H402:H403),1)</f>
        <v>453000</v>
      </c>
    </row>
    <row r="405" spans="1:8" ht="16.5" customHeight="1">
      <c r="A405" s="131"/>
      <c r="B405" s="91"/>
      <c r="C405" s="90" t="s">
        <v>678</v>
      </c>
      <c r="D405" s="91"/>
      <c r="E405" s="93"/>
      <c r="F405" s="132"/>
      <c r="G405" s="94"/>
      <c r="H405" s="132">
        <f>ROUND(H406,1)</f>
        <v>420923.8</v>
      </c>
    </row>
    <row r="406" spans="1:8" ht="16.5" hidden="1" customHeight="1">
      <c r="A406" s="133"/>
      <c r="B406" s="24" t="str">
        <f>'Giá tháng'!B$53</f>
        <v>N2.40</v>
      </c>
      <c r="C406" s="25" t="str">
        <f>'Giá tháng'!C$53</f>
        <v>Nhân công 4,0/7 - Nhóm 2</v>
      </c>
      <c r="D406" s="24" t="str">
        <f>'Giá tháng'!D$53</f>
        <v>công</v>
      </c>
      <c r="E406" s="84">
        <f>HaoPhiVatTu!G$362</f>
        <v>1.48</v>
      </c>
      <c r="F406" s="26">
        <f>ROUND('Tổng hợp VT'!O$60,1)</f>
        <v>284408</v>
      </c>
      <c r="G406" s="85">
        <f>'Giá tháng'!G$53</f>
        <v>1</v>
      </c>
      <c r="H406" s="26">
        <f>ROUND(E406*F406*G406,1)</f>
        <v>420923.8</v>
      </c>
    </row>
    <row r="407" spans="1:8" ht="27.75" customHeight="1">
      <c r="A407" s="128">
        <f>'Công trình'!A114</f>
        <v>30</v>
      </c>
      <c r="B407" s="129" t="str">
        <f>'Công trình'!E114</f>
        <v>BB.11221</v>
      </c>
      <c r="C407" s="130" t="str">
        <f>'Công trình'!F114</f>
        <v>Lắp đặt ống bê tông bằng cần cẩu, đoạn ống dài 2m, D400mm</v>
      </c>
      <c r="D407" s="129" t="str">
        <f>'Công trình'!G114</f>
        <v>đoạn ống</v>
      </c>
      <c r="E407" s="65">
        <v>1</v>
      </c>
      <c r="F407" s="69"/>
      <c r="G407" s="67"/>
      <c r="H407" s="69"/>
    </row>
    <row r="408" spans="1:8" ht="16.5" customHeight="1">
      <c r="A408" s="131"/>
      <c r="B408" s="91"/>
      <c r="C408" s="90" t="s">
        <v>683</v>
      </c>
      <c r="D408" s="91"/>
      <c r="E408" s="93"/>
      <c r="F408" s="132"/>
      <c r="G408" s="94"/>
      <c r="H408" s="132">
        <f>ROUND(H411,1)</f>
        <v>890445</v>
      </c>
    </row>
    <row r="409" spans="1:8" ht="16.5" hidden="1" customHeight="1">
      <c r="A409" s="127"/>
      <c r="B409" s="13" t="str">
        <f>'Giá tháng'!B$35</f>
        <v>A33.0170</v>
      </c>
      <c r="C409" s="14" t="str">
        <f>'Giá tháng'!C$35</f>
        <v>Ống bê tông dài 2m D400mm</v>
      </c>
      <c r="D409" s="13" t="str">
        <f>'Giá tháng'!D$35</f>
        <v>đoạn</v>
      </c>
      <c r="E409" s="80">
        <f>HaoPhiVatTu!F$365</f>
        <v>1</v>
      </c>
      <c r="F409" s="15">
        <f>ROUND('Tổng hợp VT'!O$40,1)</f>
        <v>890000</v>
      </c>
      <c r="G409" s="81">
        <f>'Giá tháng'!G$35</f>
        <v>1</v>
      </c>
      <c r="H409" s="15">
        <f>ROUND(E409*F409*G409,1)</f>
        <v>890000</v>
      </c>
    </row>
    <row r="410" spans="1:8" ht="16.5" hidden="1" customHeight="1">
      <c r="A410" s="127"/>
      <c r="B410" s="13" t="s">
        <v>684</v>
      </c>
      <c r="C410" s="14" t="s">
        <v>686</v>
      </c>
      <c r="D410" s="13" t="s">
        <v>682</v>
      </c>
      <c r="E410" s="80">
        <f>HaoPhiVatTu!F$366</f>
        <v>0.05</v>
      </c>
      <c r="F410" s="15">
        <f>ROUND(SUM(H409:H409),1)</f>
        <v>890000</v>
      </c>
      <c r="G410" s="81"/>
      <c r="H410" s="15">
        <f>ROUND(E410*F410/100,1)</f>
        <v>445</v>
      </c>
    </row>
    <row r="411" spans="1:8" ht="16.5" customHeight="1">
      <c r="A411" s="127"/>
      <c r="B411" s="13"/>
      <c r="C411" s="14" t="s">
        <v>776</v>
      </c>
      <c r="D411" s="13"/>
      <c r="E411" s="80"/>
      <c r="F411" s="15"/>
      <c r="G411" s="81"/>
      <c r="H411" s="15">
        <f>ROUND(SUM(H409:H410),1)</f>
        <v>890445</v>
      </c>
    </row>
    <row r="412" spans="1:8" ht="16.5" customHeight="1">
      <c r="A412" s="131"/>
      <c r="B412" s="91"/>
      <c r="C412" s="90" t="s">
        <v>678</v>
      </c>
      <c r="D412" s="91"/>
      <c r="E412" s="93"/>
      <c r="F412" s="132"/>
      <c r="G412" s="94"/>
      <c r="H412" s="132">
        <f>ROUND(H413,1)</f>
        <v>91700</v>
      </c>
    </row>
    <row r="413" spans="1:8" ht="16.5" hidden="1" customHeight="1">
      <c r="A413" s="127"/>
      <c r="B413" s="13" t="str">
        <f>'Giá tháng'!B$51</f>
        <v>N2.35</v>
      </c>
      <c r="C413" s="14" t="str">
        <f>'Giá tháng'!C$51</f>
        <v>Nhân công 3,5/7 - Nhóm 2</v>
      </c>
      <c r="D413" s="13" t="str">
        <f>'Giá tháng'!D$51</f>
        <v>công</v>
      </c>
      <c r="E413" s="80">
        <f>HaoPhiVatTu!G$368</f>
        <v>0.35</v>
      </c>
      <c r="F413" s="15">
        <f>ROUND('Tổng hợp VT'!O$59,1)</f>
        <v>262000</v>
      </c>
      <c r="G413" s="81">
        <f>'Giá tháng'!G$51</f>
        <v>1</v>
      </c>
      <c r="H413" s="15">
        <f>ROUND(E413*F413*G413,1)</f>
        <v>91700</v>
      </c>
    </row>
    <row r="414" spans="1:8" ht="16.5" customHeight="1">
      <c r="A414" s="131"/>
      <c r="B414" s="91"/>
      <c r="C414" s="90" t="s">
        <v>679</v>
      </c>
      <c r="D414" s="91"/>
      <c r="E414" s="93"/>
      <c r="F414" s="132"/>
      <c r="G414" s="94"/>
      <c r="H414" s="132">
        <f>ROUND(H417,1)</f>
        <v>103745</v>
      </c>
    </row>
    <row r="415" spans="1:8" ht="27.75" customHeight="1">
      <c r="A415" s="127"/>
      <c r="B415" s="13" t="str">
        <f>'Giá tháng'!B$55</f>
        <v>M102.0201</v>
      </c>
      <c r="C415" s="14" t="str">
        <f>'Giá tháng'!C$55</f>
        <v>Cần cẩu bánh hơi 6 T</v>
      </c>
      <c r="D415" s="13" t="str">
        <f>'Giá tháng'!D$55</f>
        <v>ca</v>
      </c>
      <c r="E415" s="80">
        <f>HaoPhiVatTu!H$370</f>
        <v>5.6000000000000001E-2</v>
      </c>
      <c r="F415" s="15">
        <f>ROUND('Tổng hợp VT'!O$64,1)</f>
        <v>1764371</v>
      </c>
      <c r="G415" s="81">
        <f>'Giá tháng'!G$55</f>
        <v>1</v>
      </c>
      <c r="H415" s="15">
        <f>ROUND(E415*F415*G415,1)</f>
        <v>98804.800000000003</v>
      </c>
    </row>
    <row r="416" spans="1:8" ht="16.5" customHeight="1">
      <c r="A416" s="127"/>
      <c r="B416" s="13" t="s">
        <v>680</v>
      </c>
      <c r="C416" s="14" t="s">
        <v>681</v>
      </c>
      <c r="D416" s="13" t="s">
        <v>682</v>
      </c>
      <c r="E416" s="80">
        <f>HaoPhiVatTu!H$371</f>
        <v>5</v>
      </c>
      <c r="F416" s="15">
        <f>ROUND(SUM(H415:H415),1)</f>
        <v>98804.800000000003</v>
      </c>
      <c r="G416" s="81"/>
      <c r="H416" s="15">
        <f>ROUND(E416*F416/100,1)</f>
        <v>4940.2</v>
      </c>
    </row>
    <row r="417" spans="1:8" ht="16.5" customHeight="1">
      <c r="A417" s="133"/>
      <c r="B417" s="24"/>
      <c r="C417" s="25" t="s">
        <v>776</v>
      </c>
      <c r="D417" s="24"/>
      <c r="E417" s="84"/>
      <c r="F417" s="26"/>
      <c r="G417" s="85"/>
      <c r="H417" s="26">
        <f>ROUND(SUM(H415:H416),1)</f>
        <v>103745</v>
      </c>
    </row>
    <row r="418" spans="1:8" ht="16.5" customHeight="1">
      <c r="A418" s="128">
        <f>'Công trình'!A116</f>
        <v>31</v>
      </c>
      <c r="B418" s="129" t="str">
        <f>'Công trình'!E116</f>
        <v>TT</v>
      </c>
      <c r="C418" s="130" t="str">
        <f>'Công trình'!F116</f>
        <v>Lắp đặt đế cống D400</v>
      </c>
      <c r="D418" s="129" t="str">
        <f>'Công trình'!G116</f>
        <v>Cái</v>
      </c>
      <c r="E418" s="65">
        <v>1</v>
      </c>
      <c r="F418" s="69"/>
      <c r="G418" s="67"/>
      <c r="H418" s="69"/>
    </row>
    <row r="419" spans="1:8" ht="16.5" customHeight="1">
      <c r="A419" s="131"/>
      <c r="B419" s="91"/>
      <c r="C419" s="90" t="s">
        <v>683</v>
      </c>
      <c r="D419" s="91"/>
      <c r="E419" s="93"/>
      <c r="F419" s="132"/>
      <c r="G419" s="94"/>
      <c r="H419" s="132">
        <f>ROUND(H420,1)</f>
        <v>110000</v>
      </c>
    </row>
    <row r="420" spans="1:8" ht="16.5" customHeight="1">
      <c r="A420" s="127"/>
      <c r="B420" s="13" t="str">
        <f>""</f>
        <v/>
      </c>
      <c r="C420" s="14" t="s">
        <v>27</v>
      </c>
      <c r="D420" s="13" t="str">
        <f>""</f>
        <v/>
      </c>
      <c r="E420" s="80">
        <v>1</v>
      </c>
      <c r="F420" s="15">
        <f>ROUND('Tổng hợp VT'!O8,1)</f>
        <v>110000</v>
      </c>
      <c r="G420" s="81"/>
      <c r="H420" s="15">
        <f>ROUND(E420*F420,1)</f>
        <v>110000</v>
      </c>
    </row>
    <row r="421" spans="1:8" ht="16.5" customHeight="1">
      <c r="A421" s="131"/>
      <c r="B421" s="91"/>
      <c r="C421" s="90" t="s">
        <v>678</v>
      </c>
      <c r="D421" s="91"/>
      <c r="E421" s="93"/>
      <c r="F421" s="132"/>
      <c r="G421" s="94"/>
      <c r="H421" s="132">
        <f>ROUND(H422,1)</f>
        <v>25000</v>
      </c>
    </row>
    <row r="422" spans="1:8" ht="16.5" customHeight="1">
      <c r="A422" s="133"/>
      <c r="B422" s="24" t="str">
        <f>""</f>
        <v/>
      </c>
      <c r="C422" s="25" t="s">
        <v>29</v>
      </c>
      <c r="D422" s="24" t="str">
        <f>""</f>
        <v/>
      </c>
      <c r="E422" s="84">
        <v>1</v>
      </c>
      <c r="F422" s="26">
        <f>ROUND('Tổng hợp VT'!O54,1)</f>
        <v>25000</v>
      </c>
      <c r="G422" s="85"/>
      <c r="H422" s="26">
        <f>ROUND(E422*F422,1)</f>
        <v>25000</v>
      </c>
    </row>
    <row r="423" spans="1:8" ht="27.75" customHeight="1">
      <c r="A423" s="128">
        <f>'Công trình'!A118</f>
        <v>32</v>
      </c>
      <c r="B423" s="129" t="str">
        <f>'Công trình'!E118</f>
        <v>BB.13605</v>
      </c>
      <c r="C423" s="130" t="str">
        <f>'Công trình'!F118</f>
        <v>Nối ống bê tông bằng gioăng cao su, đường kính 400mm</v>
      </c>
      <c r="D423" s="129" t="str">
        <f>'Công trình'!G118</f>
        <v>mối nối</v>
      </c>
      <c r="E423" s="65">
        <v>1</v>
      </c>
      <c r="F423" s="69"/>
      <c r="G423" s="67"/>
      <c r="H423" s="69"/>
    </row>
    <row r="424" spans="1:8" ht="16.5" customHeight="1">
      <c r="A424" s="131"/>
      <c r="B424" s="91"/>
      <c r="C424" s="90" t="s">
        <v>683</v>
      </c>
      <c r="D424" s="91"/>
      <c r="E424" s="93"/>
      <c r="F424" s="132"/>
      <c r="G424" s="94"/>
      <c r="H424" s="132">
        <f>ROUND(H427,1)</f>
        <v>121320</v>
      </c>
    </row>
    <row r="425" spans="1:8" ht="16.5" hidden="1" customHeight="1">
      <c r="A425" s="127"/>
      <c r="B425" s="13" t="str">
        <f>'Giá tháng'!B$25</f>
        <v>A33.0269</v>
      </c>
      <c r="C425" s="14" t="str">
        <f>'Giá tháng'!C$25</f>
        <v>Gioăng cao su D400mm</v>
      </c>
      <c r="D425" s="13" t="str">
        <f>'Giá tháng'!D$25</f>
        <v>cái</v>
      </c>
      <c r="E425" s="80">
        <f>HaoPhiVatTu!F$374</f>
        <v>1</v>
      </c>
      <c r="F425" s="15">
        <f>ROUND('Tổng hợp VT'!O$30,1)</f>
        <v>120000</v>
      </c>
      <c r="G425" s="81">
        <f>'Giá tháng'!G$25</f>
        <v>1</v>
      </c>
      <c r="H425" s="15">
        <f>ROUND(E425*F425*G425,1)</f>
        <v>120000</v>
      </c>
    </row>
    <row r="426" spans="1:8" ht="16.5" hidden="1" customHeight="1">
      <c r="A426" s="127"/>
      <c r="B426" s="13" t="str">
        <f>'Giá tháng'!B$28</f>
        <v>A33.0240</v>
      </c>
      <c r="C426" s="14" t="str">
        <f>'Giá tháng'!C$28</f>
        <v>Mỡ bôi trơn</v>
      </c>
      <c r="D426" s="13" t="str">
        <f>'Giá tháng'!D$28</f>
        <v>kg</v>
      </c>
      <c r="E426" s="80">
        <f>HaoPhiVatTu!F$375</f>
        <v>6.6000000000000003E-2</v>
      </c>
      <c r="F426" s="15">
        <f>ROUND('Tổng hợp VT'!O$33,1)</f>
        <v>20000</v>
      </c>
      <c r="G426" s="81">
        <f>'Giá tháng'!G$28</f>
        <v>1</v>
      </c>
      <c r="H426" s="15">
        <f>ROUND(E426*F426*G426,1)</f>
        <v>1320</v>
      </c>
    </row>
    <row r="427" spans="1:8" ht="16.5" customHeight="1">
      <c r="A427" s="127"/>
      <c r="B427" s="13"/>
      <c r="C427" s="14" t="s">
        <v>776</v>
      </c>
      <c r="D427" s="13"/>
      <c r="E427" s="80"/>
      <c r="F427" s="15"/>
      <c r="G427" s="81"/>
      <c r="H427" s="15">
        <f>ROUND(SUM(H425:H426),1)</f>
        <v>121320</v>
      </c>
    </row>
    <row r="428" spans="1:8" ht="16.5" customHeight="1">
      <c r="A428" s="131"/>
      <c r="B428" s="91"/>
      <c r="C428" s="90" t="s">
        <v>678</v>
      </c>
      <c r="D428" s="91"/>
      <c r="E428" s="93"/>
      <c r="F428" s="132"/>
      <c r="G428" s="94"/>
      <c r="H428" s="132">
        <f>ROUND(H429,1)</f>
        <v>23580</v>
      </c>
    </row>
    <row r="429" spans="1:8" ht="16.5" hidden="1" customHeight="1">
      <c r="A429" s="133"/>
      <c r="B429" s="24" t="str">
        <f>'Giá tháng'!B$51</f>
        <v>N2.35</v>
      </c>
      <c r="C429" s="25" t="str">
        <f>'Giá tháng'!C$51</f>
        <v>Nhân công 3,5/7 - Nhóm 2</v>
      </c>
      <c r="D429" s="24" t="str">
        <f>'Giá tháng'!D$51</f>
        <v>công</v>
      </c>
      <c r="E429" s="84">
        <f>HaoPhiVatTu!G$377</f>
        <v>0.09</v>
      </c>
      <c r="F429" s="26">
        <f>ROUND('Tổng hợp VT'!O$59,1)</f>
        <v>262000</v>
      </c>
      <c r="G429" s="85">
        <f>'Giá tháng'!G$51</f>
        <v>1</v>
      </c>
      <c r="H429" s="26">
        <f>ROUND(E429*F429*G429,1)</f>
        <v>23580</v>
      </c>
    </row>
    <row r="430" spans="1:8" ht="27.75" customHeight="1">
      <c r="A430" s="128">
        <f>'Công trình'!A120</f>
        <v>33</v>
      </c>
      <c r="B430" s="129" t="str">
        <f>'Công trình'!E120</f>
        <v>BB.13503</v>
      </c>
      <c r="C430" s="130" t="str">
        <f>'Công trình'!F120</f>
        <v>Nối ống bê tông bằng phương pháp xảm, đường kính 400mm</v>
      </c>
      <c r="D430" s="129" t="str">
        <f>'Công trình'!G120</f>
        <v>mối nối</v>
      </c>
      <c r="E430" s="65">
        <v>1</v>
      </c>
      <c r="F430" s="69"/>
      <c r="G430" s="67"/>
      <c r="H430" s="69"/>
    </row>
    <row r="431" spans="1:8" ht="16.5" customHeight="1">
      <c r="A431" s="131"/>
      <c r="B431" s="91"/>
      <c r="C431" s="90" t="s">
        <v>683</v>
      </c>
      <c r="D431" s="91"/>
      <c r="E431" s="93"/>
      <c r="F431" s="132"/>
      <c r="G431" s="94"/>
      <c r="H431" s="132">
        <f>ROUND(H435,1)</f>
        <v>7814.4</v>
      </c>
    </row>
    <row r="432" spans="1:8" ht="27.75" hidden="1" customHeight="1">
      <c r="A432" s="127"/>
      <c r="B432" s="13" t="str">
        <f>'Giá tháng'!B$45</f>
        <v>A24.0797A</v>
      </c>
      <c r="C432" s="14" t="str">
        <f>'Giá tháng'!C$45</f>
        <v>Xi măng PCB30</v>
      </c>
      <c r="D432" s="13" t="str">
        <f>'Giá tháng'!D$45</f>
        <v>kg</v>
      </c>
      <c r="E432" s="80">
        <f>HaoPhiVatTu!F$380</f>
        <v>3.0528</v>
      </c>
      <c r="F432" s="15">
        <f>ROUND('Tổng hợp VT'!O$49,1)</f>
        <v>1481</v>
      </c>
      <c r="G432" s="81">
        <f>'Giá tháng'!G$45</f>
        <v>1</v>
      </c>
      <c r="H432" s="15">
        <f>ROUND(E432*F432*G432,1)</f>
        <v>4521.2</v>
      </c>
    </row>
    <row r="433" spans="1:8" ht="16.5" hidden="1" customHeight="1">
      <c r="A433" s="127"/>
      <c r="B433" s="13" t="str">
        <f>'Giá tháng'!B$10</f>
        <v>A24.0180</v>
      </c>
      <c r="C433" s="14" t="str">
        <f>'Giá tháng'!C$10</f>
        <v>Cát vàng</v>
      </c>
      <c r="D433" s="13" t="str">
        <f>'Giá tháng'!D$10</f>
        <v>m3</v>
      </c>
      <c r="E433" s="80">
        <f>HaoPhiVatTu!F$381</f>
        <v>6.79E-3</v>
      </c>
      <c r="F433" s="15">
        <f>ROUND('Tổng hợp VT'!O$15,1)</f>
        <v>480000</v>
      </c>
      <c r="G433" s="81">
        <f>'Giá tháng'!G$10</f>
        <v>1</v>
      </c>
      <c r="H433" s="15">
        <f>ROUND(E433*F433*G433,1)</f>
        <v>3259.2</v>
      </c>
    </row>
    <row r="434" spans="1:8" ht="16.5" hidden="1" customHeight="1">
      <c r="A434" s="127"/>
      <c r="B434" s="13" t="str">
        <f>'Giá tháng'!B$31</f>
        <v>A24.0524</v>
      </c>
      <c r="C434" s="14" t="str">
        <f>'Giá tháng'!C$31</f>
        <v>Nước</v>
      </c>
      <c r="D434" s="13" t="str">
        <f>'Giá tháng'!D$31</f>
        <v>lít</v>
      </c>
      <c r="E434" s="80">
        <f>HaoPhiVatTu!F$382</f>
        <v>1.7023999999999999</v>
      </c>
      <c r="F434" s="15">
        <f>ROUND('Tổng hợp VT'!O$36,1)</f>
        <v>20</v>
      </c>
      <c r="G434" s="81">
        <f>'Giá tháng'!G$31</f>
        <v>1</v>
      </c>
      <c r="H434" s="15">
        <f>ROUND(E434*F434*G434,1)</f>
        <v>34</v>
      </c>
    </row>
    <row r="435" spans="1:8" ht="16.5" customHeight="1">
      <c r="A435" s="127"/>
      <c r="B435" s="13"/>
      <c r="C435" s="14" t="s">
        <v>776</v>
      </c>
      <c r="D435" s="13"/>
      <c r="E435" s="80"/>
      <c r="F435" s="15"/>
      <c r="G435" s="81"/>
      <c r="H435" s="15">
        <f>ROUND(SUM(H432:H434),1)</f>
        <v>7814.4</v>
      </c>
    </row>
    <row r="436" spans="1:8" ht="16.5" customHeight="1">
      <c r="A436" s="131"/>
      <c r="B436" s="91"/>
      <c r="C436" s="90" t="s">
        <v>678</v>
      </c>
      <c r="D436" s="91"/>
      <c r="E436" s="93"/>
      <c r="F436" s="132"/>
      <c r="G436" s="94"/>
      <c r="H436" s="132">
        <f>ROUND(H437,1)</f>
        <v>23580</v>
      </c>
    </row>
    <row r="437" spans="1:8" ht="16.5" hidden="1" customHeight="1">
      <c r="A437" s="133"/>
      <c r="B437" s="24" t="str">
        <f>'Giá tháng'!B$51</f>
        <v>N2.35</v>
      </c>
      <c r="C437" s="25" t="str">
        <f>'Giá tháng'!C$51</f>
        <v>Nhân công 3,5/7 - Nhóm 2</v>
      </c>
      <c r="D437" s="24" t="str">
        <f>'Giá tháng'!D$51</f>
        <v>công</v>
      </c>
      <c r="E437" s="84">
        <f>HaoPhiVatTu!G$384</f>
        <v>0.09</v>
      </c>
      <c r="F437" s="26">
        <f>ROUND('Tổng hợp VT'!O$59,1)</f>
        <v>262000</v>
      </c>
      <c r="G437" s="85">
        <f>'Giá tháng'!G$51</f>
        <v>1</v>
      </c>
      <c r="H437" s="26">
        <f>ROUND(E437*F437*G437,1)</f>
        <v>23580</v>
      </c>
    </row>
    <row r="438" spans="1:8" ht="27.75" customHeight="1">
      <c r="A438" s="128">
        <f>'Công trình'!A123</f>
        <v>34</v>
      </c>
      <c r="B438" s="129" t="str">
        <f>'Công trình'!E123</f>
        <v>AB.63111</v>
      </c>
      <c r="C438" s="130" t="str">
        <f>'Công trình'!F123</f>
        <v>Đắp đất núi bờ quây, dụng trọng 1.5T/m3</v>
      </c>
      <c r="D438" s="129" t="str">
        <f>'Công trình'!G123</f>
        <v>100m3</v>
      </c>
      <c r="E438" s="65">
        <v>1</v>
      </c>
      <c r="F438" s="69"/>
      <c r="G438" s="67"/>
      <c r="H438" s="69"/>
    </row>
    <row r="439" spans="1:8" ht="16.5" customHeight="1">
      <c r="A439" s="131"/>
      <c r="B439" s="91"/>
      <c r="C439" s="90" t="s">
        <v>678</v>
      </c>
      <c r="D439" s="91"/>
      <c r="E439" s="93"/>
      <c r="F439" s="132"/>
      <c r="G439" s="94"/>
      <c r="H439" s="132">
        <f>ROUND(H440,1)</f>
        <v>219090</v>
      </c>
    </row>
    <row r="440" spans="1:8" ht="16.5" hidden="1" customHeight="1">
      <c r="A440" s="127"/>
      <c r="B440" s="13" t="str">
        <f>'Giá tháng'!B$48</f>
        <v>N1.30</v>
      </c>
      <c r="C440" s="14" t="str">
        <f>'Giá tháng'!C$48</f>
        <v>Nhân công 3,0/7 - Nhóm 1</v>
      </c>
      <c r="D440" s="13" t="str">
        <f>'Giá tháng'!D$48</f>
        <v>công</v>
      </c>
      <c r="E440" s="80">
        <f>HaoPhiVatTu!G$387</f>
        <v>0.99</v>
      </c>
      <c r="F440" s="15">
        <f>ROUND('Tổng hợp VT'!O$56,1)</f>
        <v>221303</v>
      </c>
      <c r="G440" s="81">
        <f>'Giá tháng'!G$48</f>
        <v>1</v>
      </c>
      <c r="H440" s="15">
        <f>ROUND(E440*F440*G440,1)</f>
        <v>219090</v>
      </c>
    </row>
    <row r="441" spans="1:8" ht="16.5" customHeight="1">
      <c r="A441" s="131"/>
      <c r="B441" s="91"/>
      <c r="C441" s="90" t="s">
        <v>679</v>
      </c>
      <c r="D441" s="91"/>
      <c r="E441" s="93"/>
      <c r="F441" s="132"/>
      <c r="G441" s="94"/>
      <c r="H441" s="132">
        <f>ROUND(H444,1)</f>
        <v>463189.1</v>
      </c>
    </row>
    <row r="442" spans="1:8" ht="27.75" customHeight="1">
      <c r="A442" s="127"/>
      <c r="B442" s="13" t="str">
        <f>'Giá tháng'!B$69</f>
        <v>M101.1102</v>
      </c>
      <c r="C442" s="14" t="str">
        <f>'Giá tháng'!C$69</f>
        <v>Máy lu bánh thép tự hành - trọng lượng tĩnh : 8,5 T - 9 T</v>
      </c>
      <c r="D442" s="13" t="str">
        <f>'Giá tháng'!D$69</f>
        <v>ca</v>
      </c>
      <c r="E442" s="80">
        <f>HaoPhiVatTu!H$389</f>
        <v>0.21</v>
      </c>
      <c r="F442" s="15">
        <f>ROUND('Tổng hợp VT'!O$78,1)</f>
        <v>1160162</v>
      </c>
      <c r="G442" s="81">
        <f>'Giá tháng'!G$69</f>
        <v>1</v>
      </c>
      <c r="H442" s="15">
        <f>ROUND(E442*F442*G442,1)</f>
        <v>243634</v>
      </c>
    </row>
    <row r="443" spans="1:8" ht="27.75" customHeight="1">
      <c r="A443" s="127"/>
      <c r="B443" s="13" t="str">
        <f>'Giá tháng'!B$76</f>
        <v>M101.0503</v>
      </c>
      <c r="C443" s="14" t="str">
        <f>'Giá tháng'!C$76</f>
        <v>Máy ủi - công suất : 110,0 CV</v>
      </c>
      <c r="D443" s="13" t="str">
        <f>'Giá tháng'!D$76</f>
        <v>ca</v>
      </c>
      <c r="E443" s="80">
        <f>HaoPhiVatTu!H$390</f>
        <v>0.104</v>
      </c>
      <c r="F443" s="15">
        <f>ROUND('Tổng hợp VT'!O$85,1)</f>
        <v>2111107</v>
      </c>
      <c r="G443" s="81">
        <f>'Giá tháng'!G$76</f>
        <v>1</v>
      </c>
      <c r="H443" s="15">
        <f>ROUND(E443*F443*G443,1)</f>
        <v>219555.1</v>
      </c>
    </row>
    <row r="444" spans="1:8" ht="16.5" customHeight="1">
      <c r="A444" s="133"/>
      <c r="B444" s="24"/>
      <c r="C444" s="25" t="s">
        <v>776</v>
      </c>
      <c r="D444" s="24"/>
      <c r="E444" s="84"/>
      <c r="F444" s="26"/>
      <c r="G444" s="85"/>
      <c r="H444" s="26">
        <f>ROUND(SUM(H442:H443),1)</f>
        <v>463189.1</v>
      </c>
    </row>
    <row r="445" spans="1:8" ht="16.5" customHeight="1">
      <c r="A445" s="128">
        <f>'Công trình'!A125</f>
        <v>35</v>
      </c>
      <c r="B445" s="129" t="str">
        <f>'Công trình'!E125</f>
        <v>TT</v>
      </c>
      <c r="C445" s="130" t="str">
        <f>'Công trình'!F125</f>
        <v>Tiền đất núi đắp bờ quây</v>
      </c>
      <c r="D445" s="129" t="str">
        <f>'Công trình'!G125</f>
        <v>m3</v>
      </c>
      <c r="E445" s="65">
        <v>1</v>
      </c>
      <c r="F445" s="69"/>
      <c r="G445" s="67"/>
      <c r="H445" s="69"/>
    </row>
    <row r="446" spans="1:8" ht="16.5" customHeight="1">
      <c r="A446" s="131"/>
      <c r="B446" s="91"/>
      <c r="C446" s="90" t="s">
        <v>683</v>
      </c>
      <c r="D446" s="91"/>
      <c r="E446" s="93"/>
      <c r="F446" s="132"/>
      <c r="G446" s="94"/>
      <c r="H446" s="132">
        <f>ROUND(H447,1)</f>
        <v>190000</v>
      </c>
    </row>
    <row r="447" spans="1:8" ht="16.5" customHeight="1">
      <c r="A447" s="133"/>
      <c r="B447" s="24" t="str">
        <f>""</f>
        <v/>
      </c>
      <c r="C447" s="25" t="s">
        <v>27</v>
      </c>
      <c r="D447" s="24" t="str">
        <f>""</f>
        <v/>
      </c>
      <c r="E447" s="84">
        <v>1</v>
      </c>
      <c r="F447" s="26">
        <f>ROUND('Tổng hợp VT'!O9,1)</f>
        <v>190000</v>
      </c>
      <c r="G447" s="85"/>
      <c r="H447" s="26">
        <f>ROUND(E447*F447,1)</f>
        <v>190000</v>
      </c>
    </row>
    <row r="448" spans="1:8" ht="16.5" customHeight="1">
      <c r="A448" s="128">
        <f>'Công trình'!A127</f>
        <v>36</v>
      </c>
      <c r="B448" s="129" t="str">
        <f>'Công trình'!E127</f>
        <v>AC.12121</v>
      </c>
      <c r="C448" s="130" t="str">
        <f>'Công trình'!F127</f>
        <v>Cọc tre D60-80; L=2.8m</v>
      </c>
      <c r="D448" s="129" t="str">
        <f>'Công trình'!G127</f>
        <v>100m</v>
      </c>
      <c r="E448" s="65">
        <v>1</v>
      </c>
      <c r="F448" s="69"/>
      <c r="G448" s="67"/>
      <c r="H448" s="69"/>
    </row>
    <row r="449" spans="1:8" ht="16.5" customHeight="1">
      <c r="A449" s="131"/>
      <c r="B449" s="91"/>
      <c r="C449" s="90" t="s">
        <v>683</v>
      </c>
      <c r="D449" s="91"/>
      <c r="E449" s="93"/>
      <c r="F449" s="132"/>
      <c r="G449" s="94"/>
      <c r="H449" s="132">
        <f>ROUND(H450,1)</f>
        <v>546000</v>
      </c>
    </row>
    <row r="450" spans="1:8" ht="16.5" hidden="1" customHeight="1">
      <c r="A450" s="127"/>
      <c r="B450" s="13" t="str">
        <f>'Giá tháng'!B$13</f>
        <v>A24.0227</v>
      </c>
      <c r="C450" s="14" t="str">
        <f>'Giá tháng'!C$13</f>
        <v>Cọc tre &gt;2,5m</v>
      </c>
      <c r="D450" s="13" t="str">
        <f>'Giá tháng'!D$13</f>
        <v>m</v>
      </c>
      <c r="E450" s="80">
        <f>HaoPhiVatTu!F$393</f>
        <v>105</v>
      </c>
      <c r="F450" s="15">
        <f>ROUND('Tổng hợp VT'!O$18,1)</f>
        <v>5200</v>
      </c>
      <c r="G450" s="81">
        <f>'Giá tháng'!G$13</f>
        <v>1</v>
      </c>
      <c r="H450" s="15">
        <f>ROUND(E450*F450*G450,1)</f>
        <v>546000</v>
      </c>
    </row>
    <row r="451" spans="1:8" ht="16.5" customHeight="1">
      <c r="A451" s="131"/>
      <c r="B451" s="91"/>
      <c r="C451" s="90" t="s">
        <v>678</v>
      </c>
      <c r="D451" s="91"/>
      <c r="E451" s="93"/>
      <c r="F451" s="132"/>
      <c r="G451" s="94"/>
      <c r="H451" s="132">
        <f>ROUND(H452,1)</f>
        <v>79065.399999999994</v>
      </c>
    </row>
    <row r="452" spans="1:8" ht="16.5" hidden="1" customHeight="1">
      <c r="A452" s="127"/>
      <c r="B452" s="13" t="str">
        <f>'Giá tháng'!B$49</f>
        <v>N2.30</v>
      </c>
      <c r="C452" s="14" t="str">
        <f>'Giá tháng'!C$49</f>
        <v>Nhân công 3,0/7 - Nhóm 2</v>
      </c>
      <c r="D452" s="13" t="str">
        <f>'Giá tháng'!D$49</f>
        <v>công</v>
      </c>
      <c r="E452" s="80">
        <f>HaoPhiVatTu!G$395</f>
        <v>0.33</v>
      </c>
      <c r="F452" s="15">
        <f>ROUND('Tổng hợp VT'!O$57,1)</f>
        <v>239592</v>
      </c>
      <c r="G452" s="81">
        <f>'Giá tháng'!G$49</f>
        <v>1</v>
      </c>
      <c r="H452" s="15">
        <f>ROUND(E452*F452*G452,1)</f>
        <v>79065.399999999994</v>
      </c>
    </row>
    <row r="453" spans="1:8" ht="16.5" customHeight="1">
      <c r="A453" s="131"/>
      <c r="B453" s="91"/>
      <c r="C453" s="90" t="s">
        <v>679</v>
      </c>
      <c r="D453" s="91"/>
      <c r="E453" s="93"/>
      <c r="F453" s="132"/>
      <c r="G453" s="94"/>
      <c r="H453" s="132">
        <f>ROUND(H454,1)</f>
        <v>235886.2</v>
      </c>
    </row>
    <row r="454" spans="1:8" ht="27.75" customHeight="1">
      <c r="A454" s="133"/>
      <c r="B454" s="24" t="str">
        <f>'Giá tháng'!B$59</f>
        <v>M101.0102</v>
      </c>
      <c r="C454" s="25" t="str">
        <f>'Giá tháng'!C$59</f>
        <v>Máy đào một gầu, bánh xích - dung tích gầu : 0,50 m3</v>
      </c>
      <c r="D454" s="24" t="str">
        <f>'Giá tháng'!D$59</f>
        <v>ca</v>
      </c>
      <c r="E454" s="84">
        <f>HaoPhiVatTu!H$397</f>
        <v>9.8000000000000004E-2</v>
      </c>
      <c r="F454" s="26">
        <f>ROUND('Tổng hợp VT'!O$68,1)</f>
        <v>2407002</v>
      </c>
      <c r="G454" s="85">
        <f>'Giá tháng'!G$59</f>
        <v>1</v>
      </c>
      <c r="H454" s="26">
        <f>ROUND(E454*F454*G454,1)</f>
        <v>235886.2</v>
      </c>
    </row>
    <row r="455" spans="1:8" ht="16.5" customHeight="1">
      <c r="A455" s="128">
        <f>'Công trình'!A129</f>
        <v>37</v>
      </c>
      <c r="B455" s="129" t="str">
        <f>'Công trình'!E129</f>
        <v>TT</v>
      </c>
      <c r="C455" s="130" t="str">
        <f>'Công trình'!F129</f>
        <v>Phên nứa 2 lớp B=1,0m</v>
      </c>
      <c r="D455" s="129" t="str">
        <f>'Công trình'!G129</f>
        <v>m2</v>
      </c>
      <c r="E455" s="65">
        <v>1</v>
      </c>
      <c r="F455" s="69"/>
      <c r="G455" s="67"/>
      <c r="H455" s="69"/>
    </row>
    <row r="456" spans="1:8" ht="16.5" customHeight="1">
      <c r="A456" s="131"/>
      <c r="B456" s="91"/>
      <c r="C456" s="90" t="s">
        <v>683</v>
      </c>
      <c r="D456" s="91"/>
      <c r="E456" s="93"/>
      <c r="F456" s="132"/>
      <c r="G456" s="94"/>
      <c r="H456" s="132">
        <f>ROUND(H457,1)</f>
        <v>15000</v>
      </c>
    </row>
    <row r="457" spans="1:8" ht="16.5" customHeight="1">
      <c r="A457" s="133"/>
      <c r="B457" s="24" t="str">
        <f>""</f>
        <v/>
      </c>
      <c r="C457" s="25" t="s">
        <v>27</v>
      </c>
      <c r="D457" s="24" t="str">
        <f>""</f>
        <v/>
      </c>
      <c r="E457" s="84">
        <v>1</v>
      </c>
      <c r="F457" s="26">
        <f>ROUND('Tổng hợp VT'!O10,1)</f>
        <v>15000</v>
      </c>
      <c r="G457" s="85"/>
      <c r="H457" s="26">
        <f>ROUND(E457*F457,1)</f>
        <v>15000</v>
      </c>
    </row>
    <row r="458" spans="1:8" ht="16.5" customHeight="1">
      <c r="A458" s="128">
        <f>'Công trình'!A131</f>
        <v>38</v>
      </c>
      <c r="B458" s="129" t="str">
        <f>'Công trình'!E131</f>
        <v>AB.24132</v>
      </c>
      <c r="C458" s="130" t="str">
        <f>'Công trình'!F131</f>
        <v>Đào phá bờ quây bằng máy</v>
      </c>
      <c r="D458" s="129" t="str">
        <f>'Công trình'!G131</f>
        <v>100m3</v>
      </c>
      <c r="E458" s="65">
        <v>1</v>
      </c>
      <c r="F458" s="69"/>
      <c r="G458" s="67"/>
      <c r="H458" s="69"/>
    </row>
    <row r="459" spans="1:8" ht="16.5" customHeight="1">
      <c r="A459" s="131"/>
      <c r="B459" s="91"/>
      <c r="C459" s="90" t="s">
        <v>678</v>
      </c>
      <c r="D459" s="91"/>
      <c r="E459" s="93"/>
      <c r="F459" s="132"/>
      <c r="G459" s="94"/>
      <c r="H459" s="132">
        <f>ROUND(H460,1)</f>
        <v>104012.4</v>
      </c>
    </row>
    <row r="460" spans="1:8" ht="16.5" hidden="1" customHeight="1">
      <c r="A460" s="127"/>
      <c r="B460" s="13" t="str">
        <f>'Giá tháng'!B$48</f>
        <v>N1.30</v>
      </c>
      <c r="C460" s="14" t="str">
        <f>'Giá tháng'!C$48</f>
        <v>Nhân công 3,0/7 - Nhóm 1</v>
      </c>
      <c r="D460" s="13" t="str">
        <f>'Giá tháng'!D$48</f>
        <v>công</v>
      </c>
      <c r="E460" s="80">
        <f>HaoPhiVatTu!G$400</f>
        <v>0.47</v>
      </c>
      <c r="F460" s="15">
        <f>ROUND('Tổng hợp VT'!O$56,1)</f>
        <v>221303</v>
      </c>
      <c r="G460" s="81">
        <f>'Giá tháng'!G$48</f>
        <v>1</v>
      </c>
      <c r="H460" s="15">
        <f>ROUND(E460*F460*G460,1)</f>
        <v>104012.4</v>
      </c>
    </row>
    <row r="461" spans="1:8" ht="16.5" customHeight="1">
      <c r="A461" s="131"/>
      <c r="B461" s="91"/>
      <c r="C461" s="90" t="s">
        <v>679</v>
      </c>
      <c r="D461" s="91"/>
      <c r="E461" s="93"/>
      <c r="F461" s="132"/>
      <c r="G461" s="94"/>
      <c r="H461" s="132">
        <f>ROUND(H464,1)</f>
        <v>854161.8</v>
      </c>
    </row>
    <row r="462" spans="1:8" ht="27.75" customHeight="1">
      <c r="A462" s="127"/>
      <c r="B462" s="13" t="str">
        <f>'Giá tháng'!B$61</f>
        <v>M101.0105</v>
      </c>
      <c r="C462" s="14" t="str">
        <f>'Giá tháng'!C$61</f>
        <v>Máy đào một gầu, bánh xích - dung tích gầu : 1,25 m3</v>
      </c>
      <c r="D462" s="13" t="str">
        <f>'Giá tháng'!D$61</f>
        <v>ca</v>
      </c>
      <c r="E462" s="80">
        <f>HaoPhiVatTu!H$402</f>
        <v>0.19800000000000001</v>
      </c>
      <c r="F462" s="15">
        <f>ROUND('Tổng hợp VT'!O$70,1)</f>
        <v>4026070</v>
      </c>
      <c r="G462" s="81">
        <f>'Giá tháng'!G$61</f>
        <v>1</v>
      </c>
      <c r="H462" s="15">
        <f>ROUND(E462*F462*G462,1)</f>
        <v>797161.9</v>
      </c>
    </row>
    <row r="463" spans="1:8" ht="27.75" customHeight="1">
      <c r="A463" s="127"/>
      <c r="B463" s="13" t="str">
        <f>'Giá tháng'!B$76</f>
        <v>M101.0503</v>
      </c>
      <c r="C463" s="14" t="str">
        <f>'Giá tháng'!C$76</f>
        <v>Máy ủi - công suất : 110,0 CV</v>
      </c>
      <c r="D463" s="13" t="str">
        <f>'Giá tháng'!D$76</f>
        <v>ca</v>
      </c>
      <c r="E463" s="80">
        <f>HaoPhiVatTu!H$403</f>
        <v>2.7E-2</v>
      </c>
      <c r="F463" s="15">
        <f>ROUND('Tổng hợp VT'!O$85,1)</f>
        <v>2111107</v>
      </c>
      <c r="G463" s="81">
        <f>'Giá tháng'!G$76</f>
        <v>1</v>
      </c>
      <c r="H463" s="15">
        <f>ROUND(E463*F463*G463,1)</f>
        <v>56999.9</v>
      </c>
    </row>
    <row r="464" spans="1:8" ht="16.5" customHeight="1">
      <c r="A464" s="133"/>
      <c r="B464" s="24"/>
      <c r="C464" s="25" t="s">
        <v>776</v>
      </c>
      <c r="D464" s="24"/>
      <c r="E464" s="84"/>
      <c r="F464" s="26"/>
      <c r="G464" s="85"/>
      <c r="H464" s="26">
        <f>ROUND(SUM(H462:H463),1)</f>
        <v>854161.8</v>
      </c>
    </row>
    <row r="465" spans="1:8" ht="40.5" customHeight="1">
      <c r="A465" s="128">
        <f>'Công trình'!A133</f>
        <v>39</v>
      </c>
      <c r="B465" s="129" t="str">
        <f>'Công trình'!E133</f>
        <v>AC.12121</v>
      </c>
      <c r="C465" s="130" t="str">
        <f>'Công trình'!F133</f>
        <v>Nhổ cọc tre, phên nứa (vận dụng chi phí nhân công, máy đóng cọc tre)</v>
      </c>
      <c r="D465" s="129" t="str">
        <f>'Công trình'!G133</f>
        <v>100m</v>
      </c>
      <c r="E465" s="65">
        <v>1</v>
      </c>
      <c r="F465" s="69"/>
      <c r="G465" s="67"/>
      <c r="H465" s="69"/>
    </row>
    <row r="466" spans="1:8" ht="16.5" customHeight="1">
      <c r="A466" s="131"/>
      <c r="B466" s="91"/>
      <c r="C466" s="90" t="s">
        <v>683</v>
      </c>
      <c r="D466" s="91"/>
      <c r="E466" s="93"/>
      <c r="F466" s="132"/>
      <c r="G466" s="94"/>
      <c r="H466" s="132">
        <f>ROUND(H467,1)</f>
        <v>546000</v>
      </c>
    </row>
    <row r="467" spans="1:8" ht="16.5" hidden="1" customHeight="1">
      <c r="A467" s="127"/>
      <c r="B467" s="13" t="str">
        <f>'Giá tháng'!B$13</f>
        <v>A24.0227</v>
      </c>
      <c r="C467" s="14" t="str">
        <f>'Giá tháng'!C$13</f>
        <v>Cọc tre &gt;2,5m</v>
      </c>
      <c r="D467" s="13" t="str">
        <f>'Giá tháng'!D$13</f>
        <v>m</v>
      </c>
      <c r="E467" s="80">
        <f>HaoPhiVatTu!F$406</f>
        <v>105</v>
      </c>
      <c r="F467" s="15">
        <f>ROUND('Tổng hợp VT'!O$18,1)</f>
        <v>5200</v>
      </c>
      <c r="G467" s="81">
        <f>'Giá tháng'!G$13</f>
        <v>1</v>
      </c>
      <c r="H467" s="15">
        <f>ROUND(E467*F467*G467,1)</f>
        <v>546000</v>
      </c>
    </row>
    <row r="468" spans="1:8" ht="16.5" customHeight="1">
      <c r="A468" s="131"/>
      <c r="B468" s="91"/>
      <c r="C468" s="90" t="s">
        <v>678</v>
      </c>
      <c r="D468" s="91"/>
      <c r="E468" s="93"/>
      <c r="F468" s="132"/>
      <c r="G468" s="94"/>
      <c r="H468" s="132">
        <f>ROUND(H469,1)</f>
        <v>79065.399999999994</v>
      </c>
    </row>
    <row r="469" spans="1:8" ht="16.5" hidden="1" customHeight="1">
      <c r="A469" s="127"/>
      <c r="B469" s="13" t="str">
        <f>'Giá tháng'!B$49</f>
        <v>N2.30</v>
      </c>
      <c r="C469" s="14" t="str">
        <f>'Giá tháng'!C$49</f>
        <v>Nhân công 3,0/7 - Nhóm 2</v>
      </c>
      <c r="D469" s="13" t="str">
        <f>'Giá tháng'!D$49</f>
        <v>công</v>
      </c>
      <c r="E469" s="80">
        <f>HaoPhiVatTu!G$408</f>
        <v>0.33</v>
      </c>
      <c r="F469" s="15">
        <f>ROUND('Tổng hợp VT'!O$57,1)</f>
        <v>239592</v>
      </c>
      <c r="G469" s="81">
        <f>'Giá tháng'!G$49</f>
        <v>1</v>
      </c>
      <c r="H469" s="15">
        <f>ROUND(E469*F469*G469,1)</f>
        <v>79065.399999999994</v>
      </c>
    </row>
    <row r="470" spans="1:8" ht="16.5" customHeight="1">
      <c r="A470" s="131"/>
      <c r="B470" s="91"/>
      <c r="C470" s="90" t="s">
        <v>679</v>
      </c>
      <c r="D470" s="91"/>
      <c r="E470" s="93"/>
      <c r="F470" s="132"/>
      <c r="G470" s="94"/>
      <c r="H470" s="132">
        <f>ROUND(H471,1)</f>
        <v>235886.2</v>
      </c>
    </row>
    <row r="471" spans="1:8" ht="27.75" customHeight="1">
      <c r="A471" s="133"/>
      <c r="B471" s="24" t="str">
        <f>'Giá tháng'!B$59</f>
        <v>M101.0102</v>
      </c>
      <c r="C471" s="25" t="str">
        <f>'Giá tháng'!C$59</f>
        <v>Máy đào một gầu, bánh xích - dung tích gầu : 0,50 m3</v>
      </c>
      <c r="D471" s="24" t="str">
        <f>'Giá tháng'!D$59</f>
        <v>ca</v>
      </c>
      <c r="E471" s="84">
        <f>HaoPhiVatTu!H$410</f>
        <v>9.8000000000000004E-2</v>
      </c>
      <c r="F471" s="26">
        <f>ROUND('Tổng hợp VT'!O$68,1)</f>
        <v>2407002</v>
      </c>
      <c r="G471" s="85">
        <f>'Giá tháng'!G$59</f>
        <v>1</v>
      </c>
      <c r="H471" s="26">
        <f>ROUND(E471*F471*G471,1)</f>
        <v>235886.2</v>
      </c>
    </row>
    <row r="472" spans="1:8" ht="40.5" customHeight="1">
      <c r="A472" s="128">
        <f>'Công trình'!A135</f>
        <v>34</v>
      </c>
      <c r="B472" s="129" t="str">
        <f>'Công trình'!E135</f>
        <v>AB.41412</v>
      </c>
      <c r="C472" s="130" t="str">
        <f>'Công trình'!F135</f>
        <v>Vận chuyển đất bằng ôtô tự đổ 5 tấn trong phạm vi &lt;= 1000m, đất cấp II</v>
      </c>
      <c r="D472" s="129" t="str">
        <f>'Công trình'!G135</f>
        <v>100m3</v>
      </c>
      <c r="E472" s="65">
        <v>1</v>
      </c>
      <c r="F472" s="69"/>
      <c r="G472" s="67"/>
      <c r="H472" s="69"/>
    </row>
    <row r="473" spans="1:8" ht="16.5" customHeight="1">
      <c r="A473" s="131"/>
      <c r="B473" s="91"/>
      <c r="C473" s="90" t="s">
        <v>679</v>
      </c>
      <c r="D473" s="91"/>
      <c r="E473" s="93"/>
      <c r="F473" s="132"/>
      <c r="G473" s="94"/>
      <c r="H473" s="132">
        <f>ROUND(H474,1)</f>
        <v>2313202.9</v>
      </c>
    </row>
    <row r="474" spans="1:8" ht="27.75" customHeight="1">
      <c r="A474" s="133"/>
      <c r="B474" s="24" t="str">
        <f>'Giá tháng'!B$78</f>
        <v>M106.0202</v>
      </c>
      <c r="C474" s="25" t="str">
        <f>'Giá tháng'!C$78</f>
        <v>Ô tô tự đổ - trọng tải : 5,0 T</v>
      </c>
      <c r="D474" s="24" t="str">
        <f>'Giá tháng'!D$78</f>
        <v>ca</v>
      </c>
      <c r="E474" s="84">
        <f>HaoPhiVatTu!H$413</f>
        <v>1.329</v>
      </c>
      <c r="F474" s="26">
        <f>ROUND('Tổng hợp VT'!O$87,1)</f>
        <v>1740559</v>
      </c>
      <c r="G474" s="85">
        <f>'Giá tháng'!G$78</f>
        <v>1</v>
      </c>
      <c r="H474" s="26">
        <f>ROUND(E474*F474*G474,1)</f>
        <v>2313202.9</v>
      </c>
    </row>
    <row r="475" spans="1:8" ht="16.5" customHeight="1">
      <c r="A475" s="128">
        <f>'Công trình'!A137</f>
        <v>41</v>
      </c>
      <c r="B475" s="129" t="str">
        <f>'Công trình'!E137</f>
        <v>TT</v>
      </c>
      <c r="C475" s="130" t="str">
        <f>'Công trình'!F137</f>
        <v>Bơm nước phục vụ thi công</v>
      </c>
      <c r="D475" s="129" t="str">
        <f>'Công trình'!G137</f>
        <v>ca</v>
      </c>
      <c r="E475" s="65">
        <v>1</v>
      </c>
      <c r="F475" s="69"/>
      <c r="G475" s="67"/>
      <c r="H475" s="69"/>
    </row>
    <row r="476" spans="1:8" ht="16.5" customHeight="1">
      <c r="A476" s="131"/>
      <c r="B476" s="91"/>
      <c r="C476" s="90" t="s">
        <v>678</v>
      </c>
      <c r="D476" s="91"/>
      <c r="E476" s="93"/>
      <c r="F476" s="132"/>
      <c r="G476" s="94"/>
      <c r="H476" s="132">
        <f>ROUND(H477,1)</f>
        <v>200000</v>
      </c>
    </row>
    <row r="477" spans="1:8" ht="16.5" customHeight="1">
      <c r="A477" s="127"/>
      <c r="B477" s="13" t="str">
        <f>""</f>
        <v/>
      </c>
      <c r="C477" s="14" t="s">
        <v>29</v>
      </c>
      <c r="D477" s="13" t="str">
        <f>""</f>
        <v/>
      </c>
      <c r="E477" s="80">
        <v>1</v>
      </c>
      <c r="F477" s="15">
        <f>ROUND('Tổng hợp VT'!O55,1)</f>
        <v>200000</v>
      </c>
      <c r="G477" s="81"/>
      <c r="H477" s="15">
        <f>ROUND(E477*F477,1)</f>
        <v>200000</v>
      </c>
    </row>
    <row r="478" spans="1:8" ht="16.5" customHeight="1">
      <c r="A478" s="131"/>
      <c r="B478" s="91"/>
      <c r="C478" s="90" t="s">
        <v>679</v>
      </c>
      <c r="D478" s="91"/>
      <c r="E478" s="93"/>
      <c r="F478" s="132"/>
      <c r="G478" s="94"/>
      <c r="H478" s="132">
        <f>ROUND(H479,1)</f>
        <v>300000</v>
      </c>
    </row>
    <row r="479" spans="1:8" ht="16.5" customHeight="1">
      <c r="A479" s="133"/>
      <c r="B479" s="24" t="str">
        <f>""</f>
        <v/>
      </c>
      <c r="C479" s="25" t="s">
        <v>31</v>
      </c>
      <c r="D479" s="24" t="str">
        <f>""</f>
        <v/>
      </c>
      <c r="E479" s="84">
        <v>1</v>
      </c>
      <c r="F479" s="26">
        <f>ROUND('Tổng hợp VT'!O63,1)</f>
        <v>300000</v>
      </c>
      <c r="G479" s="85"/>
      <c r="H479" s="26">
        <f>ROUND(E479*F479,1)</f>
        <v>300000</v>
      </c>
    </row>
    <row r="480" spans="1:8" ht="16.5" customHeight="1">
      <c r="A480" s="128">
        <f>'Công trình'!A140</f>
        <v>42</v>
      </c>
      <c r="B480" s="129" t="str">
        <f>'Công trình'!E140</f>
        <v>AB.25102</v>
      </c>
      <c r="C480" s="130" t="str">
        <f>'Công trình'!F140</f>
        <v>Đào đất cấp II</v>
      </c>
      <c r="D480" s="129" t="str">
        <f>'Công trình'!G140</f>
        <v>100m3</v>
      </c>
      <c r="E480" s="65">
        <v>1</v>
      </c>
      <c r="F480" s="69"/>
      <c r="G480" s="67"/>
      <c r="H480" s="69"/>
    </row>
    <row r="481" spans="1:8" ht="16.5" customHeight="1">
      <c r="A481" s="131"/>
      <c r="B481" s="91"/>
      <c r="C481" s="90" t="s">
        <v>678</v>
      </c>
      <c r="D481" s="91"/>
      <c r="E481" s="93"/>
      <c r="F481" s="132"/>
      <c r="G481" s="94"/>
      <c r="H481" s="132">
        <f>ROUND(H482,1)</f>
        <v>863081.7</v>
      </c>
    </row>
    <row r="482" spans="1:8" ht="16.5" hidden="1" customHeight="1">
      <c r="A482" s="127"/>
      <c r="B482" s="13" t="str">
        <f>'Giá tháng'!B$48</f>
        <v>N1.30</v>
      </c>
      <c r="C482" s="14" t="str">
        <f>'Giá tháng'!C$48</f>
        <v>Nhân công 3,0/7 - Nhóm 1</v>
      </c>
      <c r="D482" s="13" t="str">
        <f>'Giá tháng'!D$48</f>
        <v>công</v>
      </c>
      <c r="E482" s="80">
        <f>HaoPhiVatTu!G$416</f>
        <v>3.9</v>
      </c>
      <c r="F482" s="15">
        <f>ROUND('Tổng hợp VT'!O$56,1)</f>
        <v>221303</v>
      </c>
      <c r="G482" s="81">
        <f>'Giá tháng'!G$48</f>
        <v>1</v>
      </c>
      <c r="H482" s="15">
        <f>ROUND(E482*F482*G482,1)</f>
        <v>863081.7</v>
      </c>
    </row>
    <row r="483" spans="1:8" ht="16.5" customHeight="1">
      <c r="A483" s="131"/>
      <c r="B483" s="91"/>
      <c r="C483" s="90" t="s">
        <v>679</v>
      </c>
      <c r="D483" s="91"/>
      <c r="E483" s="93"/>
      <c r="F483" s="132"/>
      <c r="G483" s="94"/>
      <c r="H483" s="132">
        <f>ROUND(H484,1)</f>
        <v>1313771</v>
      </c>
    </row>
    <row r="484" spans="1:8" ht="27.75" customHeight="1">
      <c r="A484" s="133"/>
      <c r="B484" s="24" t="str">
        <f>'Giá tháng'!B$58</f>
        <v>M101.0101</v>
      </c>
      <c r="C484" s="25" t="str">
        <f>'Giá tháng'!C$58</f>
        <v>Máy đào một gầu, bánh xích - dung tích gầu : 0,40 m3</v>
      </c>
      <c r="D484" s="24" t="str">
        <f>'Giá tháng'!D$58</f>
        <v>ca</v>
      </c>
      <c r="E484" s="84">
        <f>HaoPhiVatTu!H$418</f>
        <v>0.63100000000000001</v>
      </c>
      <c r="F484" s="26">
        <f>ROUND('Tổng hợp VT'!O$67,1)</f>
        <v>2082046</v>
      </c>
      <c r="G484" s="85">
        <f>'Giá tháng'!G$58</f>
        <v>1</v>
      </c>
      <c r="H484" s="26">
        <f>ROUND(E484*F484*G484,1)</f>
        <v>1313771</v>
      </c>
    </row>
    <row r="485" spans="1:8" ht="16.5" customHeight="1">
      <c r="A485" s="128">
        <f>'Công trình'!A142</f>
        <v>43</v>
      </c>
      <c r="B485" s="129" t="str">
        <f>'Công trình'!E142</f>
        <v>AB.13111</v>
      </c>
      <c r="C485" s="130" t="str">
        <f>'Công trình'!F142</f>
        <v>Đắp đất hoàn trả móng</v>
      </c>
      <c r="D485" s="129" t="str">
        <f>'Công trình'!G142</f>
        <v>m3</v>
      </c>
      <c r="E485" s="65">
        <v>1</v>
      </c>
      <c r="F485" s="69"/>
      <c r="G485" s="67"/>
      <c r="H485" s="69"/>
    </row>
    <row r="486" spans="1:8" ht="16.5" customHeight="1">
      <c r="A486" s="131"/>
      <c r="B486" s="91"/>
      <c r="C486" s="90" t="s">
        <v>678</v>
      </c>
      <c r="D486" s="91"/>
      <c r="E486" s="93"/>
      <c r="F486" s="132"/>
      <c r="G486" s="94"/>
      <c r="H486" s="132">
        <f>ROUND(H487,1)</f>
        <v>123929.7</v>
      </c>
    </row>
    <row r="487" spans="1:8" ht="16.5" hidden="1" customHeight="1">
      <c r="A487" s="133"/>
      <c r="B487" s="24" t="str">
        <f>'Giá tháng'!B$48</f>
        <v>N1.30</v>
      </c>
      <c r="C487" s="25" t="str">
        <f>'Giá tháng'!C$48</f>
        <v>Nhân công 3,0/7 - Nhóm 1</v>
      </c>
      <c r="D487" s="24" t="str">
        <f>'Giá tháng'!D$48</f>
        <v>công</v>
      </c>
      <c r="E487" s="84">
        <f>HaoPhiVatTu!G$421</f>
        <v>0.56000000000000005</v>
      </c>
      <c r="F487" s="26">
        <f>ROUND('Tổng hợp VT'!O$56,1)</f>
        <v>221303</v>
      </c>
      <c r="G487" s="85">
        <f>'Giá tháng'!G$48</f>
        <v>1</v>
      </c>
      <c r="H487" s="26">
        <f>ROUND(E487*F487*G487,1)</f>
        <v>123929.7</v>
      </c>
    </row>
    <row r="488" spans="1:8" ht="27.75" customHeight="1">
      <c r="A488" s="128">
        <f>'Công trình'!A144</f>
        <v>44</v>
      </c>
      <c r="B488" s="129" t="str">
        <f>'Công trình'!E144</f>
        <v>AC.11121</v>
      </c>
      <c r="C488" s="130" t="str">
        <f>'Công trình'!F144</f>
        <v>Đóng cọc tre D80-D1000, 25c/m2, L=2.5m</v>
      </c>
      <c r="D488" s="129" t="str">
        <f>'Công trình'!G144</f>
        <v>100m</v>
      </c>
      <c r="E488" s="65">
        <v>1</v>
      </c>
      <c r="F488" s="69"/>
      <c r="G488" s="67"/>
      <c r="H488" s="69"/>
    </row>
    <row r="489" spans="1:8" ht="16.5" customHeight="1">
      <c r="A489" s="131"/>
      <c r="B489" s="91"/>
      <c r="C489" s="90" t="s">
        <v>683</v>
      </c>
      <c r="D489" s="91"/>
      <c r="E489" s="93"/>
      <c r="F489" s="132"/>
      <c r="G489" s="94"/>
      <c r="H489" s="132">
        <f>ROUND(H494,1)</f>
        <v>644246.30000000005</v>
      </c>
    </row>
    <row r="490" spans="1:8" ht="16.5" hidden="1" customHeight="1">
      <c r="A490" s="127"/>
      <c r="B490" s="13" t="str">
        <f>'Giá tháng'!B$13</f>
        <v>A24.0227</v>
      </c>
      <c r="C490" s="14" t="str">
        <f>'Giá tháng'!C$13</f>
        <v>Cọc tre &gt;2,5m</v>
      </c>
      <c r="D490" s="13" t="str">
        <f>'Giá tháng'!D$13</f>
        <v>m</v>
      </c>
      <c r="E490" s="80">
        <f>HaoPhiVatTu!F$424</f>
        <v>105</v>
      </c>
      <c r="F490" s="15">
        <f>ROUND('Tổng hợp VT'!O$18,1)</f>
        <v>5200</v>
      </c>
      <c r="G490" s="81">
        <f>'Giá tháng'!G$13</f>
        <v>1</v>
      </c>
      <c r="H490" s="15">
        <f>ROUND(E490*F490*G490,1)</f>
        <v>546000</v>
      </c>
    </row>
    <row r="491" spans="1:8" ht="16.5" hidden="1" customHeight="1">
      <c r="A491" s="127"/>
      <c r="B491" s="13" t="str">
        <f>'Giá tháng'!B$12</f>
        <v>A24.0183</v>
      </c>
      <c r="C491" s="14" t="str">
        <f>'Giá tháng'!C$12</f>
        <v>Cây chống</v>
      </c>
      <c r="D491" s="13" t="str">
        <f>'Giá tháng'!D$12</f>
        <v>cây</v>
      </c>
      <c r="E491" s="80">
        <f>HaoPhiVatTu!F$425</f>
        <v>1.65</v>
      </c>
      <c r="F491" s="15">
        <f>ROUND('Tổng hợp VT'!O$17,1)</f>
        <v>22000</v>
      </c>
      <c r="G491" s="81">
        <f>'Giá tháng'!G$12</f>
        <v>1</v>
      </c>
      <c r="H491" s="15">
        <f>ROUND(E491*F491*G491,1)</f>
        <v>36300</v>
      </c>
    </row>
    <row r="492" spans="1:8" ht="16.5" hidden="1" customHeight="1">
      <c r="A492" s="127"/>
      <c r="B492" s="13" t="str">
        <f>'Giá tháng'!B$23</f>
        <v>A24.0418</v>
      </c>
      <c r="C492" s="14" t="str">
        <f>'Giá tháng'!C$23</f>
        <v>Gỗ ván</v>
      </c>
      <c r="D492" s="13" t="str">
        <f>'Giá tháng'!D$23</f>
        <v>m3</v>
      </c>
      <c r="E492" s="80">
        <f>HaoPhiVatTu!F$426</f>
        <v>0.01</v>
      </c>
      <c r="F492" s="15">
        <f>ROUND('Tổng hợp VT'!O$28,1)</f>
        <v>4318182</v>
      </c>
      <c r="G492" s="81">
        <f>'Giá tháng'!G$23</f>
        <v>1</v>
      </c>
      <c r="H492" s="15">
        <f>ROUND(E492*F492*G492,1)</f>
        <v>43181.8</v>
      </c>
    </row>
    <row r="493" spans="1:8" ht="16.5" hidden="1" customHeight="1">
      <c r="A493" s="127"/>
      <c r="B493" s="13" t="s">
        <v>684</v>
      </c>
      <c r="C493" s="14" t="s">
        <v>685</v>
      </c>
      <c r="D493" s="13" t="s">
        <v>682</v>
      </c>
      <c r="E493" s="80">
        <f>HaoPhiVatTu!F$427</f>
        <v>3</v>
      </c>
      <c r="F493" s="15">
        <f>ROUND(SUM(H490:H492),1)</f>
        <v>625481.80000000005</v>
      </c>
      <c r="G493" s="81"/>
      <c r="H493" s="15">
        <f>ROUND(E493*F493/100,1)</f>
        <v>18764.5</v>
      </c>
    </row>
    <row r="494" spans="1:8" ht="16.5" customHeight="1">
      <c r="A494" s="127"/>
      <c r="B494" s="13"/>
      <c r="C494" s="14" t="s">
        <v>776</v>
      </c>
      <c r="D494" s="13"/>
      <c r="E494" s="80"/>
      <c r="F494" s="15"/>
      <c r="G494" s="81"/>
      <c r="H494" s="15">
        <f>ROUND(SUM(H490:H493),1)</f>
        <v>644246.30000000005</v>
      </c>
    </row>
    <row r="495" spans="1:8" ht="16.5" customHeight="1">
      <c r="A495" s="131"/>
      <c r="B495" s="91"/>
      <c r="C495" s="90" t="s">
        <v>678</v>
      </c>
      <c r="D495" s="91"/>
      <c r="E495" s="93"/>
      <c r="F495" s="132"/>
      <c r="G495" s="94"/>
      <c r="H495" s="132">
        <f>ROUND(H496,1)</f>
        <v>483975.8</v>
      </c>
    </row>
    <row r="496" spans="1:8" ht="16.5" hidden="1" customHeight="1">
      <c r="A496" s="133"/>
      <c r="B496" s="24" t="str">
        <f>'Giá tháng'!B$49</f>
        <v>N2.30</v>
      </c>
      <c r="C496" s="25" t="str">
        <f>'Giá tháng'!C$49</f>
        <v>Nhân công 3,0/7 - Nhóm 2</v>
      </c>
      <c r="D496" s="24" t="str">
        <f>'Giá tháng'!D$49</f>
        <v>công</v>
      </c>
      <c r="E496" s="84">
        <f>HaoPhiVatTu!G$429</f>
        <v>2.02</v>
      </c>
      <c r="F496" s="26">
        <f>ROUND('Tổng hợp VT'!O$57,1)</f>
        <v>239592</v>
      </c>
      <c r="G496" s="85">
        <f>'Giá tháng'!G$49</f>
        <v>1</v>
      </c>
      <c r="H496" s="26">
        <f>ROUND(E496*F496*G496,1)</f>
        <v>483975.8</v>
      </c>
    </row>
    <row r="497" spans="1:8" ht="16.5" customHeight="1">
      <c r="A497" s="128">
        <f>'Công trình'!A146</f>
        <v>45</v>
      </c>
      <c r="B497" s="129" t="str">
        <f>'Công trình'!E146</f>
        <v>AB.11114</v>
      </c>
      <c r="C497" s="130" t="str">
        <f>'Công trình'!F146</f>
        <v>Vét bùn đầu cọc</v>
      </c>
      <c r="D497" s="129" t="str">
        <f>'Công trình'!G146</f>
        <v>m3</v>
      </c>
      <c r="E497" s="65">
        <v>1</v>
      </c>
      <c r="F497" s="69"/>
      <c r="G497" s="67"/>
      <c r="H497" s="69"/>
    </row>
    <row r="498" spans="1:8" ht="16.5" customHeight="1">
      <c r="A498" s="131"/>
      <c r="B498" s="91"/>
      <c r="C498" s="90" t="s">
        <v>678</v>
      </c>
      <c r="D498" s="91"/>
      <c r="E498" s="93"/>
      <c r="F498" s="132"/>
      <c r="G498" s="94"/>
      <c r="H498" s="132">
        <f>ROUND(H499,1)</f>
        <v>316463.3</v>
      </c>
    </row>
    <row r="499" spans="1:8" ht="16.5" hidden="1" customHeight="1">
      <c r="A499" s="133"/>
      <c r="B499" s="24" t="str">
        <f>'Giá tháng'!B$48</f>
        <v>N1.30</v>
      </c>
      <c r="C499" s="25" t="str">
        <f>'Giá tháng'!C$48</f>
        <v>Nhân công 3,0/7 - Nhóm 1</v>
      </c>
      <c r="D499" s="24" t="str">
        <f>'Giá tháng'!D$48</f>
        <v>công</v>
      </c>
      <c r="E499" s="84">
        <f>HaoPhiVatTu!G$432</f>
        <v>1.43</v>
      </c>
      <c r="F499" s="26">
        <f>ROUND('Tổng hợp VT'!O$56,1)</f>
        <v>221303</v>
      </c>
      <c r="G499" s="85">
        <f>'Giá tháng'!G$48</f>
        <v>1</v>
      </c>
      <c r="H499" s="26">
        <f>ROUND(E499*F499*G499,1)</f>
        <v>316463.3</v>
      </c>
    </row>
    <row r="500" spans="1:8" ht="16.5" customHeight="1">
      <c r="A500" s="128">
        <f>'Công trình'!A148</f>
        <v>46</v>
      </c>
      <c r="B500" s="129" t="str">
        <f>'Công trình'!E148</f>
        <v>AB.13411</v>
      </c>
      <c r="C500" s="130" t="str">
        <f>'Công trình'!F148</f>
        <v>Cát đen đệm đầu cọc</v>
      </c>
      <c r="D500" s="129" t="str">
        <f>'Công trình'!G148</f>
        <v>m3</v>
      </c>
      <c r="E500" s="65">
        <v>1</v>
      </c>
      <c r="F500" s="69"/>
      <c r="G500" s="67"/>
      <c r="H500" s="69"/>
    </row>
    <row r="501" spans="1:8" ht="16.5" customHeight="1">
      <c r="A501" s="131"/>
      <c r="B501" s="91"/>
      <c r="C501" s="90" t="s">
        <v>683</v>
      </c>
      <c r="D501" s="91"/>
      <c r="E501" s="93"/>
      <c r="F501" s="132"/>
      <c r="G501" s="94"/>
      <c r="H501" s="132">
        <f>ROUND(H504,1)</f>
        <v>186660</v>
      </c>
    </row>
    <row r="502" spans="1:8" ht="16.5" hidden="1" customHeight="1">
      <c r="A502" s="127"/>
      <c r="B502" s="13" t="str">
        <f>'Giá tháng'!B$7</f>
        <v>A24.1042</v>
      </c>
      <c r="C502" s="14" t="str">
        <f>'Giá tháng'!C$7</f>
        <v>Cát</v>
      </c>
      <c r="D502" s="13" t="str">
        <f>'Giá tháng'!D$7</f>
        <v>m3</v>
      </c>
      <c r="E502" s="80">
        <f>HaoPhiVatTu!F$435</f>
        <v>1.22</v>
      </c>
      <c r="F502" s="15">
        <f>ROUND('Tổng hợp VT'!O$12,1)</f>
        <v>150000</v>
      </c>
      <c r="G502" s="81">
        <f>'Giá tháng'!G$7</f>
        <v>1</v>
      </c>
      <c r="H502" s="15">
        <f>ROUND(E502*F502*G502,1)</f>
        <v>183000</v>
      </c>
    </row>
    <row r="503" spans="1:8" ht="16.5" hidden="1" customHeight="1">
      <c r="A503" s="127"/>
      <c r="B503" s="13" t="s">
        <v>684</v>
      </c>
      <c r="C503" s="14" t="s">
        <v>685</v>
      </c>
      <c r="D503" s="13" t="s">
        <v>682</v>
      </c>
      <c r="E503" s="80">
        <f>HaoPhiVatTu!F$436</f>
        <v>2</v>
      </c>
      <c r="F503" s="15">
        <f>ROUND(SUM(H502:H502),1)</f>
        <v>183000</v>
      </c>
      <c r="G503" s="81"/>
      <c r="H503" s="15">
        <f>ROUND(E503*F503/100,1)</f>
        <v>3660</v>
      </c>
    </row>
    <row r="504" spans="1:8" ht="16.5" customHeight="1">
      <c r="A504" s="127"/>
      <c r="B504" s="13"/>
      <c r="C504" s="14" t="s">
        <v>776</v>
      </c>
      <c r="D504" s="13"/>
      <c r="E504" s="80"/>
      <c r="F504" s="15"/>
      <c r="G504" s="81"/>
      <c r="H504" s="15">
        <f>ROUND(SUM(H502:H503),1)</f>
        <v>186660</v>
      </c>
    </row>
    <row r="505" spans="1:8" ht="16.5" customHeight="1">
      <c r="A505" s="131"/>
      <c r="B505" s="91"/>
      <c r="C505" s="90" t="s">
        <v>678</v>
      </c>
      <c r="D505" s="91"/>
      <c r="E505" s="93"/>
      <c r="F505" s="132"/>
      <c r="G505" s="94"/>
      <c r="H505" s="132">
        <f>ROUND(H506,1)</f>
        <v>99586.4</v>
      </c>
    </row>
    <row r="506" spans="1:8" ht="16.5" hidden="1" customHeight="1">
      <c r="A506" s="133"/>
      <c r="B506" s="24" t="str">
        <f>'Giá tháng'!B$48</f>
        <v>N1.30</v>
      </c>
      <c r="C506" s="25" t="str">
        <f>'Giá tháng'!C$48</f>
        <v>Nhân công 3,0/7 - Nhóm 1</v>
      </c>
      <c r="D506" s="24" t="str">
        <f>'Giá tháng'!D$48</f>
        <v>công</v>
      </c>
      <c r="E506" s="84">
        <f>HaoPhiVatTu!G$438</f>
        <v>0.45</v>
      </c>
      <c r="F506" s="26">
        <f>ROUND('Tổng hợp VT'!O$56,1)</f>
        <v>221303</v>
      </c>
      <c r="G506" s="85">
        <f>'Giá tháng'!G$48</f>
        <v>1</v>
      </c>
      <c r="H506" s="26">
        <f>ROUND(E506*F506*G506,1)</f>
        <v>99586.4</v>
      </c>
    </row>
    <row r="507" spans="1:8" ht="16.5" customHeight="1">
      <c r="A507" s="128">
        <f>'Công trình'!A150</f>
        <v>47</v>
      </c>
      <c r="B507" s="129" t="str">
        <f>'Công trình'!E150</f>
        <v>AK.98110</v>
      </c>
      <c r="C507" s="130" t="str">
        <f>'Công trình'!F150</f>
        <v>Đá dăm 2x4 lót móng, dày 10cm</v>
      </c>
      <c r="D507" s="129" t="str">
        <f>'Công trình'!G150</f>
        <v>m3</v>
      </c>
      <c r="E507" s="65">
        <v>1</v>
      </c>
      <c r="F507" s="69"/>
      <c r="G507" s="67"/>
      <c r="H507" s="69"/>
    </row>
    <row r="508" spans="1:8" ht="16.5" customHeight="1">
      <c r="A508" s="131"/>
      <c r="B508" s="91"/>
      <c r="C508" s="90" t="s">
        <v>683</v>
      </c>
      <c r="D508" s="91"/>
      <c r="E508" s="93"/>
      <c r="F508" s="132"/>
      <c r="G508" s="94"/>
      <c r="H508" s="132">
        <f>ROUND(H511,1)</f>
        <v>453000</v>
      </c>
    </row>
    <row r="509" spans="1:8" ht="16.5" hidden="1" customHeight="1">
      <c r="A509" s="127"/>
      <c r="B509" s="13" t="str">
        <f>'Giá tháng'!B$17</f>
        <v>A24.0025</v>
      </c>
      <c r="C509" s="14" t="str">
        <f>'Giá tháng'!C$17</f>
        <v>Đá dăm 2x4 lót móng</v>
      </c>
      <c r="D509" s="13" t="str">
        <f>'Giá tháng'!D$17</f>
        <v>m3</v>
      </c>
      <c r="E509" s="80">
        <f>HaoPhiVatTu!F$441</f>
        <v>1.2</v>
      </c>
      <c r="F509" s="15">
        <f>ROUND('Tổng hợp VT'!O$22,1)</f>
        <v>340000</v>
      </c>
      <c r="G509" s="81">
        <f>'Giá tháng'!G$17</f>
        <v>1</v>
      </c>
      <c r="H509" s="15">
        <f>ROUND(E509*F509*G509,1)</f>
        <v>408000</v>
      </c>
    </row>
    <row r="510" spans="1:8" ht="16.5" hidden="1" customHeight="1">
      <c r="A510" s="127"/>
      <c r="B510" s="13" t="str">
        <f>'Giá tháng'!B$7</f>
        <v>A24.1042</v>
      </c>
      <c r="C510" s="14" t="str">
        <f>'Giá tháng'!C$7</f>
        <v>Cát</v>
      </c>
      <c r="D510" s="13" t="str">
        <f>'Giá tháng'!D$7</f>
        <v>m3</v>
      </c>
      <c r="E510" s="80">
        <f>HaoPhiVatTu!F$442</f>
        <v>0.3</v>
      </c>
      <c r="F510" s="15">
        <f>ROUND('Tổng hợp VT'!O$12,1)</f>
        <v>150000</v>
      </c>
      <c r="G510" s="81">
        <f>'Giá tháng'!G$7</f>
        <v>1</v>
      </c>
      <c r="H510" s="15">
        <f>ROUND(E510*F510*G510,1)</f>
        <v>45000</v>
      </c>
    </row>
    <row r="511" spans="1:8" ht="16.5" customHeight="1">
      <c r="A511" s="127"/>
      <c r="B511" s="13"/>
      <c r="C511" s="14" t="s">
        <v>776</v>
      </c>
      <c r="D511" s="13"/>
      <c r="E511" s="80"/>
      <c r="F511" s="15"/>
      <c r="G511" s="81"/>
      <c r="H511" s="15">
        <f>ROUND(SUM(H509:H510),1)</f>
        <v>453000</v>
      </c>
    </row>
    <row r="512" spans="1:8" ht="16.5" customHeight="1">
      <c r="A512" s="131"/>
      <c r="B512" s="91"/>
      <c r="C512" s="90" t="s">
        <v>678</v>
      </c>
      <c r="D512" s="91"/>
      <c r="E512" s="93"/>
      <c r="F512" s="132"/>
      <c r="G512" s="94"/>
      <c r="H512" s="132">
        <f>ROUND(H513,1)</f>
        <v>420923.8</v>
      </c>
    </row>
    <row r="513" spans="1:8" ht="16.5" hidden="1" customHeight="1">
      <c r="A513" s="133"/>
      <c r="B513" s="24" t="str">
        <f>'Giá tháng'!B$53</f>
        <v>N2.40</v>
      </c>
      <c r="C513" s="25" t="str">
        <f>'Giá tháng'!C$53</f>
        <v>Nhân công 4,0/7 - Nhóm 2</v>
      </c>
      <c r="D513" s="24" t="str">
        <f>'Giá tháng'!D$53</f>
        <v>công</v>
      </c>
      <c r="E513" s="84">
        <f>HaoPhiVatTu!G$444</f>
        <v>1.48</v>
      </c>
      <c r="F513" s="26">
        <f>ROUND('Tổng hợp VT'!O$60,1)</f>
        <v>284408</v>
      </c>
      <c r="G513" s="85">
        <f>'Giá tháng'!G$53</f>
        <v>1</v>
      </c>
      <c r="H513" s="26">
        <f>ROUND(E513*F513*G513,1)</f>
        <v>420923.8</v>
      </c>
    </row>
    <row r="514" spans="1:8" ht="16.5" customHeight="1">
      <c r="A514" s="128">
        <f>'Công trình'!A152</f>
        <v>48</v>
      </c>
      <c r="B514" s="129" t="str">
        <f>'Công trình'!E152</f>
        <v>AF.81122</v>
      </c>
      <c r="C514" s="130" t="str">
        <f>'Công trình'!F152</f>
        <v>Ván khuôn gỗ móng</v>
      </c>
      <c r="D514" s="129" t="str">
        <f>'Công trình'!G152</f>
        <v>100m2</v>
      </c>
      <c r="E514" s="65">
        <v>1</v>
      </c>
      <c r="F514" s="69"/>
      <c r="G514" s="67"/>
      <c r="H514" s="69"/>
    </row>
    <row r="515" spans="1:8" ht="16.5" customHeight="1">
      <c r="A515" s="131"/>
      <c r="B515" s="91"/>
      <c r="C515" s="90" t="s">
        <v>683</v>
      </c>
      <c r="D515" s="91"/>
      <c r="E515" s="93"/>
      <c r="F515" s="132"/>
      <c r="G515" s="94"/>
      <c r="H515" s="132">
        <f>ROUND(H521,1)</f>
        <v>6188316.2000000002</v>
      </c>
    </row>
    <row r="516" spans="1:8" ht="16.5" hidden="1" customHeight="1">
      <c r="A516" s="127"/>
      <c r="B516" s="13" t="str">
        <f>'Giá tháng'!B$23</f>
        <v>A24.0418</v>
      </c>
      <c r="C516" s="14" t="str">
        <f>'Giá tháng'!C$23</f>
        <v>Gỗ ván</v>
      </c>
      <c r="D516" s="13" t="str">
        <f>'Giá tháng'!D$23</f>
        <v>m3</v>
      </c>
      <c r="E516" s="80">
        <f>HaoPhiVatTu!F$447</f>
        <v>0.79400000000000004</v>
      </c>
      <c r="F516" s="15">
        <f>ROUND('Tổng hợp VT'!O$28,1)</f>
        <v>4318182</v>
      </c>
      <c r="G516" s="81">
        <f>'Giá tháng'!G$23</f>
        <v>1</v>
      </c>
      <c r="H516" s="15">
        <f>ROUND(E516*F516*G516,1)</f>
        <v>3428636.5</v>
      </c>
    </row>
    <row r="517" spans="1:8" ht="16.5" hidden="1" customHeight="1">
      <c r="A517" s="127"/>
      <c r="B517" s="13" t="str">
        <f>'Giá tháng'!B$22</f>
        <v>A24.0404</v>
      </c>
      <c r="C517" s="14" t="str">
        <f>'Giá tháng'!C$22</f>
        <v>Gỗ đà nẹp</v>
      </c>
      <c r="D517" s="13" t="str">
        <f>'Giá tháng'!D$22</f>
        <v>m3</v>
      </c>
      <c r="E517" s="80">
        <f>HaoPhiVatTu!F$448</f>
        <v>0.21</v>
      </c>
      <c r="F517" s="15">
        <f>ROUND('Tổng hợp VT'!O$27,1)</f>
        <v>4318182</v>
      </c>
      <c r="G517" s="81">
        <f>'Giá tháng'!G$22</f>
        <v>1</v>
      </c>
      <c r="H517" s="15">
        <f>ROUND(E517*F517*G517,1)</f>
        <v>906818.2</v>
      </c>
    </row>
    <row r="518" spans="1:8" ht="16.5" hidden="1" customHeight="1">
      <c r="A518" s="127"/>
      <c r="B518" s="13" t="str">
        <f>'Giá tháng'!B$21</f>
        <v>A24.0406</v>
      </c>
      <c r="C518" s="14" t="str">
        <f>'Giá tháng'!C$21</f>
        <v>Gỗ chống</v>
      </c>
      <c r="D518" s="13" t="str">
        <f>'Giá tháng'!D$21</f>
        <v>m3</v>
      </c>
      <c r="E518" s="80">
        <f>HaoPhiVatTu!F$449</f>
        <v>0.33500000000000002</v>
      </c>
      <c r="F518" s="15">
        <f>ROUND('Tổng hợp VT'!O$26,1)</f>
        <v>4318182</v>
      </c>
      <c r="G518" s="81">
        <f>'Giá tháng'!G$21</f>
        <v>1</v>
      </c>
      <c r="H518" s="15">
        <f>ROUND(E518*F518*G518,1)</f>
        <v>1446591</v>
      </c>
    </row>
    <row r="519" spans="1:8" ht="16.5" hidden="1" customHeight="1">
      <c r="A519" s="127"/>
      <c r="B519" s="13" t="str">
        <f>'Giá tháng'!B$19</f>
        <v>A24.0054</v>
      </c>
      <c r="C519" s="14" t="str">
        <f>'Giá tháng'!C$19</f>
        <v>Đinh</v>
      </c>
      <c r="D519" s="13" t="str">
        <f>'Giá tháng'!D$19</f>
        <v>kg</v>
      </c>
      <c r="E519" s="80">
        <f>HaoPhiVatTu!F$450</f>
        <v>15</v>
      </c>
      <c r="F519" s="15">
        <f>ROUND('Tổng hợp VT'!O$24,1)</f>
        <v>23000</v>
      </c>
      <c r="G519" s="81">
        <f>'Giá tháng'!G$19</f>
        <v>1</v>
      </c>
      <c r="H519" s="15">
        <f>ROUND(E519*F519*G519,1)</f>
        <v>345000</v>
      </c>
    </row>
    <row r="520" spans="1:8" ht="16.5" hidden="1" customHeight="1">
      <c r="A520" s="127"/>
      <c r="B520" s="13" t="s">
        <v>684</v>
      </c>
      <c r="C520" s="14" t="s">
        <v>685</v>
      </c>
      <c r="D520" s="13" t="s">
        <v>682</v>
      </c>
      <c r="E520" s="80">
        <f>HaoPhiVatTu!F$451</f>
        <v>1</v>
      </c>
      <c r="F520" s="15">
        <f>ROUND(SUM(H516:H519),1)</f>
        <v>6127045.7000000002</v>
      </c>
      <c r="G520" s="81"/>
      <c r="H520" s="15">
        <f>ROUND(E520*F520/100,1)</f>
        <v>61270.5</v>
      </c>
    </row>
    <row r="521" spans="1:8" ht="16.5" customHeight="1">
      <c r="A521" s="127"/>
      <c r="B521" s="13"/>
      <c r="C521" s="14" t="s">
        <v>776</v>
      </c>
      <c r="D521" s="13"/>
      <c r="E521" s="80"/>
      <c r="F521" s="15"/>
      <c r="G521" s="81"/>
      <c r="H521" s="15">
        <f>ROUND(SUM(H516:H520),1)</f>
        <v>6188316.2000000002</v>
      </c>
    </row>
    <row r="522" spans="1:8" ht="16.5" customHeight="1">
      <c r="A522" s="131"/>
      <c r="B522" s="91"/>
      <c r="C522" s="90" t="s">
        <v>678</v>
      </c>
      <c r="D522" s="91"/>
      <c r="E522" s="93"/>
      <c r="F522" s="132"/>
      <c r="G522" s="94"/>
      <c r="H522" s="132">
        <f>ROUND(H523,1)</f>
        <v>7781400</v>
      </c>
    </row>
    <row r="523" spans="1:8" ht="16.5" hidden="1" customHeight="1">
      <c r="A523" s="133"/>
      <c r="B523" s="24" t="str">
        <f>'Giá tháng'!B$51</f>
        <v>N2.35</v>
      </c>
      <c r="C523" s="25" t="str">
        <f>'Giá tháng'!C$51</f>
        <v>Nhân công 3,5/7 - Nhóm 2</v>
      </c>
      <c r="D523" s="24" t="str">
        <f>'Giá tháng'!D$51</f>
        <v>công</v>
      </c>
      <c r="E523" s="84">
        <f>HaoPhiVatTu!G$453</f>
        <v>29.7</v>
      </c>
      <c r="F523" s="26">
        <f>ROUND('Tổng hợp VT'!O$59,1)</f>
        <v>262000</v>
      </c>
      <c r="G523" s="85">
        <f>'Giá tháng'!G$51</f>
        <v>1</v>
      </c>
      <c r="H523" s="26">
        <f>ROUND(E523*F523*G523,1)</f>
        <v>7781400</v>
      </c>
    </row>
    <row r="524" spans="1:8" ht="27.75" customHeight="1">
      <c r="A524" s="128">
        <f>'Công trình'!A154</f>
        <v>49</v>
      </c>
      <c r="B524" s="129" t="str">
        <f>'Công trình'!E154</f>
        <v>AF.11213A</v>
      </c>
      <c r="C524" s="130" t="str">
        <f>'Công trình'!F154</f>
        <v>Bê tông móng M200, đá 1x2 dày 20cm</v>
      </c>
      <c r="D524" s="129" t="str">
        <f>'Công trình'!G154</f>
        <v>m3</v>
      </c>
      <c r="E524" s="65">
        <v>1</v>
      </c>
      <c r="F524" s="69"/>
      <c r="G524" s="67"/>
      <c r="H524" s="69"/>
    </row>
    <row r="525" spans="1:8" ht="16.5" customHeight="1">
      <c r="A525" s="131"/>
      <c r="B525" s="91"/>
      <c r="C525" s="90" t="s">
        <v>683</v>
      </c>
      <c r="D525" s="91"/>
      <c r="E525" s="93"/>
      <c r="F525" s="132"/>
      <c r="G525" s="94"/>
      <c r="H525" s="132">
        <f>ROUND(H531,1)</f>
        <v>1040813.5</v>
      </c>
    </row>
    <row r="526" spans="1:8" ht="27.75" hidden="1" customHeight="1">
      <c r="A526" s="127"/>
      <c r="B526" s="13" t="str">
        <f>'Giá tháng'!B$45</f>
        <v>A24.0797A</v>
      </c>
      <c r="C526" s="14" t="str">
        <f>'Giá tháng'!C$45</f>
        <v>Xi măng PCB30</v>
      </c>
      <c r="D526" s="13" t="str">
        <f>'Giá tháng'!D$45</f>
        <v>kg</v>
      </c>
      <c r="E526" s="80">
        <f>HaoPhiVatTu!F$456</f>
        <v>321.85000000000002</v>
      </c>
      <c r="F526" s="15">
        <f>ROUND('Tổng hợp VT'!O$49,1)</f>
        <v>1481</v>
      </c>
      <c r="G526" s="81">
        <f>'Giá tháng'!G$45</f>
        <v>1</v>
      </c>
      <c r="H526" s="15">
        <f>ROUND(E526*F526*G526,1)</f>
        <v>476659.9</v>
      </c>
    </row>
    <row r="527" spans="1:8" ht="16.5" hidden="1" customHeight="1">
      <c r="A527" s="127"/>
      <c r="B527" s="13" t="str">
        <f>'Giá tháng'!B$10</f>
        <v>A24.0180</v>
      </c>
      <c r="C527" s="14" t="str">
        <f>'Giá tháng'!C$10</f>
        <v>Cát vàng</v>
      </c>
      <c r="D527" s="13" t="str">
        <f>'Giá tháng'!D$10</f>
        <v>m3</v>
      </c>
      <c r="E527" s="80">
        <f>HaoPhiVatTu!F$457</f>
        <v>0.52890000000000004</v>
      </c>
      <c r="F527" s="15">
        <f>ROUND('Tổng hợp VT'!O$15,1)</f>
        <v>480000</v>
      </c>
      <c r="G527" s="81">
        <f>'Giá tháng'!G$10</f>
        <v>1</v>
      </c>
      <c r="H527" s="15">
        <f>ROUND(E527*F527*G527,1)</f>
        <v>253872</v>
      </c>
    </row>
    <row r="528" spans="1:8" ht="16.5" hidden="1" customHeight="1">
      <c r="A528" s="127"/>
      <c r="B528" s="13" t="str">
        <f>'Giá tháng'!B$15</f>
        <v>A24.0008</v>
      </c>
      <c r="C528" s="14" t="str">
        <f>'Giá tháng'!C$15</f>
        <v>Đá 1x2</v>
      </c>
      <c r="D528" s="13" t="str">
        <f>'Giá tháng'!D$15</f>
        <v>m3</v>
      </c>
      <c r="E528" s="80">
        <f>HaoPhiVatTu!F$458</f>
        <v>0.87124999999999997</v>
      </c>
      <c r="F528" s="15">
        <f>ROUND('Tổng hợp VT'!O$20,1)</f>
        <v>340000</v>
      </c>
      <c r="G528" s="81">
        <f>'Giá tháng'!G$15</f>
        <v>1</v>
      </c>
      <c r="H528" s="15">
        <f>ROUND(E528*F528*G528,1)</f>
        <v>296225</v>
      </c>
    </row>
    <row r="529" spans="1:8" ht="16.5" hidden="1" customHeight="1">
      <c r="A529" s="127"/>
      <c r="B529" s="13" t="str">
        <f>'Giá tháng'!B$32</f>
        <v>A24.0524</v>
      </c>
      <c r="C529" s="14" t="str">
        <f>'Giá tháng'!C$32</f>
        <v>Nước</v>
      </c>
      <c r="D529" s="13" t="str">
        <f>'Giá tháng'!D$32</f>
        <v>lít</v>
      </c>
      <c r="E529" s="80">
        <f>HaoPhiVatTu!F$459</f>
        <v>187.57499999999999</v>
      </c>
      <c r="F529" s="15">
        <f>ROUND('Tổng hợp VT'!O$37,1)</f>
        <v>20</v>
      </c>
      <c r="G529" s="81">
        <f>'Giá tháng'!G$32</f>
        <v>1</v>
      </c>
      <c r="H529" s="15">
        <f>ROUND(E529*F529*G529,1)</f>
        <v>3751.5</v>
      </c>
    </row>
    <row r="530" spans="1:8" ht="16.5" hidden="1" customHeight="1">
      <c r="A530" s="127"/>
      <c r="B530" s="13" t="s">
        <v>684</v>
      </c>
      <c r="C530" s="14" t="s">
        <v>685</v>
      </c>
      <c r="D530" s="13" t="s">
        <v>682</v>
      </c>
      <c r="E530" s="80">
        <f>HaoPhiVatTu!F$460</f>
        <v>1</v>
      </c>
      <c r="F530" s="15">
        <f>ROUND(SUM(H526:H529),1)</f>
        <v>1030508.4</v>
      </c>
      <c r="G530" s="81"/>
      <c r="H530" s="15">
        <f>ROUND(E530*F530/100,1)</f>
        <v>10305.1</v>
      </c>
    </row>
    <row r="531" spans="1:8" ht="16.5" customHeight="1">
      <c r="A531" s="127"/>
      <c r="B531" s="13"/>
      <c r="C531" s="14" t="s">
        <v>776</v>
      </c>
      <c r="D531" s="13"/>
      <c r="E531" s="80"/>
      <c r="F531" s="15"/>
      <c r="G531" s="81"/>
      <c r="H531" s="15">
        <f>ROUND(SUM(H526:H530),1)</f>
        <v>1040813.5</v>
      </c>
    </row>
    <row r="532" spans="1:8" ht="16.5" customHeight="1">
      <c r="A532" s="131"/>
      <c r="B532" s="91"/>
      <c r="C532" s="90" t="s">
        <v>678</v>
      </c>
      <c r="D532" s="91"/>
      <c r="E532" s="93"/>
      <c r="F532" s="132"/>
      <c r="G532" s="94"/>
      <c r="H532" s="132">
        <f>ROUND(H533,1)</f>
        <v>294698.2</v>
      </c>
    </row>
    <row r="533" spans="1:8" ht="16.5" hidden="1" customHeight="1">
      <c r="A533" s="127"/>
      <c r="B533" s="13" t="str">
        <f>'Giá tháng'!B$49</f>
        <v>N2.30</v>
      </c>
      <c r="C533" s="14" t="str">
        <f>'Giá tháng'!C$49</f>
        <v>Nhân công 3,0/7 - Nhóm 2</v>
      </c>
      <c r="D533" s="13" t="str">
        <f>'Giá tháng'!D$49</f>
        <v>công</v>
      </c>
      <c r="E533" s="80">
        <f>HaoPhiVatTu!G$462</f>
        <v>1.23</v>
      </c>
      <c r="F533" s="15">
        <f>ROUND('Tổng hợp VT'!O$57,1)</f>
        <v>239592</v>
      </c>
      <c r="G533" s="81">
        <f>'Giá tháng'!G$49</f>
        <v>1</v>
      </c>
      <c r="H533" s="15">
        <f>ROUND(E533*F533*G533,1)</f>
        <v>294698.2</v>
      </c>
    </row>
    <row r="534" spans="1:8" ht="16.5" customHeight="1">
      <c r="A534" s="131"/>
      <c r="B534" s="91"/>
      <c r="C534" s="90" t="s">
        <v>679</v>
      </c>
      <c r="D534" s="91"/>
      <c r="E534" s="93"/>
      <c r="F534" s="132"/>
      <c r="G534" s="94"/>
      <c r="H534" s="132">
        <f>ROUND(H537,1)</f>
        <v>54795.9</v>
      </c>
    </row>
    <row r="535" spans="1:8" ht="27.75" customHeight="1">
      <c r="A535" s="127"/>
      <c r="B535" s="13" t="str">
        <f>'Giá tháng'!B$74</f>
        <v>M104.0102</v>
      </c>
      <c r="C535" s="14" t="str">
        <f>'Giá tháng'!C$74</f>
        <v>Máy trộn bê tông - dung tích : 250,0 lít</v>
      </c>
      <c r="D535" s="13" t="str">
        <f>'Giá tháng'!D$74</f>
        <v>ca</v>
      </c>
      <c r="E535" s="80">
        <f>HaoPhiVatTu!H$464</f>
        <v>9.5000000000000001E-2</v>
      </c>
      <c r="F535" s="15">
        <f>ROUND('Tổng hợp VT'!O$83,1)</f>
        <v>318734</v>
      </c>
      <c r="G535" s="81">
        <f>'Giá tháng'!G$74</f>
        <v>1</v>
      </c>
      <c r="H535" s="15">
        <f>ROUND(E535*F535*G535,1)</f>
        <v>30279.7</v>
      </c>
    </row>
    <row r="536" spans="1:8" ht="27.75" customHeight="1">
      <c r="A536" s="127"/>
      <c r="B536" s="13" t="str">
        <f>'Giá tháng'!B$62</f>
        <v>M112.1301</v>
      </c>
      <c r="C536" s="14" t="str">
        <f>'Giá tháng'!C$62</f>
        <v>Máy đầm bê tông, dầm dùi - công suất : 1,5 kW</v>
      </c>
      <c r="D536" s="13" t="str">
        <f>'Giá tháng'!D$62</f>
        <v>ca</v>
      </c>
      <c r="E536" s="80">
        <f>HaoPhiVatTu!H$465</f>
        <v>8.8999999999999996E-2</v>
      </c>
      <c r="F536" s="15">
        <f>ROUND('Tổng hợp VT'!O$71,1)</f>
        <v>275463</v>
      </c>
      <c r="G536" s="81">
        <f>'Giá tháng'!G$62</f>
        <v>1</v>
      </c>
      <c r="H536" s="15">
        <f>ROUND(E536*F536*G536,1)</f>
        <v>24516.2</v>
      </c>
    </row>
    <row r="537" spans="1:8" ht="16.5" customHeight="1">
      <c r="A537" s="133"/>
      <c r="B537" s="24"/>
      <c r="C537" s="25" t="s">
        <v>776</v>
      </c>
      <c r="D537" s="24"/>
      <c r="E537" s="84"/>
      <c r="F537" s="26"/>
      <c r="G537" s="85"/>
      <c r="H537" s="26">
        <f>ROUND(SUM(H535:H536),1)</f>
        <v>54795.9</v>
      </c>
    </row>
    <row r="538" spans="1:8" ht="27.75" customHeight="1">
      <c r="A538" s="128">
        <f>'Công trình'!A156</f>
        <v>50</v>
      </c>
      <c r="B538" s="129" t="str">
        <f>'Công trình'!E156</f>
        <v>AK.21133A</v>
      </c>
      <c r="C538" s="130" t="str">
        <f>'Công trình'!F156</f>
        <v>Trát tường ngoài, chiều dày trát 2cm, vữa XM mác 75, PCB30</v>
      </c>
      <c r="D538" s="129" t="str">
        <f>'Công trình'!G156</f>
        <v>m2</v>
      </c>
      <c r="E538" s="65">
        <v>1</v>
      </c>
      <c r="F538" s="69"/>
      <c r="G538" s="67"/>
      <c r="H538" s="69"/>
    </row>
    <row r="539" spans="1:8" ht="16.5" customHeight="1">
      <c r="A539" s="131"/>
      <c r="B539" s="91"/>
      <c r="C539" s="90" t="s">
        <v>683</v>
      </c>
      <c r="D539" s="91"/>
      <c r="E539" s="93"/>
      <c r="F539" s="132"/>
      <c r="G539" s="94"/>
      <c r="H539" s="132">
        <f>ROUND(H544,1)</f>
        <v>24806.9</v>
      </c>
    </row>
    <row r="540" spans="1:8" ht="27.75" hidden="1" customHeight="1">
      <c r="A540" s="127"/>
      <c r="B540" s="13" t="str">
        <f>'Giá tháng'!B$45</f>
        <v>A24.0797A</v>
      </c>
      <c r="C540" s="14" t="str">
        <f>'Giá tháng'!C$45</f>
        <v>Xi măng PCB30</v>
      </c>
      <c r="D540" s="13" t="str">
        <f>'Giá tháng'!D$45</f>
        <v>kg</v>
      </c>
      <c r="E540" s="80">
        <f>HaoPhiVatTu!F$468</f>
        <v>8.8550000000000004</v>
      </c>
      <c r="F540" s="15">
        <f>ROUND('Tổng hợp VT'!O$49,1)</f>
        <v>1481</v>
      </c>
      <c r="G540" s="81">
        <f>'Giá tháng'!G$45</f>
        <v>1</v>
      </c>
      <c r="H540" s="15">
        <f>ROUND(E540*F540*G540,1)</f>
        <v>13114.3</v>
      </c>
    </row>
    <row r="541" spans="1:8" ht="16.5" hidden="1" customHeight="1">
      <c r="A541" s="127"/>
      <c r="B541" s="13" t="str">
        <f>'Giá tháng'!B$8</f>
        <v>A24.0175</v>
      </c>
      <c r="C541" s="14" t="str">
        <f>'Giá tháng'!C$8</f>
        <v>Cát mịn ML=0,7-1,4</v>
      </c>
      <c r="D541" s="13" t="str">
        <f>'Giá tháng'!D$8</f>
        <v>m3</v>
      </c>
      <c r="E541" s="80">
        <f>HaoPhiVatTu!F$469</f>
        <v>2.5714000000000001E-2</v>
      </c>
      <c r="F541" s="15">
        <f>ROUND('Tổng hợp VT'!O$13,1)</f>
        <v>445000</v>
      </c>
      <c r="G541" s="81">
        <f>'Giá tháng'!G$8</f>
        <v>1</v>
      </c>
      <c r="H541" s="15">
        <f>ROUND(E541*F541*G541,1)</f>
        <v>11442.7</v>
      </c>
    </row>
    <row r="542" spans="1:8" ht="16.5" hidden="1" customHeight="1">
      <c r="A542" s="127"/>
      <c r="B542" s="13" t="str">
        <f>'Giá tháng'!B$32</f>
        <v>A24.0524</v>
      </c>
      <c r="C542" s="14" t="str">
        <f>'Giá tháng'!C$32</f>
        <v>Nước</v>
      </c>
      <c r="D542" s="13" t="str">
        <f>'Giá tháng'!D$32</f>
        <v>lít</v>
      </c>
      <c r="E542" s="80">
        <f>HaoPhiVatTu!F$470</f>
        <v>6.3250000000000002</v>
      </c>
      <c r="F542" s="15">
        <f>ROUND('Tổng hợp VT'!O$37,1)</f>
        <v>20</v>
      </c>
      <c r="G542" s="81">
        <f>'Giá tháng'!G$32</f>
        <v>1</v>
      </c>
      <c r="H542" s="15">
        <f>ROUND(E542*F542*G542,1)</f>
        <v>126.5</v>
      </c>
    </row>
    <row r="543" spans="1:8" ht="16.5" hidden="1" customHeight="1">
      <c r="A543" s="127"/>
      <c r="B543" s="13" t="s">
        <v>684</v>
      </c>
      <c r="C543" s="14" t="s">
        <v>685</v>
      </c>
      <c r="D543" s="13" t="s">
        <v>682</v>
      </c>
      <c r="E543" s="80">
        <f>HaoPhiVatTu!F$471</f>
        <v>0.5</v>
      </c>
      <c r="F543" s="15">
        <f>ROUND(SUM(H540:H542),1)</f>
        <v>24683.5</v>
      </c>
      <c r="G543" s="81"/>
      <c r="H543" s="15">
        <f>ROUND(E543*F543/100,1)</f>
        <v>123.4</v>
      </c>
    </row>
    <row r="544" spans="1:8" ht="16.5" customHeight="1">
      <c r="A544" s="127"/>
      <c r="B544" s="13"/>
      <c r="C544" s="14" t="s">
        <v>776</v>
      </c>
      <c r="D544" s="13"/>
      <c r="E544" s="80"/>
      <c r="F544" s="15"/>
      <c r="G544" s="81"/>
      <c r="H544" s="15">
        <f>ROUND(SUM(H540:H543),1)</f>
        <v>24806.9</v>
      </c>
    </row>
    <row r="545" spans="1:8" ht="16.5" customHeight="1">
      <c r="A545" s="131"/>
      <c r="B545" s="91"/>
      <c r="C545" s="90" t="s">
        <v>678</v>
      </c>
      <c r="D545" s="91"/>
      <c r="E545" s="93"/>
      <c r="F545" s="132"/>
      <c r="G545" s="94"/>
      <c r="H545" s="132">
        <f>ROUND(H546,1)</f>
        <v>83840</v>
      </c>
    </row>
    <row r="546" spans="1:8" ht="16.5" hidden="1" customHeight="1">
      <c r="A546" s="127"/>
      <c r="B546" s="13" t="str">
        <f>'Giá tháng'!B$51</f>
        <v>N2.35</v>
      </c>
      <c r="C546" s="14" t="str">
        <f>'Giá tháng'!C$51</f>
        <v>Nhân công 3,5/7 - Nhóm 2</v>
      </c>
      <c r="D546" s="13" t="str">
        <f>'Giá tháng'!D$51</f>
        <v>công</v>
      </c>
      <c r="E546" s="80">
        <f>HaoPhiVatTu!G$473</f>
        <v>0.32</v>
      </c>
      <c r="F546" s="15">
        <f>ROUND('Tổng hợp VT'!O$59,1)</f>
        <v>262000</v>
      </c>
      <c r="G546" s="81">
        <f>'Giá tháng'!G$51</f>
        <v>1</v>
      </c>
      <c r="H546" s="15">
        <f>ROUND(E546*F546*G546,1)</f>
        <v>83840</v>
      </c>
    </row>
    <row r="547" spans="1:8" ht="16.5" customHeight="1">
      <c r="A547" s="131"/>
      <c r="B547" s="91"/>
      <c r="C547" s="90" t="s">
        <v>679</v>
      </c>
      <c r="D547" s="91"/>
      <c r="E547" s="93"/>
      <c r="F547" s="132"/>
      <c r="G547" s="94"/>
      <c r="H547" s="132">
        <f>ROUND(H548,1)</f>
        <v>880.1</v>
      </c>
    </row>
    <row r="548" spans="1:8" ht="27.75" customHeight="1">
      <c r="A548" s="133"/>
      <c r="B548" s="24" t="str">
        <f>'Giá tháng'!B$75</f>
        <v>M104.0202</v>
      </c>
      <c r="C548" s="25" t="str">
        <f>'Giá tháng'!C$75</f>
        <v>Máy trộn vữa 150 lít</v>
      </c>
      <c r="D548" s="24" t="str">
        <f>'Giá tháng'!D$75</f>
        <v>ca</v>
      </c>
      <c r="E548" s="84">
        <f>HaoPhiVatTu!H$475</f>
        <v>3.0000000000000001E-3</v>
      </c>
      <c r="F548" s="26">
        <f>ROUND('Tổng hợp VT'!O$84,1)</f>
        <v>293362</v>
      </c>
      <c r="G548" s="85">
        <f>'Giá tháng'!G$75</f>
        <v>1</v>
      </c>
      <c r="H548" s="26">
        <f>ROUND(E548*F548*G548,1)</f>
        <v>880.1</v>
      </c>
    </row>
    <row r="549" spans="1:8" ht="27.75" customHeight="1">
      <c r="A549" s="128">
        <f>'Công trình'!A158</f>
        <v>51</v>
      </c>
      <c r="B549" s="129" t="str">
        <f>'Công trình'!E158</f>
        <v>AF.81141</v>
      </c>
      <c r="C549" s="130" t="str">
        <f>'Công trình'!F158</f>
        <v>Ván khuôn gỗ. Ván khuôn cổ tường</v>
      </c>
      <c r="D549" s="129" t="str">
        <f>'Công trình'!G158</f>
        <v>100m2</v>
      </c>
      <c r="E549" s="65">
        <v>1</v>
      </c>
      <c r="F549" s="69"/>
      <c r="G549" s="67"/>
      <c r="H549" s="69"/>
    </row>
    <row r="550" spans="1:8" ht="16.5" customHeight="1">
      <c r="A550" s="131"/>
      <c r="B550" s="91"/>
      <c r="C550" s="90" t="s">
        <v>683</v>
      </c>
      <c r="D550" s="91"/>
      <c r="E550" s="93"/>
      <c r="F550" s="132"/>
      <c r="G550" s="94"/>
      <c r="H550" s="132">
        <f>ROUND(H556,1)</f>
        <v>8793002.5</v>
      </c>
    </row>
    <row r="551" spans="1:8" ht="16.5" hidden="1" customHeight="1">
      <c r="A551" s="127"/>
      <c r="B551" s="13" t="str">
        <f>'Giá tháng'!B$23</f>
        <v>A24.0418</v>
      </c>
      <c r="C551" s="14" t="str">
        <f>'Giá tháng'!C$23</f>
        <v>Gỗ ván</v>
      </c>
      <c r="D551" s="13" t="str">
        <f>'Giá tháng'!D$23</f>
        <v>m3</v>
      </c>
      <c r="E551" s="80">
        <f>HaoPhiVatTu!F$478</f>
        <v>0.79400000000000004</v>
      </c>
      <c r="F551" s="15">
        <f>ROUND('Tổng hợp VT'!O$28,1)</f>
        <v>4318182</v>
      </c>
      <c r="G551" s="81">
        <f>'Giá tháng'!G$23</f>
        <v>1</v>
      </c>
      <c r="H551" s="15">
        <f>ROUND(E551*F551*G551,1)</f>
        <v>3428636.5</v>
      </c>
    </row>
    <row r="552" spans="1:8" ht="16.5" hidden="1" customHeight="1">
      <c r="A552" s="127"/>
      <c r="B552" s="13" t="str">
        <f>'Giá tháng'!B$22</f>
        <v>A24.0404</v>
      </c>
      <c r="C552" s="14" t="str">
        <f>'Giá tháng'!C$22</f>
        <v>Gỗ đà nẹp</v>
      </c>
      <c r="D552" s="13" t="str">
        <f>'Giá tháng'!D$22</f>
        <v>m3</v>
      </c>
      <c r="E552" s="80">
        <f>HaoPhiVatTu!F$479</f>
        <v>0.189</v>
      </c>
      <c r="F552" s="15">
        <f>ROUND('Tổng hợp VT'!O$27,1)</f>
        <v>4318182</v>
      </c>
      <c r="G552" s="81">
        <f>'Giá tháng'!G$22</f>
        <v>1</v>
      </c>
      <c r="H552" s="15">
        <f>ROUND(E552*F552*G552,1)</f>
        <v>816136.4</v>
      </c>
    </row>
    <row r="553" spans="1:8" ht="16.5" hidden="1" customHeight="1">
      <c r="A553" s="127"/>
      <c r="B553" s="13" t="str">
        <f>'Giá tháng'!B$21</f>
        <v>A24.0406</v>
      </c>
      <c r="C553" s="14" t="str">
        <f>'Giá tháng'!C$21</f>
        <v>Gỗ chống</v>
      </c>
      <c r="D553" s="13" t="str">
        <f>'Giá tháng'!D$21</f>
        <v>m3</v>
      </c>
      <c r="E553" s="80">
        <f>HaoPhiVatTu!F$480</f>
        <v>0.95699999999999996</v>
      </c>
      <c r="F553" s="15">
        <f>ROUND('Tổng hợp VT'!O$26,1)</f>
        <v>4318182</v>
      </c>
      <c r="G553" s="81">
        <f>'Giá tháng'!G$21</f>
        <v>1</v>
      </c>
      <c r="H553" s="15">
        <f>ROUND(E553*F553*G553,1)</f>
        <v>4132500.2</v>
      </c>
    </row>
    <row r="554" spans="1:8" ht="16.5" hidden="1" customHeight="1">
      <c r="A554" s="127"/>
      <c r="B554" s="13" t="str">
        <f>'Giá tháng'!B$19</f>
        <v>A24.0054</v>
      </c>
      <c r="C554" s="14" t="str">
        <f>'Giá tháng'!C$19</f>
        <v>Đinh</v>
      </c>
      <c r="D554" s="13" t="str">
        <f>'Giá tháng'!D$19</f>
        <v>kg</v>
      </c>
      <c r="E554" s="80">
        <f>HaoPhiVatTu!F$481</f>
        <v>14.29</v>
      </c>
      <c r="F554" s="15">
        <f>ROUND('Tổng hợp VT'!O$24,1)</f>
        <v>23000</v>
      </c>
      <c r="G554" s="81">
        <f>'Giá tháng'!G$19</f>
        <v>1</v>
      </c>
      <c r="H554" s="15">
        <f>ROUND(E554*F554*G554,1)</f>
        <v>328670</v>
      </c>
    </row>
    <row r="555" spans="1:8" ht="16.5" hidden="1" customHeight="1">
      <c r="A555" s="127"/>
      <c r="B555" s="13" t="s">
        <v>684</v>
      </c>
      <c r="C555" s="14" t="s">
        <v>685</v>
      </c>
      <c r="D555" s="13" t="s">
        <v>682</v>
      </c>
      <c r="E555" s="80">
        <f>HaoPhiVatTu!F$482</f>
        <v>1</v>
      </c>
      <c r="F555" s="15">
        <f>ROUND(SUM(H551:H554),1)</f>
        <v>8705943.0999999996</v>
      </c>
      <c r="G555" s="81"/>
      <c r="H555" s="15">
        <f>ROUND(E555*F555/100,1)</f>
        <v>87059.4</v>
      </c>
    </row>
    <row r="556" spans="1:8" ht="16.5" customHeight="1">
      <c r="A556" s="127"/>
      <c r="B556" s="13"/>
      <c r="C556" s="14" t="s">
        <v>776</v>
      </c>
      <c r="D556" s="13"/>
      <c r="E556" s="80"/>
      <c r="F556" s="15"/>
      <c r="G556" s="81"/>
      <c r="H556" s="15">
        <f>ROUND(SUM(H551:H555),1)</f>
        <v>8793002.5</v>
      </c>
    </row>
    <row r="557" spans="1:8" ht="16.5" customHeight="1">
      <c r="A557" s="131"/>
      <c r="B557" s="91"/>
      <c r="C557" s="90" t="s">
        <v>678</v>
      </c>
      <c r="D557" s="91"/>
      <c r="E557" s="93"/>
      <c r="F557" s="132"/>
      <c r="G557" s="94"/>
      <c r="H557" s="132">
        <f>ROUND(H558,1)</f>
        <v>7205000</v>
      </c>
    </row>
    <row r="558" spans="1:8" ht="16.5" hidden="1" customHeight="1">
      <c r="A558" s="133"/>
      <c r="B558" s="24" t="str">
        <f>'Giá tháng'!B$51</f>
        <v>N2.35</v>
      </c>
      <c r="C558" s="25" t="str">
        <f>'Giá tháng'!C$51</f>
        <v>Nhân công 3,5/7 - Nhóm 2</v>
      </c>
      <c r="D558" s="24" t="str">
        <f>'Giá tháng'!D$51</f>
        <v>công</v>
      </c>
      <c r="E558" s="84">
        <f>HaoPhiVatTu!G$484</f>
        <v>27.5</v>
      </c>
      <c r="F558" s="26">
        <f>ROUND('Tổng hợp VT'!O$59,1)</f>
        <v>262000</v>
      </c>
      <c r="G558" s="85">
        <f>'Giá tháng'!G$51</f>
        <v>1</v>
      </c>
      <c r="H558" s="26">
        <f>ROUND(E558*F558*G558,1)</f>
        <v>7205000</v>
      </c>
    </row>
    <row r="559" spans="1:8" ht="16.5" customHeight="1">
      <c r="A559" s="128">
        <f>'Công trình'!A160</f>
        <v>52</v>
      </c>
      <c r="B559" s="129" t="str">
        <f>'Công trình'!E160</f>
        <v>AF.12314A</v>
      </c>
      <c r="C559" s="130" t="str">
        <f>'Công trình'!F160</f>
        <v>Bê tông cổ tường M250, đá 1x2</v>
      </c>
      <c r="D559" s="129" t="str">
        <f>'Công trình'!G160</f>
        <v>m3</v>
      </c>
      <c r="E559" s="65">
        <v>1</v>
      </c>
      <c r="F559" s="69"/>
      <c r="G559" s="67"/>
      <c r="H559" s="69"/>
    </row>
    <row r="560" spans="1:8" ht="16.5" customHeight="1">
      <c r="A560" s="131"/>
      <c r="B560" s="91"/>
      <c r="C560" s="90" t="s">
        <v>683</v>
      </c>
      <c r="D560" s="91"/>
      <c r="E560" s="93"/>
      <c r="F560" s="132"/>
      <c r="G560" s="94"/>
      <c r="H560" s="132">
        <f>ROUND(H566,1)</f>
        <v>1099539</v>
      </c>
    </row>
    <row r="561" spans="1:8" ht="27.75" hidden="1" customHeight="1">
      <c r="A561" s="127"/>
      <c r="B561" s="13" t="str">
        <f>'Giá tháng'!B$45</f>
        <v>A24.0797A</v>
      </c>
      <c r="C561" s="14" t="str">
        <f>'Giá tháng'!C$45</f>
        <v>Xi măng PCB30</v>
      </c>
      <c r="D561" s="13" t="str">
        <f>'Giá tháng'!D$45</f>
        <v>kg</v>
      </c>
      <c r="E561" s="80">
        <f>HaoPhiVatTu!F$487</f>
        <v>369</v>
      </c>
      <c r="F561" s="15">
        <f>ROUND('Tổng hợp VT'!O$49,1)</f>
        <v>1481</v>
      </c>
      <c r="G561" s="81">
        <f>'Giá tháng'!G$45</f>
        <v>1</v>
      </c>
      <c r="H561" s="15">
        <f>ROUND(E561*F561*G561,1)</f>
        <v>546489</v>
      </c>
    </row>
    <row r="562" spans="1:8" ht="16.5" hidden="1" customHeight="1">
      <c r="A562" s="127"/>
      <c r="B562" s="13" t="str">
        <f>'Giá tháng'!B$10</f>
        <v>A24.0180</v>
      </c>
      <c r="C562" s="14" t="str">
        <f>'Giá tháng'!C$10</f>
        <v>Cát vàng</v>
      </c>
      <c r="D562" s="13" t="str">
        <f>'Giá tháng'!D$10</f>
        <v>m3</v>
      </c>
      <c r="E562" s="80">
        <f>HaoPhiVatTu!F$488</f>
        <v>0.517625</v>
      </c>
      <c r="F562" s="15">
        <f>ROUND('Tổng hợp VT'!O$15,1)</f>
        <v>480000</v>
      </c>
      <c r="G562" s="81">
        <f>'Giá tháng'!G$10</f>
        <v>1</v>
      </c>
      <c r="H562" s="15">
        <f>ROUND(E562*F562*G562,1)</f>
        <v>248460</v>
      </c>
    </row>
    <row r="563" spans="1:8" ht="16.5" hidden="1" customHeight="1">
      <c r="A563" s="127"/>
      <c r="B563" s="13" t="str">
        <f>'Giá tháng'!B$15</f>
        <v>A24.0008</v>
      </c>
      <c r="C563" s="14" t="str">
        <f>'Giá tháng'!C$15</f>
        <v>Đá 1x2</v>
      </c>
      <c r="D563" s="13" t="str">
        <f>'Giá tháng'!D$15</f>
        <v>m3</v>
      </c>
      <c r="E563" s="80">
        <f>HaoPhiVatTu!F$489</f>
        <v>0.8528</v>
      </c>
      <c r="F563" s="15">
        <f>ROUND('Tổng hợp VT'!O$20,1)</f>
        <v>340000</v>
      </c>
      <c r="G563" s="81">
        <f>'Giá tháng'!G$15</f>
        <v>1</v>
      </c>
      <c r="H563" s="15">
        <f>ROUND(E563*F563*G563,1)</f>
        <v>289952</v>
      </c>
    </row>
    <row r="564" spans="1:8" ht="16.5" hidden="1" customHeight="1">
      <c r="A564" s="127"/>
      <c r="B564" s="13" t="str">
        <f>'Giá tháng'!B$32</f>
        <v>A24.0524</v>
      </c>
      <c r="C564" s="14" t="str">
        <f>'Giá tháng'!C$32</f>
        <v>Nước</v>
      </c>
      <c r="D564" s="13" t="str">
        <f>'Giá tháng'!D$32</f>
        <v>lít</v>
      </c>
      <c r="E564" s="80">
        <f>HaoPhiVatTu!F$490</f>
        <v>187.57499999999999</v>
      </c>
      <c r="F564" s="15">
        <f>ROUND('Tổng hợp VT'!O$37,1)</f>
        <v>20</v>
      </c>
      <c r="G564" s="81">
        <f>'Giá tháng'!G$32</f>
        <v>1</v>
      </c>
      <c r="H564" s="15">
        <f>ROUND(E564*F564*G564,1)</f>
        <v>3751.5</v>
      </c>
    </row>
    <row r="565" spans="1:8" ht="16.5" hidden="1" customHeight="1">
      <c r="A565" s="127"/>
      <c r="B565" s="13" t="s">
        <v>684</v>
      </c>
      <c r="C565" s="14" t="s">
        <v>685</v>
      </c>
      <c r="D565" s="13" t="s">
        <v>682</v>
      </c>
      <c r="E565" s="80">
        <f>HaoPhiVatTu!F$491</f>
        <v>1</v>
      </c>
      <c r="F565" s="15">
        <f>ROUND(SUM(H561:H564),1)</f>
        <v>1088652.5</v>
      </c>
      <c r="G565" s="81"/>
      <c r="H565" s="15">
        <f>ROUND(E565*F565/100,1)</f>
        <v>10886.5</v>
      </c>
    </row>
    <row r="566" spans="1:8" ht="16.5" customHeight="1">
      <c r="A566" s="127"/>
      <c r="B566" s="13"/>
      <c r="C566" s="14" t="s">
        <v>776</v>
      </c>
      <c r="D566" s="13"/>
      <c r="E566" s="80"/>
      <c r="F566" s="15"/>
      <c r="G566" s="81"/>
      <c r="H566" s="15">
        <f>ROUND(SUM(H561:H565),1)</f>
        <v>1099539</v>
      </c>
    </row>
    <row r="567" spans="1:8" ht="16.5" customHeight="1">
      <c r="A567" s="131"/>
      <c r="B567" s="91"/>
      <c r="C567" s="90" t="s">
        <v>678</v>
      </c>
      <c r="D567" s="91"/>
      <c r="E567" s="93"/>
      <c r="F567" s="132"/>
      <c r="G567" s="94"/>
      <c r="H567" s="132">
        <f>ROUND(H568,1)</f>
        <v>639710.6</v>
      </c>
    </row>
    <row r="568" spans="1:8" ht="16.5" hidden="1" customHeight="1">
      <c r="A568" s="127"/>
      <c r="B568" s="13" t="str">
        <f>'Giá tháng'!B$49</f>
        <v>N2.30</v>
      </c>
      <c r="C568" s="14" t="str">
        <f>'Giá tháng'!C$49</f>
        <v>Nhân công 3,0/7 - Nhóm 2</v>
      </c>
      <c r="D568" s="13" t="str">
        <f>'Giá tháng'!D$49</f>
        <v>công</v>
      </c>
      <c r="E568" s="80">
        <f>HaoPhiVatTu!G$493</f>
        <v>2.67</v>
      </c>
      <c r="F568" s="15">
        <f>ROUND('Tổng hợp VT'!O$57,1)</f>
        <v>239592</v>
      </c>
      <c r="G568" s="81">
        <f>'Giá tháng'!G$49</f>
        <v>1</v>
      </c>
      <c r="H568" s="15">
        <f>ROUND(E568*F568*G568,1)</f>
        <v>639710.6</v>
      </c>
    </row>
    <row r="569" spans="1:8" ht="16.5" customHeight="1">
      <c r="A569" s="131"/>
      <c r="B569" s="91"/>
      <c r="C569" s="90" t="s">
        <v>679</v>
      </c>
      <c r="D569" s="91"/>
      <c r="E569" s="93"/>
      <c r="F569" s="132"/>
      <c r="G569" s="94"/>
      <c r="H569" s="132">
        <f>ROUND(H572,1)</f>
        <v>79863</v>
      </c>
    </row>
    <row r="570" spans="1:8" ht="27.75" customHeight="1">
      <c r="A570" s="127"/>
      <c r="B570" s="13" t="str">
        <f>'Giá tháng'!B$74</f>
        <v>M104.0102</v>
      </c>
      <c r="C570" s="14" t="str">
        <f>'Giá tháng'!C$74</f>
        <v>Máy trộn bê tông - dung tích : 250,0 lít</v>
      </c>
      <c r="D570" s="13" t="str">
        <f>'Giá tháng'!D$74</f>
        <v>ca</v>
      </c>
      <c r="E570" s="80">
        <f>HaoPhiVatTu!H$495</f>
        <v>9.5000000000000001E-2</v>
      </c>
      <c r="F570" s="15">
        <f>ROUND('Tổng hợp VT'!O$83,1)</f>
        <v>318734</v>
      </c>
      <c r="G570" s="81">
        <f>'Giá tháng'!G$74</f>
        <v>1</v>
      </c>
      <c r="H570" s="15">
        <f>ROUND(E570*F570*G570,1)</f>
        <v>30279.7</v>
      </c>
    </row>
    <row r="571" spans="1:8" ht="27.75" customHeight="1">
      <c r="A571" s="127"/>
      <c r="B571" s="13" t="str">
        <f>'Giá tháng'!B$62</f>
        <v>M112.1301</v>
      </c>
      <c r="C571" s="14" t="str">
        <f>'Giá tháng'!C$62</f>
        <v>Máy đầm bê tông, dầm dùi - công suất : 1,5 kW</v>
      </c>
      <c r="D571" s="13" t="str">
        <f>'Giá tháng'!D$62</f>
        <v>ca</v>
      </c>
      <c r="E571" s="80">
        <f>HaoPhiVatTu!H$496</f>
        <v>0.18</v>
      </c>
      <c r="F571" s="15">
        <f>ROUND('Tổng hợp VT'!O$71,1)</f>
        <v>275463</v>
      </c>
      <c r="G571" s="81">
        <f>'Giá tháng'!G$62</f>
        <v>1</v>
      </c>
      <c r="H571" s="15">
        <f>ROUND(E571*F571*G571,1)</f>
        <v>49583.3</v>
      </c>
    </row>
    <row r="572" spans="1:8" ht="16.5" customHeight="1">
      <c r="A572" s="133"/>
      <c r="B572" s="24"/>
      <c r="C572" s="25" t="s">
        <v>776</v>
      </c>
      <c r="D572" s="24"/>
      <c r="E572" s="84"/>
      <c r="F572" s="26"/>
      <c r="G572" s="85"/>
      <c r="H572" s="26">
        <f>ROUND(SUM(H570:H571),1)</f>
        <v>79863</v>
      </c>
    </row>
    <row r="573" spans="1:8" ht="27.75" customHeight="1">
      <c r="A573" s="128">
        <f>'Công trình'!A162</f>
        <v>53</v>
      </c>
      <c r="B573" s="129" t="str">
        <f>'Công trình'!E162</f>
        <v>AF.61511</v>
      </c>
      <c r="C573" s="130" t="str">
        <f>'Công trình'!F162</f>
        <v>Công tác gia công lắp dựng cốt thép. Cốt thép cổ tường</v>
      </c>
      <c r="D573" s="129" t="str">
        <f>'Công trình'!G162</f>
        <v>tấn</v>
      </c>
      <c r="E573" s="65">
        <v>1</v>
      </c>
      <c r="F573" s="69"/>
      <c r="G573" s="67"/>
      <c r="H573" s="69"/>
    </row>
    <row r="574" spans="1:8" ht="16.5" customHeight="1">
      <c r="A574" s="131"/>
      <c r="B574" s="91"/>
      <c r="C574" s="90" t="s">
        <v>683</v>
      </c>
      <c r="D574" s="91"/>
      <c r="E574" s="93"/>
      <c r="F574" s="132"/>
      <c r="G574" s="94"/>
      <c r="H574" s="132">
        <f>ROUND(H577,1)</f>
        <v>16968180</v>
      </c>
    </row>
    <row r="575" spans="1:8" ht="16.5" hidden="1" customHeight="1">
      <c r="A575" s="127"/>
      <c r="B575" s="13" t="str">
        <f>'Giá tháng'!B$42</f>
        <v>A24.0738</v>
      </c>
      <c r="C575" s="14" t="str">
        <f>'Giá tháng'!C$42</f>
        <v>Thép tròn D&lt;=10mm</v>
      </c>
      <c r="D575" s="13" t="str">
        <f>'Giá tháng'!D$42</f>
        <v>kg</v>
      </c>
      <c r="E575" s="80">
        <f>HaoPhiVatTu!F$499</f>
        <v>1005</v>
      </c>
      <c r="F575" s="15">
        <f>ROUND('Tổng hợp VT'!O$47,1)</f>
        <v>16500</v>
      </c>
      <c r="G575" s="81">
        <f>'Giá tháng'!G$42</f>
        <v>1</v>
      </c>
      <c r="H575" s="15">
        <f>ROUND(E575*F575*G575,1)</f>
        <v>16582500</v>
      </c>
    </row>
    <row r="576" spans="1:8" ht="16.5" hidden="1" customHeight="1">
      <c r="A576" s="127"/>
      <c r="B576" s="13" t="str">
        <f>'Giá tháng'!B$14</f>
        <v>A24.0293</v>
      </c>
      <c r="C576" s="14" t="str">
        <f>'Giá tháng'!C$14</f>
        <v>Dây thép</v>
      </c>
      <c r="D576" s="13" t="str">
        <f>'Giá tháng'!D$14</f>
        <v>kg</v>
      </c>
      <c r="E576" s="80">
        <f>HaoPhiVatTu!F$500</f>
        <v>16.07</v>
      </c>
      <c r="F576" s="15">
        <f>ROUND('Tổng hợp VT'!O$19,1)</f>
        <v>24000</v>
      </c>
      <c r="G576" s="81">
        <f>'Giá tháng'!G$14</f>
        <v>1</v>
      </c>
      <c r="H576" s="15">
        <f>ROUND(E576*F576*G576,1)</f>
        <v>385680</v>
      </c>
    </row>
    <row r="577" spans="1:8" ht="16.5" customHeight="1">
      <c r="A577" s="127"/>
      <c r="B577" s="13"/>
      <c r="C577" s="14" t="s">
        <v>776</v>
      </c>
      <c r="D577" s="13"/>
      <c r="E577" s="80"/>
      <c r="F577" s="15"/>
      <c r="G577" s="81"/>
      <c r="H577" s="15">
        <f>ROUND(SUM(H575:H576),1)</f>
        <v>16968180</v>
      </c>
    </row>
    <row r="578" spans="1:8" ht="16.5" customHeight="1">
      <c r="A578" s="131"/>
      <c r="B578" s="91"/>
      <c r="C578" s="90" t="s">
        <v>678</v>
      </c>
      <c r="D578" s="91"/>
      <c r="E578" s="93"/>
      <c r="F578" s="132"/>
      <c r="G578" s="94"/>
      <c r="H578" s="132">
        <f>ROUND(H579,1)</f>
        <v>4032180</v>
      </c>
    </row>
    <row r="579" spans="1:8" ht="16.5" hidden="1" customHeight="1">
      <c r="A579" s="127"/>
      <c r="B579" s="13" t="str">
        <f>'Giá tháng'!B$51</f>
        <v>N2.35</v>
      </c>
      <c r="C579" s="14" t="str">
        <f>'Giá tháng'!C$51</f>
        <v>Nhân công 3,5/7 - Nhóm 2</v>
      </c>
      <c r="D579" s="13" t="str">
        <f>'Giá tháng'!D$51</f>
        <v>công</v>
      </c>
      <c r="E579" s="80">
        <f>HaoPhiVatTu!G$502</f>
        <v>15.39</v>
      </c>
      <c r="F579" s="15">
        <f>ROUND('Tổng hợp VT'!O$59,1)</f>
        <v>262000</v>
      </c>
      <c r="G579" s="81">
        <f>'Giá tháng'!G$51</f>
        <v>1</v>
      </c>
      <c r="H579" s="15">
        <f>ROUND(E579*F579*G579,1)</f>
        <v>4032180</v>
      </c>
    </row>
    <row r="580" spans="1:8" ht="16.5" customHeight="1">
      <c r="A580" s="131"/>
      <c r="B580" s="91"/>
      <c r="C580" s="90" t="s">
        <v>679</v>
      </c>
      <c r="D580" s="91"/>
      <c r="E580" s="93"/>
      <c r="F580" s="132"/>
      <c r="G580" s="94"/>
      <c r="H580" s="132">
        <f>ROUND(H581,1)</f>
        <v>111836.4</v>
      </c>
    </row>
    <row r="581" spans="1:8" ht="27.75" customHeight="1">
      <c r="A581" s="133"/>
      <c r="B581" s="24" t="str">
        <f>'Giá tháng'!B$56</f>
        <v>M112.2601</v>
      </c>
      <c r="C581" s="25" t="str">
        <f>'Giá tháng'!C$56</f>
        <v>Máy cắt uốn cốt thép - công suất : 5,0 kW</v>
      </c>
      <c r="D581" s="24" t="str">
        <f>'Giá tháng'!D$56</f>
        <v>ca</v>
      </c>
      <c r="E581" s="84">
        <f>HaoPhiVatTu!H$504</f>
        <v>0.4</v>
      </c>
      <c r="F581" s="26">
        <f>ROUND('Tổng hợp VT'!O$65,1)</f>
        <v>279591</v>
      </c>
      <c r="G581" s="85">
        <f>'Giá tháng'!G$56</f>
        <v>1</v>
      </c>
      <c r="H581" s="26">
        <f>ROUND(E581*F581*G581,1)</f>
        <v>111836.4</v>
      </c>
    </row>
    <row r="582" spans="1:8" ht="53.25" customHeight="1">
      <c r="A582" s="128">
        <f>'Công trình'!A164</f>
        <v>54</v>
      </c>
      <c r="B582" s="129" t="str">
        <f>'Công trình'!E164</f>
        <v>AF.61521</v>
      </c>
      <c r="C582" s="130" t="str">
        <f>'Công trình'!F164</f>
        <v>Công tác gia công lắp dựng cốt thép. Cốt thép xà dầm, giằng, đường kính cốt thép &lt;= 18mm, chiều cao &lt;= 6m</v>
      </c>
      <c r="D582" s="129" t="str">
        <f>'Công trình'!G164</f>
        <v>tấn</v>
      </c>
      <c r="E582" s="65">
        <v>1</v>
      </c>
      <c r="F582" s="69"/>
      <c r="G582" s="67"/>
      <c r="H582" s="69"/>
    </row>
    <row r="583" spans="1:8" ht="16.5" customHeight="1">
      <c r="A583" s="131"/>
      <c r="B583" s="91"/>
      <c r="C583" s="90" t="s">
        <v>683</v>
      </c>
      <c r="D583" s="91"/>
      <c r="E583" s="93"/>
      <c r="F583" s="132"/>
      <c r="G583" s="94"/>
      <c r="H583" s="132">
        <f>ROUND(H587,1)</f>
        <v>17170220</v>
      </c>
    </row>
    <row r="584" spans="1:8" ht="16.5" hidden="1" customHeight="1">
      <c r="A584" s="127"/>
      <c r="B584" s="13" t="str">
        <f>'Giá tháng'!B$43</f>
        <v>A24.0739</v>
      </c>
      <c r="C584" s="14" t="str">
        <f>'Giá tháng'!C$43</f>
        <v>Thép tròn D&lt;=18mm</v>
      </c>
      <c r="D584" s="13" t="str">
        <f>'Giá tháng'!D$43</f>
        <v>kg</v>
      </c>
      <c r="E584" s="80">
        <f>HaoPhiVatTu!F$507</f>
        <v>1020</v>
      </c>
      <c r="F584" s="15">
        <f>ROUND('Tổng hợp VT'!O$48,1)</f>
        <v>16500</v>
      </c>
      <c r="G584" s="81">
        <f>'Giá tháng'!G$43</f>
        <v>1</v>
      </c>
      <c r="H584" s="15">
        <f>ROUND(E584*F584*G584,1)</f>
        <v>16830000</v>
      </c>
    </row>
    <row r="585" spans="1:8" ht="16.5" hidden="1" customHeight="1">
      <c r="A585" s="127"/>
      <c r="B585" s="13" t="str">
        <f>'Giá tháng'!B$14</f>
        <v>A24.0293</v>
      </c>
      <c r="C585" s="14" t="str">
        <f>'Giá tháng'!C$14</f>
        <v>Dây thép</v>
      </c>
      <c r="D585" s="13" t="str">
        <f>'Giá tháng'!D$14</f>
        <v>kg</v>
      </c>
      <c r="E585" s="80">
        <f>HaoPhiVatTu!F$508</f>
        <v>9.2799999999999994</v>
      </c>
      <c r="F585" s="15">
        <f>ROUND('Tổng hợp VT'!O$19,1)</f>
        <v>24000</v>
      </c>
      <c r="G585" s="81">
        <f>'Giá tháng'!G$14</f>
        <v>1</v>
      </c>
      <c r="H585" s="15">
        <f>ROUND(E585*F585*G585,1)</f>
        <v>222720</v>
      </c>
    </row>
    <row r="586" spans="1:8" ht="16.5" hidden="1" customHeight="1">
      <c r="A586" s="127"/>
      <c r="B586" s="13" t="str">
        <f>'Giá tháng'!B$37</f>
        <v>A24.0543</v>
      </c>
      <c r="C586" s="14" t="str">
        <f>'Giá tháng'!C$37</f>
        <v>Que hàn</v>
      </c>
      <c r="D586" s="13" t="str">
        <f>'Giá tháng'!D$37</f>
        <v>kg</v>
      </c>
      <c r="E586" s="80">
        <f>HaoPhiVatTu!F$509</f>
        <v>4.7</v>
      </c>
      <c r="F586" s="15">
        <f>ROUND('Tổng hợp VT'!O$42,1)</f>
        <v>25000</v>
      </c>
      <c r="G586" s="81">
        <f>'Giá tháng'!G$37</f>
        <v>1</v>
      </c>
      <c r="H586" s="15">
        <f>ROUND(E586*F586*G586,1)</f>
        <v>117500</v>
      </c>
    </row>
    <row r="587" spans="1:8" ht="16.5" customHeight="1">
      <c r="A587" s="127"/>
      <c r="B587" s="13"/>
      <c r="C587" s="14" t="s">
        <v>776</v>
      </c>
      <c r="D587" s="13"/>
      <c r="E587" s="80"/>
      <c r="F587" s="15"/>
      <c r="G587" s="81"/>
      <c r="H587" s="15">
        <f>ROUND(SUM(H584:H586),1)</f>
        <v>17170220</v>
      </c>
    </row>
    <row r="588" spans="1:8" ht="16.5" customHeight="1">
      <c r="A588" s="131"/>
      <c r="B588" s="91"/>
      <c r="C588" s="90" t="s">
        <v>678</v>
      </c>
      <c r="D588" s="91"/>
      <c r="E588" s="93"/>
      <c r="F588" s="132"/>
      <c r="G588" s="94"/>
      <c r="H588" s="132">
        <f>ROUND(H589,1)</f>
        <v>2420880</v>
      </c>
    </row>
    <row r="589" spans="1:8" ht="16.5" hidden="1" customHeight="1">
      <c r="A589" s="127"/>
      <c r="B589" s="13" t="str">
        <f>'Giá tháng'!B$51</f>
        <v>N2.35</v>
      </c>
      <c r="C589" s="14" t="str">
        <f>'Giá tháng'!C$51</f>
        <v>Nhân công 3,5/7 - Nhóm 2</v>
      </c>
      <c r="D589" s="13" t="str">
        <f>'Giá tháng'!D$51</f>
        <v>công</v>
      </c>
      <c r="E589" s="80">
        <f>HaoPhiVatTu!G$511</f>
        <v>9.24</v>
      </c>
      <c r="F589" s="15">
        <f>ROUND('Tổng hợp VT'!O$59,1)</f>
        <v>262000</v>
      </c>
      <c r="G589" s="81">
        <f>'Giá tháng'!G$51</f>
        <v>1</v>
      </c>
      <c r="H589" s="15">
        <f>ROUND(E589*F589*G589,1)</f>
        <v>2420880</v>
      </c>
    </row>
    <row r="590" spans="1:8" ht="16.5" customHeight="1">
      <c r="A590" s="131"/>
      <c r="B590" s="91"/>
      <c r="C590" s="90" t="s">
        <v>679</v>
      </c>
      <c r="D590" s="91"/>
      <c r="E590" s="93"/>
      <c r="F590" s="132"/>
      <c r="G590" s="94"/>
      <c r="H590" s="132">
        <f>ROUND(H593,1)</f>
        <v>545678.30000000005</v>
      </c>
    </row>
    <row r="591" spans="1:8" ht="27.75" customHeight="1">
      <c r="A591" s="127"/>
      <c r="B591" s="13" t="str">
        <f>'Giá tháng'!B$64</f>
        <v>M112.4003</v>
      </c>
      <c r="C591" s="14" t="str">
        <f>'Giá tháng'!C$64</f>
        <v>Máy hàn xoay chiều - công suất : 23,0 kW</v>
      </c>
      <c r="D591" s="13" t="str">
        <f>'Giá tháng'!D$64</f>
        <v>ca</v>
      </c>
      <c r="E591" s="80">
        <f>HaoPhiVatTu!H$513</f>
        <v>1.133</v>
      </c>
      <c r="F591" s="15">
        <f>ROUND('Tổng hợp VT'!O$73,1)</f>
        <v>402656</v>
      </c>
      <c r="G591" s="81">
        <f>'Giá tháng'!G$64</f>
        <v>1</v>
      </c>
      <c r="H591" s="15">
        <f>ROUND(E591*F591*G591,1)</f>
        <v>456209.2</v>
      </c>
    </row>
    <row r="592" spans="1:8" ht="27.75" customHeight="1">
      <c r="A592" s="127"/>
      <c r="B592" s="13" t="str">
        <f>'Giá tháng'!B$56</f>
        <v>M112.2601</v>
      </c>
      <c r="C592" s="14" t="str">
        <f>'Giá tháng'!C$56</f>
        <v>Máy cắt uốn cốt thép - công suất : 5,0 kW</v>
      </c>
      <c r="D592" s="13" t="str">
        <f>'Giá tháng'!D$56</f>
        <v>ca</v>
      </c>
      <c r="E592" s="80">
        <f>HaoPhiVatTu!H$514</f>
        <v>0.32</v>
      </c>
      <c r="F592" s="15">
        <f>ROUND('Tổng hợp VT'!O$65,1)</f>
        <v>279591</v>
      </c>
      <c r="G592" s="81">
        <f>'Giá tháng'!G$56</f>
        <v>1</v>
      </c>
      <c r="H592" s="15">
        <f>ROUND(E592*F592*G592,1)</f>
        <v>89469.1</v>
      </c>
    </row>
    <row r="593" spans="1:8" ht="16.5" customHeight="1">
      <c r="A593" s="133"/>
      <c r="B593" s="24"/>
      <c r="C593" s="25" t="s">
        <v>776</v>
      </c>
      <c r="D593" s="24"/>
      <c r="E593" s="84"/>
      <c r="F593" s="26"/>
      <c r="G593" s="85"/>
      <c r="H593" s="26">
        <f>ROUND(SUM(H591:H592),1)</f>
        <v>545678.30000000005</v>
      </c>
    </row>
    <row r="594" spans="1:8" ht="40.5" customHeight="1">
      <c r="A594" s="128">
        <f>'Công trình'!A166</f>
        <v>55</v>
      </c>
      <c r="B594" s="129" t="str">
        <f>'Công trình'!E166</f>
        <v>AB.41412</v>
      </c>
      <c r="C594" s="130" t="str">
        <f>'Công trình'!F166</f>
        <v>Vận chuyển đất cấp II</v>
      </c>
      <c r="D594" s="129" t="str">
        <f>'Công trình'!G166</f>
        <v>100m3</v>
      </c>
      <c r="E594" s="65">
        <v>1</v>
      </c>
      <c r="F594" s="69"/>
      <c r="G594" s="67"/>
      <c r="H594" s="69"/>
    </row>
    <row r="595" spans="1:8" ht="16.5" customHeight="1">
      <c r="A595" s="131"/>
      <c r="B595" s="91"/>
      <c r="C595" s="90" t="s">
        <v>679</v>
      </c>
      <c r="D595" s="91"/>
      <c r="E595" s="93"/>
      <c r="F595" s="132"/>
      <c r="G595" s="94"/>
      <c r="H595" s="132">
        <f>ROUND(H596,1)</f>
        <v>2313202.9</v>
      </c>
    </row>
    <row r="596" spans="1:8" ht="27.75" customHeight="1">
      <c r="A596" s="133"/>
      <c r="B596" s="24" t="str">
        <f>'Giá tháng'!B$78</f>
        <v>M106.0202</v>
      </c>
      <c r="C596" s="25" t="str">
        <f>'Giá tháng'!C$78</f>
        <v>Ô tô tự đổ - trọng tải : 5,0 T</v>
      </c>
      <c r="D596" s="24" t="str">
        <f>'Giá tháng'!D$78</f>
        <v>ca</v>
      </c>
      <c r="E596" s="84">
        <f>HaoPhiVatTu!H$517</f>
        <v>1.329</v>
      </c>
      <c r="F596" s="26">
        <f>ROUND('Tổng hợp VT'!O$87,1)</f>
        <v>1740559</v>
      </c>
      <c r="G596" s="85">
        <f>'Giá tháng'!G$78</f>
        <v>1</v>
      </c>
      <c r="H596" s="26">
        <f>ROUND(E596*F596*G596,1)</f>
        <v>2313202.9</v>
      </c>
    </row>
    <row r="597" spans="1:8" ht="40.5" customHeight="1">
      <c r="A597" s="128">
        <f>'Công trình'!A168</f>
        <v>56</v>
      </c>
      <c r="B597" s="129" t="str">
        <f>'Công trình'!E168</f>
        <v>AB.42212</v>
      </c>
      <c r="C597" s="130" t="str">
        <f>'Công trình'!F168</f>
        <v>Vận chuyển đất bằng ô tô tự đổ 5T 1km tiếp theo ngoài phạm vi 5km, đất cấp II</v>
      </c>
      <c r="D597" s="129" t="str">
        <f>'Công trình'!G168</f>
        <v>100m3</v>
      </c>
      <c r="E597" s="65">
        <v>1</v>
      </c>
      <c r="F597" s="69"/>
      <c r="G597" s="67"/>
      <c r="H597" s="69"/>
    </row>
    <row r="598" spans="1:8" ht="16.5" customHeight="1">
      <c r="A598" s="131"/>
      <c r="B598" s="91"/>
      <c r="C598" s="90" t="s">
        <v>679</v>
      </c>
      <c r="D598" s="91"/>
      <c r="E598" s="93"/>
      <c r="F598" s="132"/>
      <c r="G598" s="94"/>
      <c r="H598" s="132">
        <f>ROUND(H599,1)</f>
        <v>3550740.4</v>
      </c>
    </row>
    <row r="599" spans="1:8" ht="27.75" customHeight="1">
      <c r="A599" s="133"/>
      <c r="B599" s="24" t="str">
        <f>'Giá tháng'!B$79</f>
        <v>M106.0202</v>
      </c>
      <c r="C599" s="25" t="str">
        <f>'Giá tháng'!C$79</f>
        <v>Ô tô tự đổ - trọng tải : 5,0 T</v>
      </c>
      <c r="D599" s="24" t="str">
        <f>'Giá tháng'!D$79</f>
        <v>ca</v>
      </c>
      <c r="E599" s="84">
        <f>HaoPhiVatTu!H$520</f>
        <v>0.51</v>
      </c>
      <c r="F599" s="26">
        <f>ROUND('Tổng hợp VT'!O$87,1)</f>
        <v>1740559</v>
      </c>
      <c r="G599" s="85">
        <f>'Giá tháng'!G$79</f>
        <v>4</v>
      </c>
      <c r="H599" s="26">
        <f>ROUND(E599*F599*G599,1)</f>
        <v>3550740.4</v>
      </c>
    </row>
  </sheetData>
  <autoFilter ref="A4:H599">
    <filterColumn colId="1">
      <filters blank="1">
        <filter val="AA.22310"/>
        <filter val="AB.11114"/>
        <filter val="AB.11312"/>
        <filter val="AB.13111"/>
        <filter val="AB.13411"/>
        <filter val="AB.24132"/>
        <filter val="AB.25102"/>
        <filter val="AB.25112"/>
        <filter val="AB.31122"/>
        <filter val="AB.41412"/>
        <filter val="AB.41413"/>
        <filter val="AB.42212"/>
        <filter val="AB.42213"/>
        <filter val="AB.63111"/>
        <filter val="AB.64112"/>
        <filter val="AB.64113"/>
        <filter val="AB.64123"/>
        <filter val="AC.11121"/>
        <filter val="AC.12121"/>
        <filter val="AD.11222"/>
        <filter val="AE.26213A"/>
        <filter val="AF.11213A"/>
        <filter val="AF.12313A"/>
        <filter val="AF.12314A"/>
        <filter val="AF.15434A"/>
        <filter val="AF.61511"/>
        <filter val="AF.61521"/>
        <filter val="AF.81122"/>
        <filter val="AF.81141"/>
        <filter val="AF.82411"/>
        <filter val="AG.11414A"/>
        <filter val="AG.13231"/>
        <filter val="AG.31311"/>
        <filter val="AG.41610"/>
        <filter val="AI.13131"/>
        <filter val="AK.21133A"/>
        <filter val="AK.21533"/>
        <filter val="AK.21533A"/>
        <filter val="AK.41113"/>
        <filter val="AK.41114A (VD)"/>
        <filter val="AK.98110"/>
        <filter val="AL.16122"/>
        <filter val="AL.24111"/>
        <filter val="AL.24112"/>
        <filter val="BB.11221"/>
        <filter val="BB.13503"/>
        <filter val="BB.13605"/>
        <filter val="M101.0101"/>
        <filter val="M101.0102"/>
        <filter val="M101.0104"/>
        <filter val="M101.0105"/>
        <filter val="M101.0115"/>
        <filter val="M101.0503"/>
        <filter val="M101.0902"/>
        <filter val="M101.1006"/>
        <filter val="M101.1102"/>
        <filter val="M101.1103"/>
        <filter val="M101.1105"/>
        <filter val="M102.0201"/>
        <filter val="M104.0102"/>
        <filter val="M104.0202"/>
        <filter val="M105.0401"/>
        <filter val="M106.0202"/>
        <filter val="M106.0502"/>
        <filter val="M108.0306"/>
        <filter val="M112.1101"/>
        <filter val="M112.1301"/>
        <filter val="M112.1501"/>
        <filter val="M112.2601"/>
        <filter val="M112.3703"/>
        <filter val="M112.4003"/>
        <filter val="M999"/>
        <filter val="TT"/>
        <filter val="TT*"/>
      </filters>
    </filterColumn>
  </autoFilter>
  <mergeCells count="3">
    <mergeCell ref="A1:H1"/>
    <mergeCell ref="A2:H2"/>
    <mergeCell ref="A3:H3"/>
  </mergeCells>
  <pageMargins left="1.1875" right="0" top="0.80208333333333337" bottom="0.80208333333333337" header="0.40625" footer="0.40625"/>
  <pageSetup paperSize="0" orientation="portrait" blackAndWhite="1" useFirstPageNumber="1" horizontalDpi="0" verticalDpi="0" copies="0"/>
  <headerFooter alignWithMargins="0">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174"/>
  <sheetViews>
    <sheetView workbookViewId="0">
      <selection activeCell="H4" sqref="H4"/>
    </sheetView>
  </sheetViews>
  <sheetFormatPr defaultColWidth="10" defaultRowHeight="15" customHeight="1"/>
  <cols>
    <col min="1" max="1" width="6.5" style="34" customWidth="1"/>
    <col min="2" max="2" width="12.1640625" style="34" customWidth="1"/>
    <col min="3" max="3" width="43.33203125" style="34" customWidth="1"/>
    <col min="4" max="4" width="9.33203125" style="34" customWidth="1"/>
    <col min="5" max="8" width="13.33203125" style="34" customWidth="1"/>
    <col min="9" max="11" width="14.1640625" style="34" customWidth="1"/>
    <col min="12" max="12" width="14.1640625" style="34" hidden="1" customWidth="1"/>
    <col min="13" max="16384" width="10" style="34"/>
  </cols>
  <sheetData>
    <row r="1" spans="1:12" ht="26.25" customHeight="1">
      <c r="A1" s="981" t="s">
        <v>777</v>
      </c>
      <c r="B1" s="985"/>
      <c r="C1" s="985"/>
      <c r="D1" s="985"/>
      <c r="E1" s="985"/>
      <c r="F1" s="985"/>
      <c r="G1" s="985"/>
      <c r="H1" s="985"/>
      <c r="I1" s="985"/>
      <c r="J1" s="985"/>
      <c r="K1" s="985"/>
      <c r="L1" s="985"/>
    </row>
    <row r="2" spans="1:12" ht="32.25" customHeight="1">
      <c r="A2" s="983" t="str">
        <f>'Công trình'!A2</f>
        <v>CÔNG TRÌNH : SỬA CHỮA TUYẾN ĐƯỜNG TỪ NHÀ BÀ TRƯỜNG, TỔ 5 PHƯỜNG VẠN HƯƠNG ĐẾN NHÀ BÀ KIM, TỔ DÂN PHỐ BẮC HẢI PHƯỜNG BÀNG LA</v>
      </c>
      <c r="B2" s="985"/>
      <c r="C2" s="985"/>
      <c r="D2" s="985"/>
      <c r="E2" s="985"/>
      <c r="F2" s="985"/>
      <c r="G2" s="985"/>
      <c r="H2" s="985"/>
      <c r="I2" s="985"/>
      <c r="J2" s="985"/>
      <c r="K2" s="985"/>
      <c r="L2" s="985"/>
    </row>
    <row r="3" spans="1:12" ht="37.5" customHeight="1">
      <c r="A3" s="1007" t="str">
        <f>'Công trình'!F6</f>
        <v>SỬA CHỮA NỀN MẶT ĐƯỜNG, HỆ THỐNG THOÁT NƯỚC</v>
      </c>
      <c r="B3" s="985"/>
      <c r="C3" s="985"/>
      <c r="D3" s="985"/>
      <c r="E3" s="985"/>
      <c r="F3" s="985"/>
      <c r="G3" s="985"/>
      <c r="H3" s="985"/>
      <c r="I3" s="985"/>
      <c r="J3" s="985"/>
      <c r="K3" s="985"/>
      <c r="L3" s="985"/>
    </row>
    <row r="4" spans="1:12" ht="18.75" customHeight="1">
      <c r="A4" s="999" t="s">
        <v>4</v>
      </c>
      <c r="B4" s="1002" t="s">
        <v>357</v>
      </c>
      <c r="C4" s="1002" t="s">
        <v>778</v>
      </c>
      <c r="D4" s="1002" t="s">
        <v>359</v>
      </c>
      <c r="E4" s="1002" t="s">
        <v>17</v>
      </c>
      <c r="F4" s="1005" t="str">
        <f>"Đơn giá "&amp;'Công trình'!AL1</f>
        <v>Đơn giá (đ)</v>
      </c>
      <c r="G4" s="1005"/>
      <c r="H4" s="1006"/>
      <c r="I4" s="1005" t="str">
        <f>"Thành tiền "&amp;'Công trình'!AL1</f>
        <v>Thành tiền (đ)</v>
      </c>
      <c r="J4" s="1005"/>
      <c r="K4" s="1006"/>
      <c r="L4" s="1002" t="str">
        <f>"Tổng cộng_x000D_
"&amp;'Công trình'!AL1</f>
        <v>Tổng cộng_x000D_
(đ)</v>
      </c>
    </row>
    <row r="5" spans="1:12" ht="18.75" customHeight="1">
      <c r="A5" s="1020"/>
      <c r="B5" s="1010"/>
      <c r="C5" s="1010"/>
      <c r="D5" s="1010"/>
      <c r="E5" s="1010"/>
      <c r="F5" s="2" t="s">
        <v>27</v>
      </c>
      <c r="G5" s="2" t="s">
        <v>29</v>
      </c>
      <c r="H5" s="2" t="s">
        <v>30</v>
      </c>
      <c r="I5" s="2" t="s">
        <v>27</v>
      </c>
      <c r="J5" s="2" t="s">
        <v>29</v>
      </c>
      <c r="K5" s="2" t="s">
        <v>30</v>
      </c>
      <c r="L5" s="1010"/>
    </row>
    <row r="6" spans="1:12" ht="16.5" customHeight="1">
      <c r="A6" s="86"/>
      <c r="B6" s="87" t="str">
        <f>'Công trình'!E7</f>
        <v>*</v>
      </c>
      <c r="C6" s="3" t="str">
        <f>'Công trình'!F7</f>
        <v>SỬA CHỮA NỀN MẶT ĐƯỜNG:</v>
      </c>
      <c r="D6" s="87">
        <f>'Công trình'!G7</f>
        <v>0</v>
      </c>
      <c r="E6" s="88">
        <f>'Công trình'!P7</f>
        <v>0</v>
      </c>
      <c r="F6" s="15"/>
      <c r="G6" s="15"/>
      <c r="H6" s="15"/>
      <c r="I6" s="15"/>
      <c r="J6" s="15"/>
      <c r="K6" s="15"/>
      <c r="L6" s="15"/>
    </row>
    <row r="7" spans="1:12" ht="16.5" customHeight="1">
      <c r="A7" s="12"/>
      <c r="B7" s="13"/>
      <c r="C7" s="14" t="str">
        <f>'Công trình'!F8</f>
        <v>NỀN ĐƯỜNG:</v>
      </c>
      <c r="D7" s="13"/>
      <c r="E7" s="89"/>
      <c r="F7" s="15"/>
      <c r="G7" s="15"/>
      <c r="H7" s="15"/>
      <c r="I7" s="15"/>
      <c r="J7" s="15"/>
      <c r="K7" s="15"/>
      <c r="L7" s="15"/>
    </row>
    <row r="8" spans="1:12" ht="27.75" customHeight="1">
      <c r="A8" s="12">
        <f>'Công trình'!A9</f>
        <v>1</v>
      </c>
      <c r="B8" s="13" t="str">
        <f>'Công trình'!E9</f>
        <v>AA.22310</v>
      </c>
      <c r="C8" s="14" t="str">
        <f>'Công trình'!F9</f>
        <v>Phá dỡ kết cấu bê tông bằng máy đào 1,25m3 gắn đầu búa thủy lực</v>
      </c>
      <c r="D8" s="13" t="str">
        <f>'Công trình'!G9</f>
        <v>m3</v>
      </c>
      <c r="E8" s="89">
        <f>ROUND('Công trình'!P9,4)</f>
        <v>90.89</v>
      </c>
      <c r="F8" s="15">
        <f>'Công trình'!Q9+'Công trình'!R9</f>
        <v>0</v>
      </c>
      <c r="G8" s="15">
        <f>'Đơn giá chi tiết'!H$7</f>
        <v>2876.9</v>
      </c>
      <c r="H8" s="15">
        <f>'Đơn giá chi tiết'!H$9</f>
        <v>94446</v>
      </c>
      <c r="I8" s="15">
        <f>ROUND(IF(E$6=0,E8*F8,E$6*E8*F8),1)</f>
        <v>0</v>
      </c>
      <c r="J8" s="15">
        <f>ROUND(IF(E$6=0,E8*G8,E$6*E8*G8),1)</f>
        <v>261481.4</v>
      </c>
      <c r="K8" s="15">
        <f>ROUND(IF(E$6=0,E8*H8,E$6*E8*H8),1)</f>
        <v>8584196.9000000004</v>
      </c>
      <c r="L8" s="15">
        <f>ROUND((I8+J8+K8),0)</f>
        <v>8845678</v>
      </c>
    </row>
    <row r="9" spans="1:12" ht="16.5" customHeight="1">
      <c r="A9" s="12"/>
      <c r="B9" s="13"/>
      <c r="C9" s="134" t="str">
        <f>'Công trình'!F10</f>
        <v>90,89 = 90,89</v>
      </c>
      <c r="D9" s="13"/>
      <c r="E9" s="89"/>
      <c r="F9" s="15"/>
      <c r="G9" s="15"/>
      <c r="H9" s="15"/>
      <c r="I9" s="15"/>
      <c r="J9" s="15"/>
      <c r="K9" s="15"/>
      <c r="L9" s="15"/>
    </row>
    <row r="10" spans="1:12" ht="16.5" customHeight="1">
      <c r="A10" s="12">
        <f>'Công trình'!A11</f>
        <v>2</v>
      </c>
      <c r="B10" s="13" t="str">
        <f>'Công trình'!E11</f>
        <v>AB.31122</v>
      </c>
      <c r="C10" s="14" t="str">
        <f>'Công trình'!F11</f>
        <v>Đào nền đường, đất cấp II</v>
      </c>
      <c r="D10" s="13" t="str">
        <f>'Công trình'!G11</f>
        <v>100m3</v>
      </c>
      <c r="E10" s="89">
        <f>ROUND('Công trình'!P11,4)</f>
        <v>7.7824999999999998</v>
      </c>
      <c r="F10" s="15">
        <f>'Công trình'!Q11+'Công trình'!R11</f>
        <v>0</v>
      </c>
      <c r="G10" s="15">
        <f>'Đơn giá chi tiết'!H$12</f>
        <v>759069.3</v>
      </c>
      <c r="H10" s="15">
        <f>'Đơn giá chi tiết'!H$14</f>
        <v>1149661.3</v>
      </c>
      <c r="I10" s="15">
        <f>ROUND(IF(E$6=0,E10*F10,E$6*E10*F10),1)</f>
        <v>0</v>
      </c>
      <c r="J10" s="15">
        <f>ROUND(IF(E$6=0,E10*G10,E$6*E10*G10),1)</f>
        <v>5907456.7999999998</v>
      </c>
      <c r="K10" s="15">
        <f>ROUND(IF(E$6=0,E10*H10,E$6*E10*H10),1)</f>
        <v>8947239.0999999996</v>
      </c>
      <c r="L10" s="15">
        <f>ROUND((I10+J10+K10),0)</f>
        <v>14854696</v>
      </c>
    </row>
    <row r="11" spans="1:12" ht="16.5" customHeight="1">
      <c r="A11" s="12"/>
      <c r="B11" s="13"/>
      <c r="C11" s="134" t="str">
        <f>'Công trình'!F12</f>
        <v>778,25/100 = 7,7825</v>
      </c>
      <c r="D11" s="13"/>
      <c r="E11" s="89"/>
      <c r="F11" s="15"/>
      <c r="G11" s="15"/>
      <c r="H11" s="15"/>
      <c r="I11" s="15"/>
      <c r="J11" s="15"/>
      <c r="K11" s="15"/>
      <c r="L11" s="15"/>
    </row>
    <row r="12" spans="1:12" ht="16.5" customHeight="1">
      <c r="A12" s="12">
        <f>'Công trình'!A13</f>
        <v>3</v>
      </c>
      <c r="B12" s="13" t="str">
        <f>'Công trình'!E13</f>
        <v>AB.64113</v>
      </c>
      <c r="C12" s="14" t="str">
        <f>'Công trình'!F13</f>
        <v>Lớp đất núi đầm chặt K95, dày 30cm</v>
      </c>
      <c r="D12" s="13" t="str">
        <f>'Công trình'!G13</f>
        <v>100m3</v>
      </c>
      <c r="E12" s="89">
        <f>ROUND('Công trình'!P13,4)</f>
        <v>5.2055999999999996</v>
      </c>
      <c r="F12" s="15">
        <f>'Công trình'!Q13+'Công trình'!R13</f>
        <v>0</v>
      </c>
      <c r="G12" s="15">
        <f>'Đơn giá chi tiết'!H$19</f>
        <v>365150</v>
      </c>
      <c r="H12" s="15">
        <f>'Đơn giá chi tiết'!H$21</f>
        <v>944559.5</v>
      </c>
      <c r="I12" s="15">
        <f>ROUND(IF(E$6=0,E12*F12,E$6*E12*F12),1)</f>
        <v>0</v>
      </c>
      <c r="J12" s="15">
        <f>ROUND(IF(E$6=0,E12*G12,E$6*E12*G12),1)</f>
        <v>1900824.8</v>
      </c>
      <c r="K12" s="15">
        <f>ROUND(IF(E$6=0,E12*H12,E$6*E12*H12),1)</f>
        <v>4916998.9000000004</v>
      </c>
      <c r="L12" s="15">
        <f>ROUND((I12+J12+K12),0)</f>
        <v>6817824</v>
      </c>
    </row>
    <row r="13" spans="1:12" ht="16.5" customHeight="1">
      <c r="A13" s="12"/>
      <c r="B13" s="13"/>
      <c r="C13" s="134" t="str">
        <f>'Công trình'!F14</f>
        <v>520,56/100 = 5,2056</v>
      </c>
      <c r="D13" s="13"/>
      <c r="E13" s="89"/>
      <c r="F13" s="15"/>
      <c r="G13" s="15"/>
      <c r="H13" s="15"/>
      <c r="I13" s="15"/>
      <c r="J13" s="15"/>
      <c r="K13" s="15"/>
      <c r="L13" s="15"/>
    </row>
    <row r="14" spans="1:12" ht="16.5" customHeight="1">
      <c r="A14" s="12">
        <f>'Công trình'!A15</f>
        <v>4</v>
      </c>
      <c r="B14" s="13" t="str">
        <f>'Công trình'!E15</f>
        <v>TT</v>
      </c>
      <c r="C14" s="14" t="str">
        <f>'Công trình'!F15</f>
        <v>Tiền đất núi</v>
      </c>
      <c r="D14" s="13" t="str">
        <f>'Công trình'!G15</f>
        <v>m3</v>
      </c>
      <c r="E14" s="89">
        <f>ROUND('Công trình'!P15,4)</f>
        <v>588.2328</v>
      </c>
      <c r="F14" s="15">
        <f>'Đơn giá chi tiết'!H$27</f>
        <v>190000</v>
      </c>
      <c r="G14" s="15">
        <f>'Công trình'!S15</f>
        <v>0</v>
      </c>
      <c r="H14" s="15">
        <f>'Công trình'!T15</f>
        <v>0</v>
      </c>
      <c r="I14" s="15">
        <f>ROUND(IF(E$6=0,E14*F14,E$6*E14*F14),1)</f>
        <v>111764232</v>
      </c>
      <c r="J14" s="15">
        <f>ROUND(IF(E$6=0,E14*G14,E$6*E14*G14),1)</f>
        <v>0</v>
      </c>
      <c r="K14" s="15">
        <f>ROUND(IF(E$6=0,E14*H14,E$6*E14*H14),1)</f>
        <v>0</v>
      </c>
      <c r="L14" s="15">
        <f>ROUND((I14+J14+K14),0)</f>
        <v>111764232</v>
      </c>
    </row>
    <row r="15" spans="1:12" ht="16.5" customHeight="1">
      <c r="A15" s="12"/>
      <c r="B15" s="13"/>
      <c r="C15" s="134" t="str">
        <f>'Công trình'!F16</f>
        <v>520,56*1,13 = 588,2328</v>
      </c>
      <c r="D15" s="13"/>
      <c r="E15" s="89"/>
      <c r="F15" s="15"/>
      <c r="G15" s="15"/>
      <c r="H15" s="15"/>
      <c r="I15" s="15"/>
      <c r="J15" s="15"/>
      <c r="K15" s="15"/>
      <c r="L15" s="15"/>
    </row>
    <row r="16" spans="1:12" ht="16.5" customHeight="1">
      <c r="A16" s="12">
        <f>'Công trình'!A17</f>
        <v>5</v>
      </c>
      <c r="B16" s="13" t="str">
        <f>'Công trình'!E17</f>
        <v>AD.11222</v>
      </c>
      <c r="C16" s="14" t="str">
        <f>'Công trình'!F17</f>
        <v>Cấp phối đá dăm loại I, lớp trên dày 18 cm</v>
      </c>
      <c r="D16" s="13" t="str">
        <f>'Công trình'!G17</f>
        <v>100m3</v>
      </c>
      <c r="E16" s="89">
        <f>ROUND('Công trình'!P17,4)</f>
        <v>3.1234000000000002</v>
      </c>
      <c r="F16" s="15">
        <f>'Đơn giá chi tiết'!H$30</f>
        <v>36180000</v>
      </c>
      <c r="G16" s="15">
        <f>'Đơn giá chi tiết'!H$32</f>
        <v>843363.8</v>
      </c>
      <c r="H16" s="15">
        <f>'Đơn giá chi tiết'!H$34</f>
        <v>2714101.5</v>
      </c>
      <c r="I16" s="15">
        <f>ROUND(IF(E$6=0,E16*F16,E$6*E16*F16),1)</f>
        <v>113004612</v>
      </c>
      <c r="J16" s="15">
        <f>ROUND(IF(E$6=0,E16*G16,E$6*E16*G16),1)</f>
        <v>2634162.5</v>
      </c>
      <c r="K16" s="15">
        <f>ROUND(IF(E$6=0,E16*H16,E$6*E16*H16),1)</f>
        <v>8477224.5999999996</v>
      </c>
      <c r="L16" s="15">
        <f>ROUND((I16+J16+K16),0)</f>
        <v>124115999</v>
      </c>
    </row>
    <row r="17" spans="1:12" ht="16.5" customHeight="1">
      <c r="A17" s="12"/>
      <c r="B17" s="13"/>
      <c r="C17" s="134" t="str">
        <f>'Công trình'!F18</f>
        <v>312,34/100 = 3,1234</v>
      </c>
      <c r="D17" s="13"/>
      <c r="E17" s="89"/>
      <c r="F17" s="15"/>
      <c r="G17" s="15"/>
      <c r="H17" s="15"/>
      <c r="I17" s="15"/>
      <c r="J17" s="15"/>
      <c r="K17" s="15"/>
      <c r="L17" s="15"/>
    </row>
    <row r="18" spans="1:12" ht="27.75" customHeight="1">
      <c r="A18" s="12">
        <f>'Công trình'!A19</f>
        <v>6</v>
      </c>
      <c r="B18" s="13" t="str">
        <f>'Công trình'!E19</f>
        <v>AB.41413</v>
      </c>
      <c r="C18" s="14" t="str">
        <f>'Công trình'!F19</f>
        <v xml:space="preserve">Vận chuyển đất bằng ôtô tự đổ 5 tấn </v>
      </c>
      <c r="D18" s="13" t="str">
        <f>'Công trình'!G19</f>
        <v>100m3</v>
      </c>
      <c r="E18" s="89">
        <f>ROUND('Công trình'!P19,4)</f>
        <v>0.90890000000000004</v>
      </c>
      <c r="F18" s="15">
        <f>'Công trình'!Q19+'Công trình'!R19</f>
        <v>0</v>
      </c>
      <c r="G18" s="15">
        <f>'Công trình'!S19</f>
        <v>0</v>
      </c>
      <c r="H18" s="15">
        <f>'Đơn giá chi tiết'!H$43</f>
        <v>2978096.4</v>
      </c>
      <c r="I18" s="15">
        <f>ROUND(IF(E$6=0,E18*F18,E$6*E18*F18),1)</f>
        <v>0</v>
      </c>
      <c r="J18" s="15">
        <f>ROUND(IF(E$6=0,E18*G18,E$6*E18*G18),1)</f>
        <v>0</v>
      </c>
      <c r="K18" s="15">
        <f>ROUND(IF(E$6=0,E18*H18,E$6*E18*H18),1)</f>
        <v>2706791.8</v>
      </c>
      <c r="L18" s="15">
        <f>ROUND((I18+J18+K18),0)</f>
        <v>2706792</v>
      </c>
    </row>
    <row r="19" spans="1:12" ht="16.5" customHeight="1">
      <c r="A19" s="12"/>
      <c r="B19" s="13"/>
      <c r="C19" s="134" t="str">
        <f>'Công trình'!F20</f>
        <v xml:space="preserve">Kl đào phá lớp BTXM hiện trạng: </v>
      </c>
      <c r="D19" s="13"/>
      <c r="E19" s="89"/>
      <c r="F19" s="15"/>
      <c r="G19" s="15"/>
      <c r="H19" s="15"/>
      <c r="I19" s="15"/>
      <c r="J19" s="15"/>
      <c r="K19" s="15"/>
      <c r="L19" s="15"/>
    </row>
    <row r="20" spans="1:12" ht="16.5" customHeight="1">
      <c r="A20" s="12"/>
      <c r="B20" s="13"/>
      <c r="C20" s="134">
        <f>'Công trình'!F21</f>
        <v>0.90890000000000004</v>
      </c>
      <c r="D20" s="13"/>
      <c r="E20" s="89"/>
      <c r="F20" s="15"/>
      <c r="G20" s="15"/>
      <c r="H20" s="15"/>
      <c r="I20" s="15"/>
      <c r="J20" s="15"/>
      <c r="K20" s="15"/>
      <c r="L20" s="15"/>
    </row>
    <row r="21" spans="1:12" ht="27.75" customHeight="1">
      <c r="A21" s="12">
        <f>'Công trình'!A22</f>
        <v>7</v>
      </c>
      <c r="B21" s="13" t="str">
        <f>'Công trình'!E22</f>
        <v>AB.42213</v>
      </c>
      <c r="C21" s="14" t="str">
        <f>'Công trình'!F22</f>
        <v>Vận chuyển đất bằng ô tô tự đổ 5T 1km tiếp theo ngoài phạm vi 5km, đất cấp III</v>
      </c>
      <c r="D21" s="13" t="str">
        <f>'Công trình'!G22</f>
        <v>100m3</v>
      </c>
      <c r="E21" s="89">
        <f>ROUND('Công trình'!P22,4)</f>
        <v>0.90890000000000004</v>
      </c>
      <c r="F21" s="15">
        <f>'Công trình'!Q22+'Công trình'!R22</f>
        <v>0</v>
      </c>
      <c r="G21" s="15">
        <f>'Công trình'!S22</f>
        <v>0</v>
      </c>
      <c r="H21" s="15">
        <f>'Đơn giá chi tiết'!H$46</f>
        <v>3975436.8</v>
      </c>
      <c r="I21" s="15">
        <f>ROUND(IF(E$6=0,E21*F21,E$6*E21*F21),1)</f>
        <v>0</v>
      </c>
      <c r="J21" s="15">
        <f>ROUND(IF(E$6=0,E21*G21,E$6*E21*G21),1)</f>
        <v>0</v>
      </c>
      <c r="K21" s="15">
        <f>ROUND(IF(E$6=0,E21*H21,E$6*E21*H21),1)</f>
        <v>3613274.5</v>
      </c>
      <c r="L21" s="15">
        <f>ROUND((I21+J21+K21),0)</f>
        <v>3613275</v>
      </c>
    </row>
    <row r="22" spans="1:12" ht="16.5" customHeight="1">
      <c r="A22" s="12"/>
      <c r="B22" s="13"/>
      <c r="C22" s="134">
        <f>'Công trình'!F23</f>
        <v>0.90890000000000004</v>
      </c>
      <c r="D22" s="13"/>
      <c r="E22" s="89"/>
      <c r="F22" s="15"/>
      <c r="G22" s="15"/>
      <c r="H22" s="15"/>
      <c r="I22" s="15"/>
      <c r="J22" s="15"/>
      <c r="K22" s="15"/>
      <c r="L22" s="15"/>
    </row>
    <row r="23" spans="1:12" ht="27.75" customHeight="1">
      <c r="A23" s="12">
        <f>'Công trình'!A24</f>
        <v>7</v>
      </c>
      <c r="B23" s="13" t="str">
        <f>'Công trình'!E24</f>
        <v>AB.41412</v>
      </c>
      <c r="C23" s="14" t="str">
        <f>'Công trình'!F24</f>
        <v>Vận chuyển đất bằng ôtô tự đổ 5 tấn trong phạm vi &lt;= 1000m, đất cấp II</v>
      </c>
      <c r="D23" s="13" t="str">
        <f>'Công trình'!G24</f>
        <v>100m3</v>
      </c>
      <c r="E23" s="89">
        <f>ROUND('Công trình'!P24,4)</f>
        <v>7.7824999999999998</v>
      </c>
      <c r="F23" s="15">
        <f>'Công trình'!Q24+'Công trình'!R24</f>
        <v>0</v>
      </c>
      <c r="G23" s="15">
        <f>'Công trình'!S24</f>
        <v>0</v>
      </c>
      <c r="H23" s="15">
        <f>'Đơn giá chi tiết'!H$49</f>
        <v>2313202.9</v>
      </c>
      <c r="I23" s="15">
        <f>ROUND(IF(E$6=0,E23*F23,E$6*E23*F23),1)</f>
        <v>0</v>
      </c>
      <c r="J23" s="15">
        <f>ROUND(IF(E$6=0,E23*G23,E$6*E23*G23),1)</f>
        <v>0</v>
      </c>
      <c r="K23" s="15">
        <f>ROUND(IF(E$6=0,E23*H23,E$6*E23*H23),1)</f>
        <v>18002501.600000001</v>
      </c>
      <c r="L23" s="15">
        <f>ROUND((I23+J23+K23),0)</f>
        <v>18002502</v>
      </c>
    </row>
    <row r="24" spans="1:12" ht="16.5" customHeight="1">
      <c r="A24" s="12"/>
      <c r="B24" s="13"/>
      <c r="C24" s="134" t="str">
        <f>'Công trình'!F25</f>
        <v>KL đất đào nền đường:</v>
      </c>
      <c r="D24" s="13"/>
      <c r="E24" s="89"/>
      <c r="F24" s="15"/>
      <c r="G24" s="15"/>
      <c r="H24" s="15"/>
      <c r="I24" s="15"/>
      <c r="J24" s="15"/>
      <c r="K24" s="15"/>
      <c r="L24" s="15"/>
    </row>
    <row r="25" spans="1:12" ht="16.5" customHeight="1">
      <c r="A25" s="12"/>
      <c r="B25" s="13"/>
      <c r="C25" s="134">
        <f>'Công trình'!F26</f>
        <v>7.7824999999999998</v>
      </c>
      <c r="D25" s="13"/>
      <c r="E25" s="89"/>
      <c r="F25" s="15"/>
      <c r="G25" s="15"/>
      <c r="H25" s="15"/>
      <c r="I25" s="15"/>
      <c r="J25" s="15"/>
      <c r="K25" s="15"/>
      <c r="L25" s="15"/>
    </row>
    <row r="26" spans="1:12" ht="27.75" customHeight="1">
      <c r="A26" s="12">
        <f>'Công trình'!A27</f>
        <v>9</v>
      </c>
      <c r="B26" s="13" t="str">
        <f>'Công trình'!E27</f>
        <v>AB.42212</v>
      </c>
      <c r="C26" s="14" t="str">
        <f>'Công trình'!F27</f>
        <v>Vận chuyển đất bằng ô tô tự đổ 5T 1km tiếp theo ngoài phạm vi 5km, đất cấp II</v>
      </c>
      <c r="D26" s="13" t="str">
        <f>'Công trình'!G27</f>
        <v>100m3</v>
      </c>
      <c r="E26" s="89">
        <f>ROUND('Công trình'!P27,4)</f>
        <v>7.7824999999999998</v>
      </c>
      <c r="F26" s="15">
        <f>'Công trình'!Q27+'Công trình'!R27</f>
        <v>0</v>
      </c>
      <c r="G26" s="15">
        <f>'Công trình'!S27</f>
        <v>0</v>
      </c>
      <c r="H26" s="15">
        <f>'Đơn giá chi tiết'!H$52</f>
        <v>3550740.4</v>
      </c>
      <c r="I26" s="15">
        <f>ROUND(IF(E$6=0,E26*F26,E$6*E26*F26),1)</f>
        <v>0</v>
      </c>
      <c r="J26" s="15">
        <f>ROUND(IF(E$6=0,E26*G26,E$6*E26*G26),1)</f>
        <v>0</v>
      </c>
      <c r="K26" s="15">
        <f>ROUND(IF(E$6=0,E26*H26,E$6*E26*H26),1)</f>
        <v>27633637.199999999</v>
      </c>
      <c r="L26" s="15">
        <f>ROUND((I26+J26+K26),0)</f>
        <v>27633637</v>
      </c>
    </row>
    <row r="27" spans="1:12" ht="16.5" customHeight="1">
      <c r="A27" s="12"/>
      <c r="B27" s="13"/>
      <c r="C27" s="134">
        <f>'Công trình'!F28</f>
        <v>7.7824999999999998</v>
      </c>
      <c r="D27" s="13"/>
      <c r="E27" s="89"/>
      <c r="F27" s="15"/>
      <c r="G27" s="15"/>
      <c r="H27" s="15"/>
      <c r="I27" s="15"/>
      <c r="J27" s="15"/>
      <c r="K27" s="15"/>
      <c r="L27" s="15"/>
    </row>
    <row r="28" spans="1:12" ht="16.5" customHeight="1">
      <c r="A28" s="12"/>
      <c r="B28" s="13"/>
      <c r="C28" s="134" t="str">
        <f>'Công trình'!F29</f>
        <v>I.B. MẶT ĐƯỜNG</v>
      </c>
      <c r="D28" s="13"/>
      <c r="E28" s="89"/>
      <c r="F28" s="15"/>
      <c r="G28" s="15"/>
      <c r="H28" s="15"/>
      <c r="I28" s="15"/>
      <c r="J28" s="15"/>
      <c r="K28" s="15"/>
      <c r="L28" s="15"/>
    </row>
    <row r="29" spans="1:12" ht="16.5" customHeight="1">
      <c r="A29" s="12">
        <f>'Công trình'!A30</f>
        <v>8</v>
      </c>
      <c r="B29" s="13" t="str">
        <f>'Công trình'!E30</f>
        <v>AL.16122</v>
      </c>
      <c r="C29" s="14" t="str">
        <f>'Công trình'!F30</f>
        <v>Nilon chống mất nước xi măng</v>
      </c>
      <c r="D29" s="13" t="str">
        <f>'Công trình'!G30</f>
        <v>100m2</v>
      </c>
      <c r="E29" s="89">
        <f>ROUND('Công trình'!P30,4)</f>
        <v>17.352</v>
      </c>
      <c r="F29" s="15">
        <f>'Đơn giá chi tiết'!H$55</f>
        <v>1104705</v>
      </c>
      <c r="G29" s="15">
        <f>'Đơn giá chi tiết'!H$59</f>
        <v>282960</v>
      </c>
      <c r="H29" s="15">
        <f>'Công trình'!T30</f>
        <v>0</v>
      </c>
      <c r="I29" s="15">
        <f>ROUND(IF(E$6=0,E29*F29,E$6*E29*F29),1)</f>
        <v>19168841.199999999</v>
      </c>
      <c r="J29" s="15">
        <f>ROUND(IF(E$6=0,E29*G29,E$6*E29*G29),1)</f>
        <v>4909921.9000000004</v>
      </c>
      <c r="K29" s="15">
        <f>ROUND(IF(E$6=0,E29*H29,E$6*E29*H29),1)</f>
        <v>0</v>
      </c>
      <c r="L29" s="15">
        <f>ROUND((I29+J29+K29),0)</f>
        <v>24078763</v>
      </c>
    </row>
    <row r="30" spans="1:12" ht="16.5" customHeight="1">
      <c r="A30" s="12"/>
      <c r="B30" s="13"/>
      <c r="C30" s="134" t="str">
        <f>'Công trình'!F31</f>
        <v>1735,2/100 = 17,352</v>
      </c>
      <c r="D30" s="13"/>
      <c r="E30" s="89"/>
      <c r="F30" s="15"/>
      <c r="G30" s="15"/>
      <c r="H30" s="15"/>
      <c r="I30" s="15"/>
      <c r="J30" s="15"/>
      <c r="K30" s="15"/>
      <c r="L30" s="15"/>
    </row>
    <row r="31" spans="1:12" ht="16.5" customHeight="1">
      <c r="A31" s="12">
        <f>'Công trình'!A32</f>
        <v>9</v>
      </c>
      <c r="B31" s="13" t="str">
        <f>'Công trình'!E32</f>
        <v>AF.82411</v>
      </c>
      <c r="C31" s="14" t="str">
        <f>'Công trình'!F32</f>
        <v>Ván khuôn thép. Ván khuôn mặt đường</v>
      </c>
      <c r="D31" s="13" t="str">
        <f>'Công trình'!G32</f>
        <v>100m2</v>
      </c>
      <c r="E31" s="89">
        <f>ROUND('Công trình'!P32,4)</f>
        <v>1.8123</v>
      </c>
      <c r="F31" s="15">
        <f>'Đơn giá chi tiết'!H$62</f>
        <v>686437.5</v>
      </c>
      <c r="G31" s="15">
        <f>'Đơn giá chi tiết'!H$67</f>
        <v>3270692</v>
      </c>
      <c r="H31" s="15">
        <f>'Đơn giá chi tiết'!H$69</f>
        <v>172497.8</v>
      </c>
      <c r="I31" s="15">
        <f>ROUND(IF(E$6=0,E31*F31,E$6*E31*F31),1)</f>
        <v>1244030.7</v>
      </c>
      <c r="J31" s="15">
        <f>ROUND(IF(E$6=0,E31*G31,E$6*E31*G31),1)</f>
        <v>5927475.0999999996</v>
      </c>
      <c r="K31" s="15">
        <f>ROUND(IF(E$6=0,E31*H31,E$6*E31*H31),1)</f>
        <v>312617.8</v>
      </c>
      <c r="L31" s="15">
        <f>ROUND((I31+J31+K31),0)</f>
        <v>7484124</v>
      </c>
    </row>
    <row r="32" spans="1:12" ht="16.5" customHeight="1">
      <c r="A32" s="12"/>
      <c r="B32" s="13"/>
      <c r="C32" s="134" t="str">
        <f>'Công trình'!F33</f>
        <v>181,23/100 = 1,8123</v>
      </c>
      <c r="D32" s="13"/>
      <c r="E32" s="89"/>
      <c r="F32" s="15"/>
      <c r="G32" s="15"/>
      <c r="H32" s="15"/>
      <c r="I32" s="15"/>
      <c r="J32" s="15"/>
      <c r="K32" s="15"/>
      <c r="L32" s="15"/>
    </row>
    <row r="33" spans="1:12" ht="40.5" customHeight="1">
      <c r="A33" s="12">
        <f>'Công trình'!A34</f>
        <v>10</v>
      </c>
      <c r="B33" s="13" t="str">
        <f>'Công trình'!E34</f>
        <v>AF.15434A</v>
      </c>
      <c r="C33" s="14" t="str">
        <f>'Công trình'!F34</f>
        <v>Đổ bê tông thủ công bằng máy trộn, bê tông mặt đường, chiều dày mặt đường &lt;=25 cm, đá 2x4, mác 250, PCB30</v>
      </c>
      <c r="D33" s="13" t="str">
        <f>'Công trình'!G34</f>
        <v>m3</v>
      </c>
      <c r="E33" s="89">
        <f>ROUND('Công trình'!P34,4)</f>
        <v>354.86</v>
      </c>
      <c r="F33" s="15">
        <f>'Đơn giá chi tiết'!H$74</f>
        <v>1082427</v>
      </c>
      <c r="G33" s="15">
        <f>'Đơn giá chi tiết'!H$81</f>
        <v>358940</v>
      </c>
      <c r="H33" s="15">
        <f>'Đơn giá chi tiết'!H$83</f>
        <v>80577.899999999994</v>
      </c>
      <c r="I33" s="15">
        <f>ROUND(IF(E$6=0,E33*F33,E$6*E33*F33),1)</f>
        <v>384110045.19999999</v>
      </c>
      <c r="J33" s="15">
        <f>ROUND(IF(E$6=0,E33*G33,E$6*E33*G33),1)</f>
        <v>127373448.40000001</v>
      </c>
      <c r="K33" s="15">
        <f>ROUND(IF(E$6=0,E33*H33,E$6*E33*H33),1)</f>
        <v>28593873.600000001</v>
      </c>
      <c r="L33" s="15">
        <f>ROUND((I33+J33+K33),0)</f>
        <v>540077367</v>
      </c>
    </row>
    <row r="34" spans="1:12" ht="16.5" customHeight="1">
      <c r="A34" s="12"/>
      <c r="B34" s="13"/>
      <c r="C34" s="134" t="str">
        <f>'Công trình'!F35</f>
        <v>Mặt đường mở rộng: 351,93 = 351,93</v>
      </c>
      <c r="D34" s="13"/>
      <c r="E34" s="89"/>
      <c r="F34" s="15"/>
      <c r="G34" s="15"/>
      <c r="H34" s="15"/>
      <c r="I34" s="15"/>
      <c r="J34" s="15"/>
      <c r="K34" s="15"/>
      <c r="L34" s="15"/>
    </row>
    <row r="35" spans="1:12" ht="16.5" customHeight="1">
      <c r="A35" s="12"/>
      <c r="B35" s="13"/>
      <c r="C35" s="134" t="str">
        <f>'Công trình'!F36</f>
        <v>Vuốt nối: 2,93 = 2,93</v>
      </c>
      <c r="D35" s="13"/>
      <c r="E35" s="89"/>
      <c r="F35" s="15"/>
      <c r="G35" s="15"/>
      <c r="H35" s="15"/>
      <c r="I35" s="15"/>
      <c r="J35" s="15"/>
      <c r="K35" s="15"/>
      <c r="L35" s="15"/>
    </row>
    <row r="36" spans="1:12" ht="27.75" customHeight="1">
      <c r="A36" s="12">
        <f>'Công trình'!A37</f>
        <v>11</v>
      </c>
      <c r="B36" s="13" t="str">
        <f>'Công trình'!E37</f>
        <v>AK.41114A (VD)</v>
      </c>
      <c r="C36" s="14" t="str">
        <f>'Công trình'!F37</f>
        <v>Đánh bóng bề mặt đường BTXM bằng máy xoa, kết hợp bổ sung xi măng</v>
      </c>
      <c r="D36" s="13" t="str">
        <f>'Công trình'!G37</f>
        <v>m2</v>
      </c>
      <c r="E36" s="89">
        <f>ROUND('Công trình'!P37,4)</f>
        <v>1735.2</v>
      </c>
      <c r="F36" s="15">
        <f>'Đơn giá chi tiết'!H$90</f>
        <v>11144.5</v>
      </c>
      <c r="G36" s="15">
        <f>'Đơn giá chi tiết'!H$95</f>
        <v>9669.9</v>
      </c>
      <c r="H36" s="15">
        <f>'Đơn giá chi tiết'!H$97</f>
        <v>4000</v>
      </c>
      <c r="I36" s="15">
        <f>ROUND(IF(E$6=0,E36*F36,E$6*E36*F36),1)</f>
        <v>19337936.399999999</v>
      </c>
      <c r="J36" s="15">
        <f>ROUND(IF(E$6=0,E36*G36,E$6*E36*G36),1)</f>
        <v>16779210.5</v>
      </c>
      <c r="K36" s="15">
        <f>ROUND(IF(E$6=0,E36*H36,E$6*E36*H36),1)</f>
        <v>6940800</v>
      </c>
      <c r="L36" s="15">
        <f>ROUND((I36+J36+K36),0)</f>
        <v>43057947</v>
      </c>
    </row>
    <row r="37" spans="1:12" ht="16.5" customHeight="1">
      <c r="A37" s="12"/>
      <c r="B37" s="13"/>
      <c r="C37" s="134" t="str">
        <f>'Công trình'!F38</f>
        <v>1735,2 = 1735,2</v>
      </c>
      <c r="D37" s="13"/>
      <c r="E37" s="89"/>
      <c r="F37" s="15"/>
      <c r="G37" s="15"/>
      <c r="H37" s="15"/>
      <c r="I37" s="15"/>
      <c r="J37" s="15"/>
      <c r="K37" s="15"/>
      <c r="L37" s="15"/>
    </row>
    <row r="38" spans="1:12" ht="16.5" customHeight="1">
      <c r="A38" s="12">
        <f>'Công trình'!A39</f>
        <v>12</v>
      </c>
      <c r="B38" s="13" t="str">
        <f>'Công trình'!E39</f>
        <v>AL.24111</v>
      </c>
      <c r="C38" s="14" t="str">
        <f>'Công trình'!F39</f>
        <v>Thi công khe co sân, bãi, mặt đường bê tông</v>
      </c>
      <c r="D38" s="13" t="str">
        <f>'Công trình'!G39</f>
        <v>m</v>
      </c>
      <c r="E38" s="89">
        <f>ROUND('Công trình'!P39,4)</f>
        <v>268</v>
      </c>
      <c r="F38" s="15">
        <f>'Đơn giá chi tiết'!H$100</f>
        <v>86850.8</v>
      </c>
      <c r="G38" s="15">
        <f>'Đơn giá chi tiết'!H$106</f>
        <v>23580</v>
      </c>
      <c r="H38" s="15">
        <f>'Đơn giá chi tiết'!H$108</f>
        <v>13177.4</v>
      </c>
      <c r="I38" s="15">
        <f>ROUND(IF(E$6=0,E38*F38,E$6*E38*F38),1)</f>
        <v>23276014.399999999</v>
      </c>
      <c r="J38" s="15">
        <f>ROUND(IF(E$6=0,E38*G38,E$6*E38*G38),1)</f>
        <v>6319440</v>
      </c>
      <c r="K38" s="15">
        <f>ROUND(IF(E$6=0,E38*H38,E$6*E38*H38),1)</f>
        <v>3531543.2</v>
      </c>
      <c r="L38" s="15">
        <f>ROUND((I38+J38+K38),0)</f>
        <v>33126998</v>
      </c>
    </row>
    <row r="39" spans="1:12" ht="16.5" customHeight="1">
      <c r="A39" s="12"/>
      <c r="B39" s="13"/>
      <c r="C39" s="134" t="str">
        <f>'Công trình'!F40</f>
        <v>268 = 268</v>
      </c>
      <c r="D39" s="13"/>
      <c r="E39" s="89"/>
      <c r="F39" s="15"/>
      <c r="G39" s="15"/>
      <c r="H39" s="15"/>
      <c r="I39" s="15"/>
      <c r="J39" s="15"/>
      <c r="K39" s="15"/>
      <c r="L39" s="15"/>
    </row>
    <row r="40" spans="1:12" ht="16.5" customHeight="1">
      <c r="A40" s="12">
        <f>'Công trình'!A41</f>
        <v>13</v>
      </c>
      <c r="B40" s="13" t="str">
        <f>'Công trình'!E41</f>
        <v>AL.24112</v>
      </c>
      <c r="C40" s="14" t="str">
        <f>'Công trình'!F41</f>
        <v>Làm khe giãn, bố trí 20m/Khe giãn sâu 20cm</v>
      </c>
      <c r="D40" s="13" t="str">
        <f>'Công trình'!G41</f>
        <v>m</v>
      </c>
      <c r="E40" s="89">
        <f>ROUND('Công trình'!P41,4)</f>
        <v>89</v>
      </c>
      <c r="F40" s="15">
        <f>'Đơn giá chi tiết'!H$114</f>
        <v>213797</v>
      </c>
      <c r="G40" s="15">
        <f>'Đơn giá chi tiết'!H$123</f>
        <v>57640</v>
      </c>
      <c r="H40" s="15">
        <f>'Đơn giá chi tiết'!H$125</f>
        <v>16884.8</v>
      </c>
      <c r="I40" s="15">
        <f>ROUND(IF(E$6=0,E40*F40,E$6*E40*F40),1)</f>
        <v>19027933</v>
      </c>
      <c r="J40" s="15">
        <f>ROUND(IF(E$6=0,E40*G40,E$6*E40*G40),1)</f>
        <v>5129960</v>
      </c>
      <c r="K40" s="15">
        <f>ROUND(IF(E$6=0,E40*H40,E$6*E40*H40),1)</f>
        <v>1502747.2</v>
      </c>
      <c r="L40" s="15">
        <f>ROUND((I40+J40+K40),0)</f>
        <v>25660640</v>
      </c>
    </row>
    <row r="41" spans="1:12" ht="16.5" customHeight="1">
      <c r="A41" s="12"/>
      <c r="B41" s="13"/>
      <c r="C41" s="134" t="str">
        <f>'Công trình'!F42</f>
        <v>89 = 89</v>
      </c>
      <c r="D41" s="13"/>
      <c r="E41" s="89"/>
      <c r="F41" s="15"/>
      <c r="G41" s="15"/>
      <c r="H41" s="15"/>
      <c r="I41" s="15"/>
      <c r="J41" s="15"/>
      <c r="K41" s="15"/>
      <c r="L41" s="15"/>
    </row>
    <row r="42" spans="1:12" ht="27.75" customHeight="1">
      <c r="A42" s="12"/>
      <c r="B42" s="13"/>
      <c r="C42" s="87" t="str">
        <f>"KẾT THÚC : "&amp;C6</f>
        <v>KẾT THÚC : SỬA CHỮA NỀN MẶT ĐƯỜNG:</v>
      </c>
      <c r="D42" s="13"/>
      <c r="E42" s="89"/>
      <c r="F42" s="15"/>
      <c r="G42" s="15"/>
      <c r="H42" s="15"/>
      <c r="I42" s="15"/>
      <c r="J42" s="15"/>
      <c r="K42" s="15"/>
      <c r="L42" s="15"/>
    </row>
    <row r="43" spans="1:12" ht="16.5" customHeight="1">
      <c r="A43" s="86"/>
      <c r="B43" s="87" t="str">
        <f>'Công trình'!E43</f>
        <v>*</v>
      </c>
      <c r="C43" s="3" t="str">
        <f>'Công trình'!F43</f>
        <v>HỆ THỐNG THOÁT NƯỚC</v>
      </c>
      <c r="D43" s="87">
        <f>'Công trình'!G43</f>
        <v>0</v>
      </c>
      <c r="E43" s="88">
        <f>'Công trình'!P43</f>
        <v>0</v>
      </c>
      <c r="F43" s="15"/>
      <c r="G43" s="15"/>
      <c r="H43" s="15"/>
      <c r="I43" s="15"/>
      <c r="J43" s="15"/>
      <c r="K43" s="15"/>
      <c r="L43" s="15"/>
    </row>
    <row r="44" spans="1:12" ht="16.5" customHeight="1">
      <c r="A44" s="12"/>
      <c r="B44" s="13"/>
      <c r="C44" s="14" t="str">
        <f>'Công trình'!F44</f>
        <v>II.1. GA, CỐNG DƯỚI ĐƯỜNG</v>
      </c>
      <c r="D44" s="13"/>
      <c r="E44" s="89"/>
      <c r="F44" s="15"/>
      <c r="G44" s="15"/>
      <c r="H44" s="15"/>
      <c r="I44" s="15"/>
      <c r="J44" s="15"/>
      <c r="K44" s="15"/>
      <c r="L44" s="15"/>
    </row>
    <row r="45" spans="1:12" ht="16.5" customHeight="1">
      <c r="A45" s="12"/>
      <c r="B45" s="13"/>
      <c r="C45" s="14" t="str">
        <f>'Công trình'!F45</f>
        <v>* GA THU NƯỚC:</v>
      </c>
      <c r="D45" s="13"/>
      <c r="E45" s="89"/>
      <c r="F45" s="15"/>
      <c r="G45" s="15"/>
      <c r="H45" s="15"/>
      <c r="I45" s="15"/>
      <c r="J45" s="15"/>
      <c r="K45" s="15"/>
      <c r="L45" s="15"/>
    </row>
    <row r="46" spans="1:12" ht="27.75" customHeight="1">
      <c r="A46" s="12">
        <f>'Công trình'!A46</f>
        <v>1</v>
      </c>
      <c r="B46" s="13" t="str">
        <f>'Công trình'!E46</f>
        <v>AB.25112</v>
      </c>
      <c r="C46" s="14" t="str">
        <f>'Công trình'!F46</f>
        <v>Đào móng công trình</v>
      </c>
      <c r="D46" s="13" t="str">
        <f>'Công trình'!G46</f>
        <v>100m3</v>
      </c>
      <c r="E46" s="89">
        <f>ROUND('Công trình'!P46,4)</f>
        <v>1.2809999999999999</v>
      </c>
      <c r="F46" s="15">
        <f>'Công trình'!Q46+'Công trình'!R46</f>
        <v>0</v>
      </c>
      <c r="G46" s="15">
        <f>'Đơn giá chi tiết'!H$132</f>
        <v>840951.4</v>
      </c>
      <c r="H46" s="15">
        <f>'Đơn giá chi tiết'!H$134</f>
        <v>1100742</v>
      </c>
      <c r="I46" s="15">
        <f>ROUND(IF(E$43=0,E46*F46,E$43*E46*F46),1)</f>
        <v>0</v>
      </c>
      <c r="J46" s="15">
        <f>ROUND(IF(E$43=0,E46*G46,E$43*E46*G46),1)</f>
        <v>1077258.7</v>
      </c>
      <c r="K46" s="15">
        <f>ROUND(IF(E$43=0,E46*H46,E$43*E46*H46),1)</f>
        <v>1410050.5</v>
      </c>
      <c r="L46" s="15">
        <f>ROUND((I46+J46+K46),0)</f>
        <v>2487309</v>
      </c>
    </row>
    <row r="47" spans="1:12" ht="16.5" customHeight="1">
      <c r="A47" s="12"/>
      <c r="B47" s="13"/>
      <c r="C47" s="134" t="str">
        <f>'Công trình'!F47</f>
        <v>12,81/100</v>
      </c>
      <c r="D47" s="13"/>
      <c r="E47" s="89"/>
      <c r="F47" s="15"/>
      <c r="G47" s="15"/>
      <c r="H47" s="15"/>
      <c r="I47" s="15"/>
      <c r="J47" s="15"/>
      <c r="K47" s="15"/>
      <c r="L47" s="15"/>
    </row>
    <row r="48" spans="1:12" ht="16.5" customHeight="1">
      <c r="A48" s="12" t="e">
        <f>'Công trình'!#REF!</f>
        <v>#REF!</v>
      </c>
      <c r="B48" s="13" t="e">
        <f>'Công trình'!#REF!</f>
        <v>#REF!</v>
      </c>
      <c r="C48" s="14" t="e">
        <f>'Công trình'!#REF!</f>
        <v>#REF!</v>
      </c>
      <c r="D48" s="13" t="e">
        <f>'Công trình'!#REF!</f>
        <v>#REF!</v>
      </c>
      <c r="E48" s="89" t="e">
        <f>ROUND('Công trình'!#REF!,4)</f>
        <v>#REF!</v>
      </c>
      <c r="F48" s="15" t="e">
        <f>'Công trình'!#REF!+'Công trình'!#REF!</f>
        <v>#REF!</v>
      </c>
      <c r="G48" s="15">
        <f>'Đơn giá chi tiết'!H$137</f>
        <v>170403.3</v>
      </c>
      <c r="H48" s="15" t="e">
        <f>'Công trình'!#REF!</f>
        <v>#REF!</v>
      </c>
      <c r="I48" s="15" t="e">
        <f>ROUND(IF(E$43=0,E48*F48,E$43*E48*F48),1)</f>
        <v>#REF!</v>
      </c>
      <c r="J48" s="15" t="e">
        <f>ROUND(IF(E$43=0,E48*G48,E$43*E48*G48),1)</f>
        <v>#REF!</v>
      </c>
      <c r="K48" s="15" t="e">
        <f>ROUND(IF(E$43=0,E48*H48,E$43*E48*H48),1)</f>
        <v>#REF!</v>
      </c>
      <c r="L48" s="15" t="e">
        <f>ROUND((I48+J48+K48),0)</f>
        <v>#REF!</v>
      </c>
    </row>
    <row r="49" spans="1:12" ht="16.5" customHeight="1">
      <c r="A49" s="12"/>
      <c r="B49" s="13"/>
      <c r="C49" s="134" t="e">
        <f>'Công trình'!#REF!</f>
        <v>#REF!</v>
      </c>
      <c r="D49" s="13"/>
      <c r="E49" s="89"/>
      <c r="F49" s="15"/>
      <c r="G49" s="15"/>
      <c r="H49" s="15"/>
      <c r="I49" s="15"/>
      <c r="J49" s="15"/>
      <c r="K49" s="15"/>
      <c r="L49" s="15"/>
    </row>
    <row r="50" spans="1:12" ht="16.5" customHeight="1">
      <c r="A50" s="12">
        <f>'Công trình'!A48</f>
        <v>2</v>
      </c>
      <c r="B50" s="13" t="str">
        <f>'Công trình'!E48</f>
        <v>AB.64123</v>
      </c>
      <c r="C50" s="14" t="str">
        <f>'Công trình'!F48</f>
        <v>Đất đắp thân ga (tận dụng)</v>
      </c>
      <c r="D50" s="13" t="str">
        <f>'Công trình'!G48</f>
        <v>100m3</v>
      </c>
      <c r="E50" s="89">
        <f>ROUND('Công trình'!P48,4)</f>
        <v>3.8399999999999997E-2</v>
      </c>
      <c r="F50" s="15">
        <f>'Công trình'!Q48+'Công trình'!R48</f>
        <v>0</v>
      </c>
      <c r="G50" s="15">
        <f>'Đơn giá chi tiết'!H$140</f>
        <v>320889.40000000002</v>
      </c>
      <c r="H50" s="15">
        <f>'Đơn giá chi tiết'!H$142</f>
        <v>904157.3</v>
      </c>
      <c r="I50" s="15">
        <f>ROUND(IF(E$43=0,E50*F50,E$43*E50*F50),1)</f>
        <v>0</v>
      </c>
      <c r="J50" s="15">
        <f>ROUND(IF(E$43=0,E50*G50,E$43*E50*G50),1)</f>
        <v>12322.2</v>
      </c>
      <c r="K50" s="15">
        <f>ROUND(IF(E$43=0,E50*H50,E$43*E50*H50),1)</f>
        <v>34719.599999999999</v>
      </c>
      <c r="L50" s="15">
        <f>ROUND((I50+J50+K50),0)</f>
        <v>47042</v>
      </c>
    </row>
    <row r="51" spans="1:12" ht="16.5" customHeight="1">
      <c r="A51" s="12"/>
      <c r="B51" s="13"/>
      <c r="C51" s="134" t="str">
        <f>'Công trình'!F49</f>
        <v>3,84/100 = 0,0384</v>
      </c>
      <c r="D51" s="13"/>
      <c r="E51" s="89"/>
      <c r="F51" s="15"/>
      <c r="G51" s="15"/>
      <c r="H51" s="15"/>
      <c r="I51" s="15"/>
      <c r="J51" s="15"/>
      <c r="K51" s="15"/>
      <c r="L51" s="15"/>
    </row>
    <row r="52" spans="1:12" ht="27.75" customHeight="1">
      <c r="A52" s="12">
        <f>'Công trình'!A50</f>
        <v>3</v>
      </c>
      <c r="B52" s="13" t="str">
        <f>'Công trình'!E50</f>
        <v>AB.41412</v>
      </c>
      <c r="C52" s="14" t="str">
        <f>'Công trình'!F50</f>
        <v>Vận chuyển đất bằng ôtô tự đổ 5 tấn trong phạm vi &lt;= 1000m, đất cấp II</v>
      </c>
      <c r="D52" s="13" t="str">
        <f>'Công trình'!G50</f>
        <v>100m3</v>
      </c>
      <c r="E52" s="89">
        <f>ROUND('Công trình'!P50,4)</f>
        <v>8.9700000000000002E-2</v>
      </c>
      <c r="F52" s="15">
        <f>'Công trình'!Q50+'Công trình'!R50</f>
        <v>0</v>
      </c>
      <c r="G52" s="15">
        <f>'Công trình'!S50</f>
        <v>0</v>
      </c>
      <c r="H52" s="15">
        <f>'Đơn giá chi tiết'!H$148</f>
        <v>2313202.9</v>
      </c>
      <c r="I52" s="15">
        <f>ROUND(IF(E$43=0,E52*F52,E$43*E52*F52),1)</f>
        <v>0</v>
      </c>
      <c r="J52" s="15">
        <f>ROUND(IF(E$43=0,E52*G52,E$43*E52*G52),1)</f>
        <v>0</v>
      </c>
      <c r="K52" s="15">
        <f>ROUND(IF(E$43=0,E52*H52,E$43*E52*H52),1)</f>
        <v>207494.3</v>
      </c>
      <c r="L52" s="15">
        <f>ROUND((I52+J52+K52),0)</f>
        <v>207494</v>
      </c>
    </row>
    <row r="53" spans="1:12" ht="16.5" customHeight="1">
      <c r="A53" s="12"/>
      <c r="B53" s="13"/>
      <c r="C53" s="134" t="str">
        <f>'Công trình'!F51</f>
        <v>8,97/100 = 0,0897</v>
      </c>
      <c r="D53" s="13"/>
      <c r="E53" s="89"/>
      <c r="F53" s="15"/>
      <c r="G53" s="15"/>
      <c r="H53" s="15"/>
      <c r="I53" s="15"/>
      <c r="J53" s="15"/>
      <c r="K53" s="15"/>
      <c r="L53" s="15"/>
    </row>
    <row r="54" spans="1:12" ht="27.75" customHeight="1">
      <c r="A54" s="12">
        <f>'Công trình'!A52</f>
        <v>20</v>
      </c>
      <c r="B54" s="13" t="str">
        <f>'Công trình'!E52</f>
        <v>AB.42212</v>
      </c>
      <c r="C54" s="14" t="str">
        <f>'Công trình'!F52</f>
        <v>Vận chuyển đất bằng ô tô tự đổ 5T 1km tiếp theo ngoài phạm vi 5km, đất cấp II</v>
      </c>
      <c r="D54" s="13" t="str">
        <f>'Công trình'!G52</f>
        <v>100m3</v>
      </c>
      <c r="E54" s="89">
        <f>ROUND('Công trình'!P52,4)</f>
        <v>8.9700000000000002E-2</v>
      </c>
      <c r="F54" s="15">
        <f>'Công trình'!Q52+'Công trình'!R52</f>
        <v>0</v>
      </c>
      <c r="G54" s="15">
        <f>'Công trình'!S52</f>
        <v>0</v>
      </c>
      <c r="H54" s="15">
        <f>'Đơn giá chi tiết'!H$151</f>
        <v>3550740.4</v>
      </c>
      <c r="I54" s="15">
        <f>ROUND(IF(E$43=0,E54*F54,E$43*E54*F54),1)</f>
        <v>0</v>
      </c>
      <c r="J54" s="15">
        <f>ROUND(IF(E$43=0,E54*G54,E$43*E54*G54),1)</f>
        <v>0</v>
      </c>
      <c r="K54" s="15">
        <f>ROUND(IF(E$43=0,E54*H54,E$43*E54*H54),1)</f>
        <v>318501.40000000002</v>
      </c>
      <c r="L54" s="15">
        <f>ROUND((I54+J54+K54),0)</f>
        <v>318501</v>
      </c>
    </row>
    <row r="55" spans="1:12" ht="16.5" customHeight="1">
      <c r="A55" s="12"/>
      <c r="B55" s="13"/>
      <c r="C55" s="134">
        <f>'Công trình'!F53</f>
        <v>8.9700000000000002E-2</v>
      </c>
      <c r="D55" s="13"/>
      <c r="E55" s="89"/>
      <c r="F55" s="15"/>
      <c r="G55" s="15"/>
      <c r="H55" s="15"/>
      <c r="I55" s="15"/>
      <c r="J55" s="15"/>
      <c r="K55" s="15"/>
      <c r="L55" s="15"/>
    </row>
    <row r="56" spans="1:12" ht="16.5" customHeight="1">
      <c r="A56" s="12">
        <f>'Công trình'!A54</f>
        <v>4</v>
      </c>
      <c r="B56" s="13" t="str">
        <f>'Công trình'!E54</f>
        <v>AK.98110</v>
      </c>
      <c r="C56" s="14" t="str">
        <f>'Công trình'!F54</f>
        <v>Đá dăm lót móng, đá 2x4, dày 10cm</v>
      </c>
      <c r="D56" s="13" t="str">
        <f>'Công trình'!G54</f>
        <v>m3</v>
      </c>
      <c r="E56" s="89">
        <f>ROUND('Công trình'!P54,4)</f>
        <v>3.29</v>
      </c>
      <c r="F56" s="15">
        <f>'Đơn giá chi tiết'!H$154</f>
        <v>453000</v>
      </c>
      <c r="G56" s="15">
        <f>'Đơn giá chi tiết'!H$158</f>
        <v>420923.8</v>
      </c>
      <c r="H56" s="15">
        <f>'Công trình'!T54</f>
        <v>0</v>
      </c>
      <c r="I56" s="15">
        <f>ROUND(IF(E$43=0,E56*F56,E$43*E56*F56),1)</f>
        <v>1490370</v>
      </c>
      <c r="J56" s="15">
        <f>ROUND(IF(E$43=0,E56*G56,E$43*E56*G56),1)</f>
        <v>1384839.3</v>
      </c>
      <c r="K56" s="15">
        <f>ROUND(IF(E$43=0,E56*H56,E$43*E56*H56),1)</f>
        <v>0</v>
      </c>
      <c r="L56" s="15">
        <f>ROUND((I56+J56+K56),0)</f>
        <v>2875209</v>
      </c>
    </row>
    <row r="57" spans="1:12" ht="16.5" customHeight="1">
      <c r="A57" s="12"/>
      <c r="B57" s="13"/>
      <c r="C57" s="134" t="str">
        <f>'Công trình'!F55</f>
        <v>3,29 = 3,29</v>
      </c>
      <c r="D57" s="13"/>
      <c r="E57" s="89"/>
      <c r="F57" s="15"/>
      <c r="G57" s="15"/>
      <c r="H57" s="15"/>
      <c r="I57" s="15"/>
      <c r="J57" s="15"/>
      <c r="K57" s="15"/>
      <c r="L57" s="15"/>
    </row>
    <row r="58" spans="1:12" ht="16.5" customHeight="1">
      <c r="A58" s="12">
        <f>'Công trình'!A56</f>
        <v>5</v>
      </c>
      <c r="B58" s="13" t="str">
        <f>'Công trình'!E56</f>
        <v>AF.81122</v>
      </c>
      <c r="C58" s="14" t="str">
        <f>'Công trình'!F56</f>
        <v>Ván khuôn gỗ. Ván khuôn móng ga</v>
      </c>
      <c r="D58" s="13" t="str">
        <f>'Công trình'!G56</f>
        <v>100m2</v>
      </c>
      <c r="E58" s="89">
        <f>ROUND('Công trình'!P56,4)</f>
        <v>0.17760000000000001</v>
      </c>
      <c r="F58" s="15">
        <f>'Đơn giá chi tiết'!H$161</f>
        <v>6188316.2000000002</v>
      </c>
      <c r="G58" s="15">
        <f>'Đơn giá chi tiết'!H$168</f>
        <v>7781400</v>
      </c>
      <c r="H58" s="15">
        <f>'Công trình'!T56</f>
        <v>0</v>
      </c>
      <c r="I58" s="15">
        <f>ROUND(IF(E$43=0,E58*F58,E$43*E58*F58),1)</f>
        <v>1099045</v>
      </c>
      <c r="J58" s="15">
        <f>ROUND(IF(E$43=0,E58*G58,E$43*E58*G58),1)</f>
        <v>1381976.6</v>
      </c>
      <c r="K58" s="15">
        <f>ROUND(IF(E$43=0,E58*H58,E$43*E58*H58),1)</f>
        <v>0</v>
      </c>
      <c r="L58" s="15">
        <f>ROUND((I58+J58+K58),0)</f>
        <v>2481022</v>
      </c>
    </row>
    <row r="59" spans="1:12" ht="16.5" customHeight="1">
      <c r="A59" s="12"/>
      <c r="B59" s="13"/>
      <c r="C59" s="134" t="str">
        <f>'Công trình'!F57</f>
        <v>17,76/100 = 0,1776</v>
      </c>
      <c r="D59" s="13"/>
      <c r="E59" s="89"/>
      <c r="F59" s="15"/>
      <c r="G59" s="15"/>
      <c r="H59" s="15"/>
      <c r="I59" s="15"/>
      <c r="J59" s="15"/>
      <c r="K59" s="15"/>
      <c r="L59" s="15"/>
    </row>
    <row r="60" spans="1:12" ht="16.5" customHeight="1">
      <c r="A60" s="12">
        <f>'Công trình'!A58</f>
        <v>6</v>
      </c>
      <c r="B60" s="13" t="str">
        <f>'Công trình'!E58</f>
        <v>AF.11213A</v>
      </c>
      <c r="C60" s="14" t="str">
        <f>'Công trình'!F58</f>
        <v>Đổ bê tông móng ga, đá 1x2, mác 200</v>
      </c>
      <c r="D60" s="13" t="str">
        <f>'Công trình'!G58</f>
        <v>m3</v>
      </c>
      <c r="E60" s="89">
        <f>ROUND('Công trình'!P58,4)</f>
        <v>6.57</v>
      </c>
      <c r="F60" s="15">
        <f>'Đơn giá chi tiết'!H$171</f>
        <v>1040813.5</v>
      </c>
      <c r="G60" s="15">
        <f>'Đơn giá chi tiết'!H$178</f>
        <v>294698.2</v>
      </c>
      <c r="H60" s="15">
        <f>'Đơn giá chi tiết'!H$180</f>
        <v>54795.9</v>
      </c>
      <c r="I60" s="15">
        <f>ROUND(IF(E$43=0,E60*F60,E$43*E60*F60),1)</f>
        <v>6838144.7000000002</v>
      </c>
      <c r="J60" s="15">
        <f>ROUND(IF(E$43=0,E60*G60,E$43*E60*G60),1)</f>
        <v>1936167.2</v>
      </c>
      <c r="K60" s="15">
        <f>ROUND(IF(E$43=0,E60*H60,E$43*E60*H60),1)</f>
        <v>360009.1</v>
      </c>
      <c r="L60" s="15">
        <f>ROUND((I60+J60+K60),0)</f>
        <v>9134321</v>
      </c>
    </row>
    <row r="61" spans="1:12" ht="16.5" customHeight="1">
      <c r="A61" s="12"/>
      <c r="B61" s="13"/>
      <c r="C61" s="134" t="str">
        <f>'Công trình'!F59</f>
        <v>6,57 = 6,57</v>
      </c>
      <c r="D61" s="13"/>
      <c r="E61" s="89"/>
      <c r="F61" s="15"/>
      <c r="G61" s="15"/>
      <c r="H61" s="15"/>
      <c r="I61" s="15"/>
      <c r="J61" s="15"/>
      <c r="K61" s="15"/>
      <c r="L61" s="15"/>
    </row>
    <row r="62" spans="1:12" ht="27.75" customHeight="1">
      <c r="A62" s="12">
        <f>'Công trình'!A60</f>
        <v>7</v>
      </c>
      <c r="B62" s="13" t="str">
        <f>'Công trình'!E60</f>
        <v>AE.26213A</v>
      </c>
      <c r="C62" s="14" t="str">
        <f>'Công trình'!F60</f>
        <v>Xây gạch không nung ga VXM M75, dày 22cm</v>
      </c>
      <c r="D62" s="13" t="str">
        <f>'Công trình'!G60</f>
        <v>m3</v>
      </c>
      <c r="E62" s="89">
        <f>ROUND('Công trình'!P60,4)</f>
        <v>20.79</v>
      </c>
      <c r="F62" s="15">
        <f>'Đơn giá chi tiết'!H$185</f>
        <v>1079493.5</v>
      </c>
      <c r="G62" s="15">
        <f>'Đơn giá chi tiết'!H$192</f>
        <v>838400</v>
      </c>
      <c r="H62" s="15">
        <f>'Đơn giá chi tiết'!H$194</f>
        <v>11441.1</v>
      </c>
      <c r="I62" s="15">
        <f>ROUND(IF(E$43=0,E62*F62,E$43*E62*F62),1)</f>
        <v>22442669.899999999</v>
      </c>
      <c r="J62" s="15">
        <f>ROUND(IF(E$43=0,E62*G62,E$43*E62*G62),1)</f>
        <v>17430336</v>
      </c>
      <c r="K62" s="15">
        <f>ROUND(IF(E$43=0,E62*H62,E$43*E62*H62),1)</f>
        <v>237860.5</v>
      </c>
      <c r="L62" s="15">
        <f>ROUND((I62+J62+K62),0)</f>
        <v>40110866</v>
      </c>
    </row>
    <row r="63" spans="1:12" ht="16.5" customHeight="1">
      <c r="A63" s="12"/>
      <c r="B63" s="13"/>
      <c r="C63" s="134" t="str">
        <f>'Công trình'!F61</f>
        <v>20,79 = 20,79</v>
      </c>
      <c r="D63" s="13"/>
      <c r="E63" s="89"/>
      <c r="F63" s="15"/>
      <c r="G63" s="15"/>
      <c r="H63" s="15"/>
      <c r="I63" s="15"/>
      <c r="J63" s="15"/>
      <c r="K63" s="15"/>
      <c r="L63" s="15"/>
    </row>
    <row r="64" spans="1:12" ht="40.5" customHeight="1">
      <c r="A64" s="12">
        <f>'Công trình'!A62</f>
        <v>8</v>
      </c>
      <c r="B64" s="13" t="str">
        <f>'Công trình'!E62</f>
        <v>AK.21533</v>
      </c>
      <c r="C64" s="14" t="str">
        <f>'Công trình'!F62</f>
        <v>Trát tường xây gạch không nung bằng vữa thông thường, trát tường ga, chiều dày trát 2cm, vữa XM mác 75</v>
      </c>
      <c r="D64" s="13" t="str">
        <f>'Công trình'!G62</f>
        <v>m2</v>
      </c>
      <c r="E64" s="89">
        <f>ROUND('Công trình'!P62,4)</f>
        <v>64.260000000000005</v>
      </c>
      <c r="F64" s="15">
        <f>'Đơn giá chi tiết'!H$197</f>
        <v>21521.3</v>
      </c>
      <c r="G64" s="15">
        <f>'Đơn giá chi tiết'!H$203</f>
        <v>91700</v>
      </c>
      <c r="H64" s="15">
        <f>'Đơn giá chi tiết'!H$205</f>
        <v>880.1</v>
      </c>
      <c r="I64" s="15">
        <f>ROUND(IF(E$43=0,E64*F64,E$43*E64*F64),1)</f>
        <v>1382958.7</v>
      </c>
      <c r="J64" s="15">
        <f>ROUND(IF(E$43=0,E64*G64,E$43*E64*G64),1)</f>
        <v>5892642</v>
      </c>
      <c r="K64" s="15">
        <f>ROUND(IF(E$43=0,E64*H64,E$43*E64*H64),1)</f>
        <v>56555.199999999997</v>
      </c>
      <c r="L64" s="15">
        <f>ROUND((I64+J64+K64),0)</f>
        <v>7332156</v>
      </c>
    </row>
    <row r="65" spans="1:12" ht="16.5" customHeight="1">
      <c r="A65" s="12"/>
      <c r="B65" s="13"/>
      <c r="C65" s="134" t="str">
        <f>'Công trình'!F63</f>
        <v>64,26 = 64,26</v>
      </c>
      <c r="D65" s="13"/>
      <c r="E65" s="89"/>
      <c r="F65" s="15"/>
      <c r="G65" s="15"/>
      <c r="H65" s="15"/>
      <c r="I65" s="15"/>
      <c r="J65" s="15"/>
      <c r="K65" s="15"/>
      <c r="L65" s="15"/>
    </row>
    <row r="66" spans="1:12" ht="16.5" customHeight="1">
      <c r="A66" s="12">
        <f>'Công trình'!A64</f>
        <v>9</v>
      </c>
      <c r="B66" s="13" t="str">
        <f>'Công trình'!E64</f>
        <v>AK.41113</v>
      </c>
      <c r="C66" s="14" t="str">
        <f>'Công trình'!F64</f>
        <v>Láng đáy ga, dày 2cm, vữa XM mác 75</v>
      </c>
      <c r="D66" s="13" t="str">
        <f>'Công trình'!G64</f>
        <v>m2</v>
      </c>
      <c r="E66" s="89">
        <f>ROUND('Công trình'!P64,4)</f>
        <v>9.6</v>
      </c>
      <c r="F66" s="15">
        <f>'Đơn giá chi tiết'!H$208</f>
        <v>23276.3</v>
      </c>
      <c r="G66" s="15">
        <f>'Đơn giá chi tiết'!H$213</f>
        <v>19339.7</v>
      </c>
      <c r="H66" s="15">
        <f>'Đơn giá chi tiết'!H$215</f>
        <v>1173.4000000000001</v>
      </c>
      <c r="I66" s="15">
        <f>ROUND(IF(E$43=0,E66*F66,E$43*E66*F66),1)</f>
        <v>223452.5</v>
      </c>
      <c r="J66" s="15">
        <f>ROUND(IF(E$43=0,E66*G66,E$43*E66*G66),1)</f>
        <v>185661.1</v>
      </c>
      <c r="K66" s="15">
        <f>ROUND(IF(E$43=0,E66*H66,E$43*E66*H66),1)</f>
        <v>11264.6</v>
      </c>
      <c r="L66" s="15">
        <f>ROUND((I66+J66+K66),0)</f>
        <v>420378</v>
      </c>
    </row>
    <row r="67" spans="1:12" ht="16.5" customHeight="1">
      <c r="A67" s="12"/>
      <c r="B67" s="13"/>
      <c r="C67" s="134" t="str">
        <f>'Công trình'!F65</f>
        <v>9,6 = 9,6</v>
      </c>
      <c r="D67" s="13"/>
      <c r="E67" s="89"/>
      <c r="F67" s="15"/>
      <c r="G67" s="15"/>
      <c r="H67" s="15"/>
      <c r="I67" s="15"/>
      <c r="J67" s="15"/>
      <c r="K67" s="15"/>
      <c r="L67" s="15"/>
    </row>
    <row r="68" spans="1:12" ht="16.5" customHeight="1">
      <c r="A68" s="12">
        <f>'Công trình'!A66</f>
        <v>10</v>
      </c>
      <c r="B68" s="13" t="str">
        <f>'Công trình'!E66</f>
        <v>AF.81141</v>
      </c>
      <c r="C68" s="14" t="str">
        <f>'Công trình'!F66</f>
        <v>Ván khuôn gỗ. Ván khuôn cổ ga</v>
      </c>
      <c r="D68" s="13" t="str">
        <f>'Công trình'!G66</f>
        <v>100m2</v>
      </c>
      <c r="E68" s="89">
        <f>ROUND('Công trình'!P66,4)</f>
        <v>0.26279999999999998</v>
      </c>
      <c r="F68" s="15">
        <f>'Đơn giá chi tiết'!H$218</f>
        <v>8793002.5</v>
      </c>
      <c r="G68" s="15">
        <f>'Đơn giá chi tiết'!H$225</f>
        <v>7205000</v>
      </c>
      <c r="H68" s="15">
        <f>'Công trình'!T66</f>
        <v>0</v>
      </c>
      <c r="I68" s="15">
        <f>ROUND(IF(E$43=0,E68*F68,E$43*E68*F68),1)</f>
        <v>2310801.1</v>
      </c>
      <c r="J68" s="15">
        <f>ROUND(IF(E$43=0,E68*G68,E$43*E68*G68),1)</f>
        <v>1893474</v>
      </c>
      <c r="K68" s="15">
        <f>ROUND(IF(E$43=0,E68*H68,E$43*E68*H68),1)</f>
        <v>0</v>
      </c>
      <c r="L68" s="15">
        <f>ROUND((I68+J68+K68),0)</f>
        <v>4204275</v>
      </c>
    </row>
    <row r="69" spans="1:12" ht="16.5" customHeight="1">
      <c r="A69" s="12"/>
      <c r="B69" s="13"/>
      <c r="C69" s="134" t="str">
        <f>'Công trình'!F67</f>
        <v>26,28/100 = 0,2628</v>
      </c>
      <c r="D69" s="13"/>
      <c r="E69" s="89"/>
      <c r="F69" s="15"/>
      <c r="G69" s="15"/>
      <c r="H69" s="15"/>
      <c r="I69" s="15"/>
      <c r="J69" s="15"/>
      <c r="K69" s="15"/>
      <c r="L69" s="15"/>
    </row>
    <row r="70" spans="1:12" ht="16.5" customHeight="1">
      <c r="A70" s="12">
        <f>'Công trình'!A68</f>
        <v>11</v>
      </c>
      <c r="B70" s="13" t="str">
        <f>'Công trình'!E68</f>
        <v>AF.12313A</v>
      </c>
      <c r="C70" s="14" t="str">
        <f>'Công trình'!F68</f>
        <v>Đổ bê tông cổ ga, đá 1x2, mác 200</v>
      </c>
      <c r="D70" s="13" t="str">
        <f>'Công trình'!G68</f>
        <v>m3</v>
      </c>
      <c r="E70" s="89">
        <f>ROUND('Công trình'!P68,4)</f>
        <v>2.39</v>
      </c>
      <c r="F70" s="15">
        <f>'Đơn giá chi tiết'!H$228</f>
        <v>1040813.5</v>
      </c>
      <c r="G70" s="15">
        <f>'Đơn giá chi tiết'!H$235</f>
        <v>639710.6</v>
      </c>
      <c r="H70" s="15">
        <f>'Đơn giá chi tiết'!H$237</f>
        <v>79863</v>
      </c>
      <c r="I70" s="15">
        <f>ROUND(IF(E$43=0,E70*F70,E$43*E70*F70),1)</f>
        <v>2487544.2999999998</v>
      </c>
      <c r="J70" s="15">
        <f>ROUND(IF(E$43=0,E70*G70,E$43*E70*G70),1)</f>
        <v>1528908.3</v>
      </c>
      <c r="K70" s="15">
        <f>ROUND(IF(E$43=0,E70*H70,E$43*E70*H70),1)</f>
        <v>190872.6</v>
      </c>
      <c r="L70" s="15">
        <f>ROUND((I70+J70+K70),0)</f>
        <v>4207325</v>
      </c>
    </row>
    <row r="71" spans="1:12" ht="16.5" customHeight="1">
      <c r="A71" s="12"/>
      <c r="B71" s="13"/>
      <c r="C71" s="134" t="str">
        <f>'Công trình'!F69</f>
        <v>2,39 = 2,39</v>
      </c>
      <c r="D71" s="13"/>
      <c r="E71" s="89"/>
      <c r="F71" s="15"/>
      <c r="G71" s="15"/>
      <c r="H71" s="15"/>
      <c r="I71" s="15"/>
      <c r="J71" s="15"/>
      <c r="K71" s="15"/>
      <c r="L71" s="15"/>
    </row>
    <row r="72" spans="1:12" ht="16.5" customHeight="1">
      <c r="A72" s="12">
        <f>'Công trình'!A70</f>
        <v>12</v>
      </c>
      <c r="B72" s="13" t="str">
        <f>'Công trình'!E70</f>
        <v>AF.61521</v>
      </c>
      <c r="C72" s="14" t="str">
        <f>'Công trình'!F70</f>
        <v>Thép cổ ga</v>
      </c>
      <c r="D72" s="13" t="str">
        <f>'Công trình'!G70</f>
        <v>tấn</v>
      </c>
      <c r="E72" s="89">
        <f>ROUND('Công trình'!P70,4)</f>
        <v>2.4E-2</v>
      </c>
      <c r="F72" s="15">
        <f>'Đơn giá chi tiết'!H$242</f>
        <v>17170220</v>
      </c>
      <c r="G72" s="15">
        <f>'Đơn giá chi tiết'!H$247</f>
        <v>2420880</v>
      </c>
      <c r="H72" s="15">
        <f>'Đơn giá chi tiết'!H$249</f>
        <v>545678.30000000005</v>
      </c>
      <c r="I72" s="15">
        <f>ROUND(IF(E$43=0,E72*F72,E$43*E72*F72),1)</f>
        <v>412085.3</v>
      </c>
      <c r="J72" s="15">
        <f>ROUND(IF(E$43=0,E72*G72,E$43*E72*G72),1)</f>
        <v>58101.1</v>
      </c>
      <c r="K72" s="15">
        <f>ROUND(IF(E$43=0,E72*H72,E$43*E72*H72),1)</f>
        <v>13096.3</v>
      </c>
      <c r="L72" s="15">
        <f>ROUND((I72+J72+K72),0)</f>
        <v>483283</v>
      </c>
    </row>
    <row r="73" spans="1:12" ht="16.5" customHeight="1">
      <c r="A73" s="12"/>
      <c r="B73" s="13"/>
      <c r="C73" s="134" t="str">
        <f>'Công trình'!F71</f>
        <v>24/1000 = 0,024</v>
      </c>
      <c r="D73" s="13"/>
      <c r="E73" s="89"/>
      <c r="F73" s="15"/>
      <c r="G73" s="15"/>
      <c r="H73" s="15"/>
      <c r="I73" s="15"/>
      <c r="J73" s="15"/>
      <c r="K73" s="15"/>
      <c r="L73" s="15"/>
    </row>
    <row r="74" spans="1:12" ht="16.5" customHeight="1">
      <c r="A74" s="12">
        <f>'Công trình'!A72</f>
        <v>13</v>
      </c>
      <c r="B74" s="13" t="str">
        <f>'Công trình'!E72</f>
        <v>AI.13131</v>
      </c>
      <c r="C74" s="14" t="str">
        <f>'Công trình'!F72</f>
        <v>Thép góc viền cổ ga</v>
      </c>
      <c r="D74" s="13" t="str">
        <f>'Công trình'!G72</f>
        <v>tấn</v>
      </c>
      <c r="E74" s="89">
        <f>ROUND('Công trình'!P72,4)</f>
        <v>0.4698</v>
      </c>
      <c r="F74" s="15">
        <f>'Đơn giá chi tiết'!H$254</f>
        <v>20495537.899999999</v>
      </c>
      <c r="G74" s="15">
        <f>'Đơn giá chi tiết'!H$263</f>
        <v>5557332.2999999998</v>
      </c>
      <c r="H74" s="15">
        <f>'Đơn giá chi tiết'!H$265</f>
        <v>1149945.3</v>
      </c>
      <c r="I74" s="15">
        <f>ROUND(IF(E$43=0,E74*F74,E$43*E74*F74),1)</f>
        <v>9628803.6999999993</v>
      </c>
      <c r="J74" s="15">
        <f>ROUND(IF(E$43=0,E74*G74,E$43*E74*G74),1)</f>
        <v>2610834.7000000002</v>
      </c>
      <c r="K74" s="15">
        <f>ROUND(IF(E$43=0,E74*H74,E$43*E74*H74),1)</f>
        <v>540244.30000000005</v>
      </c>
      <c r="L74" s="15">
        <f>ROUND((I74+J74+K74),0)</f>
        <v>12779883</v>
      </c>
    </row>
    <row r="75" spans="1:12" ht="16.5" customHeight="1">
      <c r="A75" s="12"/>
      <c r="B75" s="13"/>
      <c r="C75" s="134" t="str">
        <f>'Công trình'!F73</f>
        <v>469,8/1000 = 0,4698</v>
      </c>
      <c r="D75" s="13"/>
      <c r="E75" s="89"/>
      <c r="F75" s="15"/>
      <c r="G75" s="15"/>
      <c r="H75" s="15"/>
      <c r="I75" s="15"/>
      <c r="J75" s="15"/>
      <c r="K75" s="15"/>
      <c r="L75" s="15"/>
    </row>
    <row r="76" spans="1:12" ht="16.5" customHeight="1">
      <c r="A76" s="12"/>
      <c r="B76" s="13"/>
      <c r="C76" s="134" t="str">
        <f>'Công trình'!F74</f>
        <v>TẤM ĐAN NẮP GA THU NƯỚC:</v>
      </c>
      <c r="D76" s="13"/>
      <c r="E76" s="89"/>
      <c r="F76" s="15"/>
      <c r="G76" s="15"/>
      <c r="H76" s="15"/>
      <c r="I76" s="15"/>
      <c r="J76" s="15"/>
      <c r="K76" s="15"/>
      <c r="L76" s="15"/>
    </row>
    <row r="77" spans="1:12" ht="27.75" customHeight="1">
      <c r="A77" s="12">
        <f>'Công trình'!A75</f>
        <v>14</v>
      </c>
      <c r="B77" s="13" t="str">
        <f>'Công trình'!E75</f>
        <v>AG.13231</v>
      </c>
      <c r="C77" s="14" t="str">
        <f>'Công trình'!F75</f>
        <v>Công tác gia công, lắp đặt cốt thép bê tông đúc sẵn. Cốt thép tấm đan</v>
      </c>
      <c r="D77" s="13" t="str">
        <f>'Công trình'!G75</f>
        <v>tấn</v>
      </c>
      <c r="E77" s="89">
        <f>ROUND('Công trình'!P75,4)</f>
        <v>0.88080000000000003</v>
      </c>
      <c r="F77" s="15">
        <f>'Đơn giá chi tiết'!H$272</f>
        <v>17215680</v>
      </c>
      <c r="G77" s="15">
        <f>'Đơn giá chi tiết'!H$276</f>
        <v>4257500</v>
      </c>
      <c r="H77" s="15">
        <f>'Đơn giá chi tiết'!H$278</f>
        <v>111836.4</v>
      </c>
      <c r="I77" s="15">
        <f>ROUND(IF(E$43=0,E77*F77,E$43*E77*F77),1)</f>
        <v>15163570.9</v>
      </c>
      <c r="J77" s="15">
        <f>ROUND(IF(E$43=0,E77*G77,E$43*E77*G77),1)</f>
        <v>3750006</v>
      </c>
      <c r="K77" s="15">
        <f>ROUND(IF(E$43=0,E77*H77,E$43*E77*H77),1)</f>
        <v>98505.5</v>
      </c>
      <c r="L77" s="15">
        <f>ROUND((I77+J77+K77),0)</f>
        <v>19012082</v>
      </c>
    </row>
    <row r="78" spans="1:12" ht="16.5" customHeight="1">
      <c r="A78" s="12"/>
      <c r="B78" s="13"/>
      <c r="C78" s="134" t="str">
        <f>'Công trình'!F76</f>
        <v>(75,3+127,8)/1000 = 0,2031</v>
      </c>
      <c r="D78" s="13"/>
      <c r="E78" s="89"/>
      <c r="F78" s="15"/>
      <c r="G78" s="15"/>
      <c r="H78" s="15"/>
      <c r="I78" s="15"/>
      <c r="J78" s="15"/>
      <c r="K78" s="15"/>
      <c r="L78" s="15"/>
    </row>
    <row r="79" spans="1:12" ht="16.5" customHeight="1">
      <c r="A79" s="12"/>
      <c r="B79" s="13"/>
      <c r="C79" s="134" t="str">
        <f>'Công trình'!F77</f>
        <v>Thép góc: 677,7/1000 = 0,6777</v>
      </c>
      <c r="D79" s="13"/>
      <c r="E79" s="89"/>
      <c r="F79" s="15"/>
      <c r="G79" s="15"/>
      <c r="H79" s="15"/>
      <c r="I79" s="15"/>
      <c r="J79" s="15"/>
      <c r="K79" s="15"/>
      <c r="L79" s="15"/>
    </row>
    <row r="80" spans="1:12" ht="16.5" customHeight="1">
      <c r="A80" s="12">
        <f>'Công trình'!A78</f>
        <v>15</v>
      </c>
      <c r="B80" s="13" t="str">
        <f>'Công trình'!E78</f>
        <v>AG.11414A</v>
      </c>
      <c r="C80" s="14" t="str">
        <f>'Công trình'!F78</f>
        <v>Bê tông tấm đan, đá 1x2 mác 250</v>
      </c>
      <c r="D80" s="13" t="str">
        <f>'Công trình'!G78</f>
        <v>m3</v>
      </c>
      <c r="E80" s="89">
        <f>ROUND('Công trình'!P78,4)</f>
        <v>1.5</v>
      </c>
      <c r="F80" s="15">
        <f>'Đơn giá chi tiết'!H$281</f>
        <v>1083421.7</v>
      </c>
      <c r="G80" s="15">
        <f>'Đơn giá chi tiết'!H$288</f>
        <v>462412.6</v>
      </c>
      <c r="H80" s="15">
        <f>'Đơn giá chi tiết'!H$290</f>
        <v>30279.7</v>
      </c>
      <c r="I80" s="15">
        <f>ROUND(IF(E$43=0,E80*F80,E$43*E80*F80),1)</f>
        <v>1625132.6</v>
      </c>
      <c r="J80" s="15">
        <f>ROUND(IF(E$43=0,E80*G80,E$43*E80*G80),1)</f>
        <v>693618.9</v>
      </c>
      <c r="K80" s="15">
        <f>ROUND(IF(E$43=0,E80*H80,E$43*E80*H80),1)</f>
        <v>45419.6</v>
      </c>
      <c r="L80" s="15">
        <f>ROUND((I80+J80+K80),0)</f>
        <v>2364171</v>
      </c>
    </row>
    <row r="81" spans="1:12" ht="16.5" customHeight="1">
      <c r="A81" s="12"/>
      <c r="B81" s="13"/>
      <c r="C81" s="134" t="str">
        <f>'Công trình'!F79</f>
        <v>1,5 = 1,5</v>
      </c>
      <c r="D81" s="13"/>
      <c r="E81" s="89"/>
      <c r="F81" s="15"/>
      <c r="G81" s="15"/>
      <c r="H81" s="15"/>
      <c r="I81" s="15"/>
      <c r="J81" s="15"/>
      <c r="K81" s="15"/>
      <c r="L81" s="15"/>
    </row>
    <row r="82" spans="1:12" ht="16.5" customHeight="1">
      <c r="A82" s="12">
        <f>'Công trình'!A80</f>
        <v>16</v>
      </c>
      <c r="B82" s="13" t="str">
        <f>'Công trình'!E80</f>
        <v>AG.41610</v>
      </c>
      <c r="C82" s="14" t="str">
        <f>'Công trình'!F80</f>
        <v>Lăp đặt tấm đan 110kg/tấm</v>
      </c>
      <c r="D82" s="13" t="str">
        <f>'Công trình'!G80</f>
        <v>1 cấu kiện</v>
      </c>
      <c r="E82" s="89">
        <f>ROUND('Công trình'!P80,4)</f>
        <v>30</v>
      </c>
      <c r="F82" s="15">
        <f>'Công trình'!Q80+'Công trình'!R80</f>
        <v>0</v>
      </c>
      <c r="G82" s="15">
        <f>'Đơn giá chi tiết'!H$293</f>
        <v>7187.8</v>
      </c>
      <c r="H82" s="15">
        <f>'Đơn giá chi tiết'!H$295</f>
        <v>26465.599999999999</v>
      </c>
      <c r="I82" s="15">
        <f>ROUND(IF(E$43=0,E82*F82,E$43*E82*F82),1)</f>
        <v>0</v>
      </c>
      <c r="J82" s="15">
        <f>ROUND(IF(E$43=0,E82*G82,E$43*E82*G82),1)</f>
        <v>215634</v>
      </c>
      <c r="K82" s="15">
        <f>ROUND(IF(E$43=0,E82*H82,E$43*E82*H82),1)</f>
        <v>793968</v>
      </c>
      <c r="L82" s="15">
        <f>ROUND((I82+J82+K82),0)</f>
        <v>1009602</v>
      </c>
    </row>
    <row r="83" spans="1:12" ht="16.5" customHeight="1">
      <c r="A83" s="12"/>
      <c r="B83" s="13"/>
      <c r="C83" s="134" t="str">
        <f>'Công trình'!F81</f>
        <v>30 = 30</v>
      </c>
      <c r="D83" s="13"/>
      <c r="E83" s="89"/>
      <c r="F83" s="15"/>
      <c r="G83" s="15"/>
      <c r="H83" s="15"/>
      <c r="I83" s="15"/>
      <c r="J83" s="15"/>
      <c r="K83" s="15"/>
      <c r="L83" s="15"/>
    </row>
    <row r="84" spans="1:12" ht="16.5" customHeight="1">
      <c r="A84" s="12"/>
      <c r="B84" s="13"/>
      <c r="C84" s="134" t="str">
        <f>'Công trình'!F82</f>
        <v>* HỐ TỤ NƯỚC BTXM:</v>
      </c>
      <c r="D84" s="13"/>
      <c r="E84" s="89"/>
      <c r="F84" s="15"/>
      <c r="G84" s="15"/>
      <c r="H84" s="15"/>
      <c r="I84" s="15"/>
      <c r="J84" s="15"/>
      <c r="K84" s="15"/>
      <c r="L84" s="15"/>
    </row>
    <row r="85" spans="1:12" ht="16.5" customHeight="1">
      <c r="A85" s="12"/>
      <c r="B85" s="13"/>
      <c r="C85" s="134" t="str">
        <f>'Công trình'!F83</f>
        <v>Tấm đan M1* hố tụ nước:</v>
      </c>
      <c r="D85" s="13"/>
      <c r="E85" s="89"/>
      <c r="F85" s="15"/>
      <c r="G85" s="15"/>
      <c r="H85" s="15"/>
      <c r="I85" s="15"/>
      <c r="J85" s="15"/>
      <c r="K85" s="15"/>
      <c r="L85" s="15"/>
    </row>
    <row r="86" spans="1:12" ht="40.5" customHeight="1">
      <c r="A86" s="12">
        <f>'Công trình'!A84</f>
        <v>17</v>
      </c>
      <c r="B86" s="13" t="str">
        <f>'Công trình'!E84</f>
        <v>AG.31311</v>
      </c>
      <c r="C86" s="14" t="str">
        <f>'Công trình'!F84</f>
        <v>Công tác gia công, lắp dựng, tháo dỡ ván khuôn. Ván khuôn gỗ, ván khuôn tấm đan hố tụ</v>
      </c>
      <c r="D86" s="13" t="str">
        <f>'Công trình'!G84</f>
        <v>100m2</v>
      </c>
      <c r="E86" s="89">
        <f>ROUND('Công trình'!P84,4)</f>
        <v>5.8500000000000003E-2</v>
      </c>
      <c r="F86" s="15">
        <f>'Đơn giá chi tiết'!H$298</f>
        <v>908127.8</v>
      </c>
      <c r="G86" s="15">
        <f>'Đơn giá chi tiết'!H$303</f>
        <v>6200040</v>
      </c>
      <c r="H86" s="15">
        <f>'Công trình'!T84</f>
        <v>0</v>
      </c>
      <c r="I86" s="15">
        <f>ROUND(IF(E$43=0,E86*F86,E$43*E86*F86),1)</f>
        <v>53125.5</v>
      </c>
      <c r="J86" s="15">
        <f>ROUND(IF(E$43=0,E86*G86,E$43*E86*G86),1)</f>
        <v>362702.3</v>
      </c>
      <c r="K86" s="15">
        <f>ROUND(IF(E$43=0,E86*H86,E$43*E86*H86),1)</f>
        <v>0</v>
      </c>
      <c r="L86" s="15">
        <f>ROUND((I86+J86+K86),0)</f>
        <v>415828</v>
      </c>
    </row>
    <row r="87" spans="1:12" ht="16.5" customHeight="1">
      <c r="A87" s="12"/>
      <c r="B87" s="13"/>
      <c r="C87" s="134" t="str">
        <f>'Công trình'!F85</f>
        <v>5,85/100 = 0,0585</v>
      </c>
      <c r="D87" s="13"/>
      <c r="E87" s="89"/>
      <c r="F87" s="15"/>
      <c r="G87" s="15"/>
      <c r="H87" s="15"/>
      <c r="I87" s="15"/>
      <c r="J87" s="15"/>
      <c r="K87" s="15"/>
      <c r="L87" s="15"/>
    </row>
    <row r="88" spans="1:12" ht="27.75" customHeight="1">
      <c r="A88" s="12">
        <f>'Công trình'!A86</f>
        <v>18</v>
      </c>
      <c r="B88" s="13" t="str">
        <f>'Công trình'!E86</f>
        <v>AG.13231</v>
      </c>
      <c r="C88" s="14" t="str">
        <f>'Công trình'!F86</f>
        <v>Công tác gia công, lắp đặt cốt thép bê tông đúc sẵn. Cốt thép tấm đan</v>
      </c>
      <c r="D88" s="13" t="str">
        <f>'Công trình'!G86</f>
        <v>tấn</v>
      </c>
      <c r="E88" s="89">
        <f>ROUND('Công trình'!P86,4)</f>
        <v>0.16520000000000001</v>
      </c>
      <c r="F88" s="15">
        <f>'Đơn giá chi tiết'!H$306</f>
        <v>17215680</v>
      </c>
      <c r="G88" s="15">
        <f>'Đơn giá chi tiết'!H$310</f>
        <v>4257500</v>
      </c>
      <c r="H88" s="15">
        <f>'Đơn giá chi tiết'!H$312</f>
        <v>111836.4</v>
      </c>
      <c r="I88" s="15">
        <f>ROUND(IF(E$43=0,E88*F88,E$43*E88*F88),1)</f>
        <v>2844030.3</v>
      </c>
      <c r="J88" s="15">
        <f>ROUND(IF(E$43=0,E88*G88,E$43*E88*G88),1)</f>
        <v>703339</v>
      </c>
      <c r="K88" s="15">
        <f>ROUND(IF(E$43=0,E88*H88,E$43*E88*H88),1)</f>
        <v>18475.400000000001</v>
      </c>
      <c r="L88" s="15">
        <f>ROUND((I88+J88+K88),0)</f>
        <v>3565845</v>
      </c>
    </row>
    <row r="89" spans="1:12" ht="16.5" customHeight="1">
      <c r="A89" s="12"/>
      <c r="B89" s="13"/>
      <c r="C89" s="134" t="str">
        <f>'Công trình'!F87</f>
        <v>(66,0+99,15)/1000 = 0,1652</v>
      </c>
      <c r="D89" s="13"/>
      <c r="E89" s="89"/>
      <c r="F89" s="15"/>
      <c r="G89" s="15"/>
      <c r="H89" s="15"/>
      <c r="I89" s="15"/>
      <c r="J89" s="15"/>
      <c r="K89" s="15"/>
      <c r="L89" s="15"/>
    </row>
    <row r="90" spans="1:12" ht="16.5" customHeight="1">
      <c r="A90" s="12">
        <f>'Công trình'!A88</f>
        <v>19</v>
      </c>
      <c r="B90" s="13" t="str">
        <f>'Công trình'!E88</f>
        <v>AG.11414A</v>
      </c>
      <c r="C90" s="14" t="str">
        <f>'Công trình'!F88</f>
        <v>Bê tông tấm đan hố tụ, đá 1x2 mác 250</v>
      </c>
      <c r="D90" s="13" t="str">
        <f>'Công trình'!G88</f>
        <v>m3</v>
      </c>
      <c r="E90" s="89">
        <f>ROUND('Công trình'!P88,4)</f>
        <v>1.29</v>
      </c>
      <c r="F90" s="15">
        <f>'Đơn giá chi tiết'!H$315</f>
        <v>1083421.7</v>
      </c>
      <c r="G90" s="15">
        <f>'Đơn giá chi tiết'!H$322</f>
        <v>462412.6</v>
      </c>
      <c r="H90" s="15">
        <f>'Đơn giá chi tiết'!H$324</f>
        <v>30279.7</v>
      </c>
      <c r="I90" s="15">
        <f>ROUND(IF(E$43=0,E90*F90,E$43*E90*F90),1)</f>
        <v>1397614</v>
      </c>
      <c r="J90" s="15">
        <f>ROUND(IF(E$43=0,E90*G90,E$43*E90*G90),1)</f>
        <v>596512.30000000005</v>
      </c>
      <c r="K90" s="15">
        <f>ROUND(IF(E$43=0,E90*H90,E$43*E90*H90),1)</f>
        <v>39060.800000000003</v>
      </c>
      <c r="L90" s="15">
        <f>ROUND((I90+J90+K90),0)</f>
        <v>2033187</v>
      </c>
    </row>
    <row r="91" spans="1:12" ht="16.5" customHeight="1">
      <c r="A91" s="12"/>
      <c r="B91" s="13"/>
      <c r="C91" s="134" t="str">
        <f>'Công trình'!F89</f>
        <v>1,29 = 1,29</v>
      </c>
      <c r="D91" s="13"/>
      <c r="E91" s="89"/>
      <c r="F91" s="15"/>
      <c r="G91" s="15"/>
      <c r="H91" s="15"/>
      <c r="I91" s="15"/>
      <c r="J91" s="15"/>
      <c r="K91" s="15"/>
      <c r="L91" s="15"/>
    </row>
    <row r="92" spans="1:12" ht="16.5" customHeight="1">
      <c r="A92" s="12">
        <f>'Công trình'!A90</f>
        <v>20</v>
      </c>
      <c r="B92" s="13" t="str">
        <f>'Công trình'!E90</f>
        <v>AG.41610</v>
      </c>
      <c r="C92" s="14" t="str">
        <f>'Công trình'!F90</f>
        <v>Lăp đặt tấm đan 200kg/tấm</v>
      </c>
      <c r="D92" s="13" t="str">
        <f>'Công trình'!G90</f>
        <v>1 cấu kiện</v>
      </c>
      <c r="E92" s="89">
        <f>ROUND('Công trình'!P90,4)</f>
        <v>15</v>
      </c>
      <c r="F92" s="15">
        <f>'Công trình'!Q90+'Công trình'!R90</f>
        <v>0</v>
      </c>
      <c r="G92" s="15">
        <f>'Đơn giá chi tiết'!H$327</f>
        <v>7187.8</v>
      </c>
      <c r="H92" s="15">
        <f>'Đơn giá chi tiết'!H$329</f>
        <v>26465.599999999999</v>
      </c>
      <c r="I92" s="15">
        <f>ROUND(IF(E$43=0,E92*F92,E$43*E92*F92),1)</f>
        <v>0</v>
      </c>
      <c r="J92" s="15">
        <f>ROUND(IF(E$43=0,E92*G92,E$43*E92*G92),1)</f>
        <v>107817</v>
      </c>
      <c r="K92" s="15">
        <f>ROUND(IF(E$43=0,E92*H92,E$43*E92*H92),1)</f>
        <v>396984</v>
      </c>
      <c r="L92" s="15">
        <f>ROUND((I92+J92+K92),0)</f>
        <v>504801</v>
      </c>
    </row>
    <row r="93" spans="1:12" ht="16.5" customHeight="1">
      <c r="A93" s="12"/>
      <c r="B93" s="13"/>
      <c r="C93" s="134" t="str">
        <f>'Công trình'!F91</f>
        <v>15 = 15</v>
      </c>
      <c r="D93" s="13"/>
      <c r="E93" s="89"/>
      <c r="F93" s="15"/>
      <c r="G93" s="15"/>
      <c r="H93" s="15"/>
      <c r="I93" s="15"/>
      <c r="J93" s="15"/>
      <c r="K93" s="15"/>
      <c r="L93" s="15"/>
    </row>
    <row r="94" spans="1:12" ht="16.5" customHeight="1">
      <c r="A94" s="12"/>
      <c r="B94" s="13"/>
      <c r="C94" s="134" t="str">
        <f>'Công trình'!F92</f>
        <v>*) Xây hố tụ:</v>
      </c>
      <c r="D94" s="13"/>
      <c r="E94" s="89"/>
      <c r="F94" s="15"/>
      <c r="G94" s="15"/>
      <c r="H94" s="15"/>
      <c r="I94" s="15"/>
      <c r="J94" s="15"/>
      <c r="K94" s="15"/>
      <c r="L94" s="15"/>
    </row>
    <row r="95" spans="1:12" ht="27.75" customHeight="1">
      <c r="A95" s="12">
        <f>'Công trình'!A93</f>
        <v>21</v>
      </c>
      <c r="B95" s="13" t="str">
        <f>'Công trình'!E93</f>
        <v>AE.26213A</v>
      </c>
      <c r="C95" s="14" t="str">
        <f>'Công trình'!F93</f>
        <v>Xây gạch không nung 6,5x10,5x22, xây hố tụ nước, vữa XM mác 75</v>
      </c>
      <c r="D95" s="13" t="str">
        <f>'Công trình'!G93</f>
        <v>m3</v>
      </c>
      <c r="E95" s="89">
        <f>ROUND('Công trình'!P93,4)</f>
        <v>0.77</v>
      </c>
      <c r="F95" s="15">
        <f>'Đơn giá chi tiết'!H$332</f>
        <v>1079493.5</v>
      </c>
      <c r="G95" s="15">
        <f>'Đơn giá chi tiết'!H$339</f>
        <v>838400</v>
      </c>
      <c r="H95" s="15">
        <f>'Đơn giá chi tiết'!H$341</f>
        <v>11441.1</v>
      </c>
      <c r="I95" s="15">
        <f>ROUND(IF(E$43=0,E95*F95,E$43*E95*F95),1)</f>
        <v>831210</v>
      </c>
      <c r="J95" s="15">
        <f>ROUND(IF(E$43=0,E95*G95,E$43*E95*G95),1)</f>
        <v>645568</v>
      </c>
      <c r="K95" s="15">
        <f>ROUND(IF(E$43=0,E95*H95,E$43*E95*H95),1)</f>
        <v>8809.6</v>
      </c>
      <c r="L95" s="15">
        <f>ROUND((I95+J95+K95),0)</f>
        <v>1485588</v>
      </c>
    </row>
    <row r="96" spans="1:12" ht="16.5" customHeight="1">
      <c r="A96" s="12"/>
      <c r="B96" s="13"/>
      <c r="C96" s="134" t="str">
        <f>'Công trình'!F94</f>
        <v>0,77 = 0,77</v>
      </c>
      <c r="D96" s="13"/>
      <c r="E96" s="89"/>
      <c r="F96" s="15"/>
      <c r="G96" s="15"/>
      <c r="H96" s="15"/>
      <c r="I96" s="15"/>
      <c r="J96" s="15"/>
      <c r="K96" s="15"/>
      <c r="L96" s="15"/>
    </row>
    <row r="97" spans="1:12" ht="27.75" customHeight="1">
      <c r="A97" s="12">
        <f>'Công trình'!A95</f>
        <v>22</v>
      </c>
      <c r="B97" s="13" t="str">
        <f>'Công trình'!E95</f>
        <v>AK.21533A</v>
      </c>
      <c r="C97" s="14" t="str">
        <f>'Công trình'!F95</f>
        <v>Trát tường hố tụ, chiều dày trát 2cm, vữa XM mác 75, PCB30</v>
      </c>
      <c r="D97" s="13" t="str">
        <f>'Công trình'!G95</f>
        <v>m2</v>
      </c>
      <c r="E97" s="89">
        <f>ROUND('Công trình'!P95,4)</f>
        <v>6.49</v>
      </c>
      <c r="F97" s="15">
        <f>'Đơn giá chi tiết'!H$344</f>
        <v>23515.4</v>
      </c>
      <c r="G97" s="15">
        <f>'Đơn giá chi tiết'!H$350</f>
        <v>91700</v>
      </c>
      <c r="H97" s="15">
        <f>'Đơn giá chi tiết'!H$352</f>
        <v>880.1</v>
      </c>
      <c r="I97" s="15">
        <f>ROUND(IF(E$43=0,E97*F97,E$43*E97*F97),1)</f>
        <v>152614.9</v>
      </c>
      <c r="J97" s="15">
        <f>ROUND(IF(E$43=0,E97*G97,E$43*E97*G97),1)</f>
        <v>595133</v>
      </c>
      <c r="K97" s="15">
        <f>ROUND(IF(E$43=0,E97*H97,E$43*E97*H97),1)</f>
        <v>5711.8</v>
      </c>
      <c r="L97" s="15">
        <f>ROUND((I97+J97+K97),0)</f>
        <v>753460</v>
      </c>
    </row>
    <row r="98" spans="1:12" ht="16.5" customHeight="1">
      <c r="A98" s="12"/>
      <c r="B98" s="13"/>
      <c r="C98" s="134" t="str">
        <f>'Công trình'!F96</f>
        <v>6,49 = 6,49</v>
      </c>
      <c r="D98" s="13"/>
      <c r="E98" s="89"/>
      <c r="F98" s="15"/>
      <c r="G98" s="15"/>
      <c r="H98" s="15"/>
      <c r="I98" s="15"/>
      <c r="J98" s="15"/>
      <c r="K98" s="15"/>
      <c r="L98" s="15"/>
    </row>
    <row r="99" spans="1:12" ht="16.5" customHeight="1">
      <c r="A99" s="12">
        <f>'Công trình'!A97</f>
        <v>23</v>
      </c>
      <c r="B99" s="13" t="str">
        <f>'Công trình'!E97</f>
        <v>AF.81141</v>
      </c>
      <c r="C99" s="14" t="str">
        <f>'Công trình'!F97</f>
        <v>Ván khuôn gỗ. Ván khuôn cổ hố tụ</v>
      </c>
      <c r="D99" s="13" t="str">
        <f>'Công trình'!G97</f>
        <v>100m2</v>
      </c>
      <c r="E99" s="89">
        <f>ROUND('Công trình'!P97,4)</f>
        <v>8.0600000000000005E-2</v>
      </c>
      <c r="F99" s="15">
        <f>'Đơn giá chi tiết'!H$355</f>
        <v>8793002.5</v>
      </c>
      <c r="G99" s="15">
        <f>'Đơn giá chi tiết'!H$362</f>
        <v>7205000</v>
      </c>
      <c r="H99" s="15">
        <f>'Công trình'!T97</f>
        <v>0</v>
      </c>
      <c r="I99" s="15">
        <f>ROUND(IF(E$43=0,E99*F99,E$43*E99*F99),1)</f>
        <v>708716</v>
      </c>
      <c r="J99" s="15">
        <f>ROUND(IF(E$43=0,E99*G99,E$43*E99*G99),1)</f>
        <v>580723</v>
      </c>
      <c r="K99" s="15">
        <f>ROUND(IF(E$43=0,E99*H99,E$43*E99*H99),1)</f>
        <v>0</v>
      </c>
      <c r="L99" s="15">
        <f>ROUND((I99+J99+K99),0)</f>
        <v>1289439</v>
      </c>
    </row>
    <row r="100" spans="1:12" ht="16.5" customHeight="1">
      <c r="A100" s="12"/>
      <c r="B100" s="13"/>
      <c r="C100" s="134" t="str">
        <f>'Công trình'!F98</f>
        <v>8,06/100 = 0,0806</v>
      </c>
      <c r="D100" s="13"/>
      <c r="E100" s="89"/>
      <c r="F100" s="15"/>
      <c r="G100" s="15"/>
      <c r="H100" s="15"/>
      <c r="I100" s="15"/>
      <c r="J100" s="15"/>
      <c r="K100" s="15"/>
      <c r="L100" s="15"/>
    </row>
    <row r="101" spans="1:12" ht="16.5" customHeight="1">
      <c r="A101" s="12">
        <f>'Công trình'!A99</f>
        <v>24</v>
      </c>
      <c r="B101" s="13" t="str">
        <f>'Công trình'!E99</f>
        <v>AF.12314A</v>
      </c>
      <c r="C101" s="14" t="str">
        <f>'Công trình'!F99</f>
        <v>Đổ bê tông cổ hố tụ, đá 1x2, mác 250</v>
      </c>
      <c r="D101" s="13" t="str">
        <f>'Công trình'!G99</f>
        <v>m3</v>
      </c>
      <c r="E101" s="89">
        <f>ROUND('Công trình'!P99,4)</f>
        <v>4.03</v>
      </c>
      <c r="F101" s="15">
        <f>'Đơn giá chi tiết'!H$365</f>
        <v>1099539</v>
      </c>
      <c r="G101" s="15">
        <f>'Đơn giá chi tiết'!H$372</f>
        <v>639710.6</v>
      </c>
      <c r="H101" s="15">
        <f>'Đơn giá chi tiết'!H$374</f>
        <v>79863</v>
      </c>
      <c r="I101" s="15">
        <f>ROUND(IF(E$43=0,E101*F101,E$43*E101*F101),1)</f>
        <v>4431142.2</v>
      </c>
      <c r="J101" s="15">
        <f>ROUND(IF(E$43=0,E101*G101,E$43*E101*G101),1)</f>
        <v>2578033.7000000002</v>
      </c>
      <c r="K101" s="15">
        <f>ROUND(IF(E$43=0,E101*H101,E$43*E101*H101),1)</f>
        <v>321847.90000000002</v>
      </c>
      <c r="L101" s="15">
        <f>ROUND((I101+J101+K101),0)</f>
        <v>7331024</v>
      </c>
    </row>
    <row r="102" spans="1:12" ht="16.5" customHeight="1">
      <c r="A102" s="12"/>
      <c r="B102" s="13"/>
      <c r="C102" s="134" t="str">
        <f>'Công trình'!F100</f>
        <v>4,03 = 4,03</v>
      </c>
      <c r="D102" s="13"/>
      <c r="E102" s="89"/>
      <c r="F102" s="15"/>
      <c r="G102" s="15"/>
      <c r="H102" s="15"/>
      <c r="I102" s="15"/>
      <c r="J102" s="15"/>
      <c r="K102" s="15"/>
      <c r="L102" s="15"/>
    </row>
    <row r="103" spans="1:12" ht="27.75" customHeight="1">
      <c r="A103" s="12">
        <f>'Công trình'!A101</f>
        <v>25</v>
      </c>
      <c r="B103" s="13" t="str">
        <f>'Công trình'!E101</f>
        <v>TT</v>
      </c>
      <c r="C103" s="14" t="str">
        <f>'Công trình'!F101</f>
        <v>Ghi chắn rác Composite, tải trọng 250KN, KT 880x380</v>
      </c>
      <c r="D103" s="13" t="str">
        <f>'Công trình'!G101</f>
        <v>Cái</v>
      </c>
      <c r="E103" s="89">
        <f>ROUND('Công trình'!P101,4)</f>
        <v>15</v>
      </c>
      <c r="F103" s="15">
        <f>'Đơn giá chi tiết'!H$379</f>
        <v>1850000</v>
      </c>
      <c r="G103" s="15">
        <f>'Công trình'!S101</f>
        <v>0</v>
      </c>
      <c r="H103" s="15">
        <f>'Công trình'!T101</f>
        <v>0</v>
      </c>
      <c r="I103" s="15">
        <f>ROUND(IF(E$43=0,E103*F103,E$43*E103*F103),1)</f>
        <v>27750000</v>
      </c>
      <c r="J103" s="15">
        <f>ROUND(IF(E$43=0,E103*G103,E$43*E103*G103),1)</f>
        <v>0</v>
      </c>
      <c r="K103" s="15">
        <f>ROUND(IF(E$43=0,E103*H103,E$43*E103*H103),1)</f>
        <v>0</v>
      </c>
      <c r="L103" s="15">
        <f>ROUND((I103+J103+K103),0)</f>
        <v>27750000</v>
      </c>
    </row>
    <row r="104" spans="1:12" ht="16.5" customHeight="1">
      <c r="A104" s="12"/>
      <c r="B104" s="13"/>
      <c r="C104" s="134" t="str">
        <f>'Công trình'!F102</f>
        <v>15 = 15</v>
      </c>
      <c r="D104" s="13"/>
      <c r="E104" s="89"/>
      <c r="F104" s="15"/>
      <c r="G104" s="15"/>
      <c r="H104" s="15"/>
      <c r="I104" s="15"/>
      <c r="J104" s="15"/>
      <c r="K104" s="15"/>
      <c r="L104" s="15"/>
    </row>
    <row r="105" spans="1:12" ht="27.75" customHeight="1">
      <c r="A105" s="12"/>
      <c r="B105" s="13"/>
      <c r="C105" s="134" t="str">
        <f>'Công trình'!F103</f>
        <v>II.2. CỐNG D400 - ỐNG CỐNG CẤP TẢI CAO:</v>
      </c>
      <c r="D105" s="13"/>
      <c r="E105" s="89"/>
      <c r="F105" s="15"/>
      <c r="G105" s="15"/>
      <c r="H105" s="15"/>
      <c r="I105" s="15"/>
      <c r="J105" s="15"/>
      <c r="K105" s="15"/>
      <c r="L105" s="15"/>
    </row>
    <row r="106" spans="1:12" ht="16.5" customHeight="1">
      <c r="A106" s="12">
        <f>'Công trình'!A104</f>
        <v>26</v>
      </c>
      <c r="B106" s="13" t="str">
        <f>'Công trình'!E104</f>
        <v>AB.25102</v>
      </c>
      <c r="C106" s="14" t="str">
        <f>'Công trình'!F104</f>
        <v>Đào móng cống</v>
      </c>
      <c r="D106" s="13" t="str">
        <f>'Công trình'!G104</f>
        <v>100m3</v>
      </c>
      <c r="E106" s="89">
        <f>ROUND('Công trình'!P104,4)</f>
        <v>6.2493999999999996</v>
      </c>
      <c r="F106" s="15">
        <f>'Công trình'!Q104+'Công trình'!R104</f>
        <v>0</v>
      </c>
      <c r="G106" s="15">
        <f>'Đơn giá chi tiết'!H$382</f>
        <v>863081.7</v>
      </c>
      <c r="H106" s="15">
        <f>'Đơn giá chi tiết'!H$384</f>
        <v>1313771</v>
      </c>
      <c r="I106" s="15">
        <f>ROUND(IF(E$43=0,E106*F106,E$43*E106*F106),1)</f>
        <v>0</v>
      </c>
      <c r="J106" s="15">
        <f>ROUND(IF(E$43=0,E106*G106,E$43*E106*G106),1)</f>
        <v>5393742.7999999998</v>
      </c>
      <c r="K106" s="15">
        <f>ROUND(IF(E$43=0,E106*H106,E$43*E106*H106),1)</f>
        <v>8210280.5</v>
      </c>
      <c r="L106" s="15">
        <f>ROUND((I106+J106+K106),0)</f>
        <v>13604023</v>
      </c>
    </row>
    <row r="107" spans="1:12" ht="16.5" customHeight="1">
      <c r="A107" s="12"/>
      <c r="B107" s="13"/>
      <c r="C107" s="134" t="str">
        <f>'Công trình'!F105</f>
        <v>624,94/100</v>
      </c>
      <c r="D107" s="13"/>
      <c r="E107" s="89"/>
      <c r="F107" s="15"/>
      <c r="G107" s="15"/>
      <c r="H107" s="15"/>
      <c r="I107" s="15"/>
      <c r="J107" s="15"/>
      <c r="K107" s="15"/>
      <c r="L107" s="15"/>
    </row>
    <row r="108" spans="1:12" ht="16.5" customHeight="1">
      <c r="A108" s="12">
        <f>'Công trình'!A106</f>
        <v>44</v>
      </c>
      <c r="B108" s="13" t="str">
        <f>'Công trình'!E106</f>
        <v>AB.11312</v>
      </c>
      <c r="C108" s="14" t="str">
        <f>'Công trình'!F106</f>
        <v>Đào móng bằng thủ công 10%</v>
      </c>
      <c r="D108" s="13" t="str">
        <f>'Công trình'!G106</f>
        <v>m3</v>
      </c>
      <c r="E108" s="89">
        <f>ROUND('Công trình'!P106,4)</f>
        <v>62.494</v>
      </c>
      <c r="F108" s="15">
        <f>'Công trình'!Q106+'Công trình'!R106</f>
        <v>0</v>
      </c>
      <c r="G108" s="15">
        <f>'Đơn giá chi tiết'!H$387</f>
        <v>181468.5</v>
      </c>
      <c r="H108" s="15">
        <f>'Công trình'!T106</f>
        <v>0</v>
      </c>
      <c r="I108" s="15">
        <f>ROUND(IF(E$43=0,E108*F108,E$43*E108*F108),1)</f>
        <v>0</v>
      </c>
      <c r="J108" s="15">
        <f>ROUND(IF(E$43=0,E108*G108,E$43*E108*G108),1)</f>
        <v>11340692.4</v>
      </c>
      <c r="K108" s="15">
        <f>ROUND(IF(E$43=0,E108*H108,E$43*E108*H108),1)</f>
        <v>0</v>
      </c>
      <c r="L108" s="15">
        <f>ROUND((I108+J108+K108),0)</f>
        <v>11340692</v>
      </c>
    </row>
    <row r="109" spans="1:12" ht="16.5" customHeight="1">
      <c r="A109" s="12"/>
      <c r="B109" s="13"/>
      <c r="C109" s="134" t="str">
        <f>'Công trình'!F107</f>
        <v>624,94*10% = 62,494</v>
      </c>
      <c r="D109" s="13"/>
      <c r="E109" s="89"/>
      <c r="F109" s="15"/>
      <c r="G109" s="15"/>
      <c r="H109" s="15"/>
      <c r="I109" s="15"/>
      <c r="J109" s="15"/>
      <c r="K109" s="15"/>
      <c r="L109" s="15"/>
    </row>
    <row r="110" spans="1:12" ht="16.5" customHeight="1">
      <c r="A110" s="12">
        <f>'Công trình'!A108</f>
        <v>27</v>
      </c>
      <c r="B110" s="13" t="str">
        <f>'Công trình'!E108</f>
        <v>AB.64112</v>
      </c>
      <c r="C110" s="14" t="str">
        <f>'Công trình'!F108</f>
        <v>Đắp đất thân cống K95</v>
      </c>
      <c r="D110" s="13" t="str">
        <f>'Công trình'!G108</f>
        <v>100m3</v>
      </c>
      <c r="E110" s="89">
        <f>ROUND('Công trình'!P108,4)</f>
        <v>4.3194999999999997</v>
      </c>
      <c r="F110" s="15">
        <f>'Công trình'!Q108+'Công trình'!R108</f>
        <v>0</v>
      </c>
      <c r="G110" s="15">
        <f>'Đơn giá chi tiết'!H$390</f>
        <v>287693.90000000002</v>
      </c>
      <c r="H110" s="15">
        <f>'Đơn giá chi tiết'!H$392</f>
        <v>674685.4</v>
      </c>
      <c r="I110" s="15">
        <f>ROUND(IF(E$43=0,E110*F110,E$43*E110*F110),1)</f>
        <v>0</v>
      </c>
      <c r="J110" s="15">
        <f>ROUND(IF(E$43=0,E110*G110,E$43*E110*G110),1)</f>
        <v>1242693.8</v>
      </c>
      <c r="K110" s="15">
        <f>ROUND(IF(E$43=0,E110*H110,E$43*E110*H110),1)</f>
        <v>2914303.6</v>
      </c>
      <c r="L110" s="15">
        <f>ROUND((I110+J110+K110),0)</f>
        <v>4156997</v>
      </c>
    </row>
    <row r="111" spans="1:12" ht="16.5" customHeight="1">
      <c r="A111" s="12"/>
      <c r="B111" s="13"/>
      <c r="C111" s="134" t="str">
        <f>'Công trình'!F109</f>
        <v>431,95/100 = 4,3195</v>
      </c>
      <c r="D111" s="13"/>
      <c r="E111" s="89"/>
      <c r="F111" s="15"/>
      <c r="G111" s="15"/>
      <c r="H111" s="15"/>
      <c r="I111" s="15"/>
      <c r="J111" s="15"/>
      <c r="K111" s="15"/>
      <c r="L111" s="15"/>
    </row>
    <row r="112" spans="1:12" ht="27.75" customHeight="1">
      <c r="A112" s="12">
        <f>'Công trình'!A110</f>
        <v>28</v>
      </c>
      <c r="B112" s="13" t="str">
        <f>'Công trình'!E110</f>
        <v>AB.41412</v>
      </c>
      <c r="C112" s="14" t="str">
        <f>'Công trình'!F110</f>
        <v>Vận chuyển đất bằng ôtô tự đổ 5 tấn trong phạm vi &lt;= 1000m, đất cấp II</v>
      </c>
      <c r="D112" s="13" t="str">
        <f>'Công trình'!G110</f>
        <v>100m3</v>
      </c>
      <c r="E112" s="89">
        <f>ROUND('Công trình'!P110,4)</f>
        <v>1.9298999999999999</v>
      </c>
      <c r="F112" s="15">
        <f>'Công trình'!Q110+'Công trình'!R110</f>
        <v>0</v>
      </c>
      <c r="G112" s="15">
        <f>'Công trình'!S110</f>
        <v>0</v>
      </c>
      <c r="H112" s="15">
        <f>'Đơn giá chi tiết'!H$398</f>
        <v>2313202.9</v>
      </c>
      <c r="I112" s="15">
        <f>ROUND(IF(E$43=0,E112*F112,E$43*E112*F112),1)</f>
        <v>0</v>
      </c>
      <c r="J112" s="15">
        <f>ROUND(IF(E$43=0,E112*G112,E$43*E112*G112),1)</f>
        <v>0</v>
      </c>
      <c r="K112" s="15">
        <f>ROUND(IF(E$43=0,E112*H112,E$43*E112*H112),1)</f>
        <v>4464250.3</v>
      </c>
      <c r="L112" s="15">
        <f>ROUND((I112+J112+K112),0)</f>
        <v>4464250</v>
      </c>
    </row>
    <row r="113" spans="1:12" ht="16.5" customHeight="1">
      <c r="A113" s="12"/>
      <c r="B113" s="13"/>
      <c r="C113" s="134" t="str">
        <f>'Công trình'!F111</f>
        <v>192,99/100 = 1,9299</v>
      </c>
      <c r="D113" s="13"/>
      <c r="E113" s="89"/>
      <c r="F113" s="15"/>
      <c r="G113" s="15"/>
      <c r="H113" s="15"/>
      <c r="I113" s="15"/>
      <c r="J113" s="15"/>
      <c r="K113" s="15"/>
      <c r="L113" s="15"/>
    </row>
    <row r="114" spans="1:12" ht="16.5" customHeight="1">
      <c r="A114" s="12">
        <f>'Công trình'!A112</f>
        <v>29</v>
      </c>
      <c r="B114" s="13" t="str">
        <f>'Công trình'!E112</f>
        <v>AK.98110</v>
      </c>
      <c r="C114" s="14" t="str">
        <f>'Công trình'!F112</f>
        <v>Đá dăm 2x4 lót móng, dày 10cm</v>
      </c>
      <c r="D114" s="13" t="str">
        <f>'Công trình'!G112</f>
        <v>m3</v>
      </c>
      <c r="E114" s="89">
        <f>ROUND('Công trình'!P112,4)</f>
        <v>56.1</v>
      </c>
      <c r="F114" s="15">
        <f>'Đơn giá chi tiết'!H$401</f>
        <v>453000</v>
      </c>
      <c r="G114" s="15">
        <f>'Đơn giá chi tiết'!H$405</f>
        <v>420923.8</v>
      </c>
      <c r="H114" s="15">
        <f>'Công trình'!T112</f>
        <v>0</v>
      </c>
      <c r="I114" s="15">
        <f>ROUND(IF(E$43=0,E114*F114,E$43*E114*F114),1)</f>
        <v>25413300</v>
      </c>
      <c r="J114" s="15">
        <f>ROUND(IF(E$43=0,E114*G114,E$43*E114*G114),1)</f>
        <v>23613825.199999999</v>
      </c>
      <c r="K114" s="15">
        <f>ROUND(IF(E$43=0,E114*H114,E$43*E114*H114),1)</f>
        <v>0</v>
      </c>
      <c r="L114" s="15">
        <f>ROUND((I114+J114+K114),0)</f>
        <v>49027125</v>
      </c>
    </row>
    <row r="115" spans="1:12" ht="16.5" customHeight="1">
      <c r="A115" s="12"/>
      <c r="B115" s="13"/>
      <c r="C115" s="134" t="str">
        <f>'Công trình'!F113</f>
        <v>56,1 = 56,1</v>
      </c>
      <c r="D115" s="13"/>
      <c r="E115" s="89"/>
      <c r="F115" s="15"/>
      <c r="G115" s="15"/>
      <c r="H115" s="15"/>
      <c r="I115" s="15"/>
      <c r="J115" s="15"/>
      <c r="K115" s="15"/>
      <c r="L115" s="15"/>
    </row>
    <row r="116" spans="1:12" ht="27.75" customHeight="1">
      <c r="A116" s="12">
        <f>'Công trình'!A114</f>
        <v>30</v>
      </c>
      <c r="B116" s="13" t="str">
        <f>'Công trình'!E114</f>
        <v>BB.11221</v>
      </c>
      <c r="C116" s="14" t="str">
        <f>'Công trình'!F114</f>
        <v>Lắp đặt ống bê tông bằng cần cẩu, đoạn ống dài 2m, D400mm</v>
      </c>
      <c r="D116" s="13" t="str">
        <f>'Công trình'!G114</f>
        <v>đoạn ống</v>
      </c>
      <c r="E116" s="89">
        <f>ROUND('Công trình'!P114,4)</f>
        <v>213</v>
      </c>
      <c r="F116" s="15">
        <f>'Đơn giá chi tiết'!H$408</f>
        <v>890445</v>
      </c>
      <c r="G116" s="15">
        <f>'Đơn giá chi tiết'!H$412</f>
        <v>91700</v>
      </c>
      <c r="H116" s="15">
        <f>'Đơn giá chi tiết'!H$414</f>
        <v>103745</v>
      </c>
      <c r="I116" s="15">
        <f>ROUND(IF(E$43=0,E116*F116,E$43*E116*F116),1)</f>
        <v>189664785</v>
      </c>
      <c r="J116" s="15">
        <f>ROUND(IF(E$43=0,E116*G116,E$43*E116*G116),1)</f>
        <v>19532100</v>
      </c>
      <c r="K116" s="15">
        <f>ROUND(IF(E$43=0,E116*H116,E$43*E116*H116),1)</f>
        <v>22097685</v>
      </c>
      <c r="L116" s="15">
        <f>ROUND((I116+J116+K116),0)</f>
        <v>231294570</v>
      </c>
    </row>
    <row r="117" spans="1:12" ht="16.5" customHeight="1">
      <c r="A117" s="12"/>
      <c r="B117" s="13"/>
      <c r="C117" s="134" t="str">
        <f>'Công trình'!F115</f>
        <v>213 = 213</v>
      </c>
      <c r="D117" s="13"/>
      <c r="E117" s="89"/>
      <c r="F117" s="15"/>
      <c r="G117" s="15"/>
      <c r="H117" s="15"/>
      <c r="I117" s="15"/>
      <c r="J117" s="15"/>
      <c r="K117" s="15"/>
      <c r="L117" s="15"/>
    </row>
    <row r="118" spans="1:12" ht="16.5" customHeight="1">
      <c r="A118" s="12">
        <f>'Công trình'!A116</f>
        <v>31</v>
      </c>
      <c r="B118" s="13" t="str">
        <f>'Công trình'!E116</f>
        <v>TT</v>
      </c>
      <c r="C118" s="14" t="str">
        <f>'Công trình'!F116</f>
        <v>Lắp đặt đế cống D400</v>
      </c>
      <c r="D118" s="13" t="str">
        <f>'Công trình'!G116</f>
        <v>Cái</v>
      </c>
      <c r="E118" s="89">
        <f>ROUND('Công trình'!P116,4)</f>
        <v>639</v>
      </c>
      <c r="F118" s="15">
        <f>'Đơn giá chi tiết'!H$419</f>
        <v>110000</v>
      </c>
      <c r="G118" s="15">
        <f>'Đơn giá chi tiết'!H$421</f>
        <v>25000</v>
      </c>
      <c r="H118" s="15">
        <f>'Công trình'!T116</f>
        <v>0</v>
      </c>
      <c r="I118" s="15">
        <f>ROUND(IF(E$43=0,E118*F118,E$43*E118*F118),1)</f>
        <v>70290000</v>
      </c>
      <c r="J118" s="15">
        <f>ROUND(IF(E$43=0,E118*G118,E$43*E118*G118),1)</f>
        <v>15975000</v>
      </c>
      <c r="K118" s="15">
        <f>ROUND(IF(E$43=0,E118*H118,E$43*E118*H118),1)</f>
        <v>0</v>
      </c>
      <c r="L118" s="15">
        <f>ROUND((I118+J118+K118),0)</f>
        <v>86265000</v>
      </c>
    </row>
    <row r="119" spans="1:12" ht="16.5" customHeight="1">
      <c r="A119" s="12"/>
      <c r="B119" s="13"/>
      <c r="C119" s="134" t="str">
        <f>'Công trình'!F117</f>
        <v>639 = 639</v>
      </c>
      <c r="D119" s="13"/>
      <c r="E119" s="89"/>
      <c r="F119" s="15"/>
      <c r="G119" s="15"/>
      <c r="H119" s="15"/>
      <c r="I119" s="15"/>
      <c r="J119" s="15"/>
      <c r="K119" s="15"/>
      <c r="L119" s="15"/>
    </row>
    <row r="120" spans="1:12" ht="27.75" customHeight="1">
      <c r="A120" s="12">
        <f>'Công trình'!A118</f>
        <v>32</v>
      </c>
      <c r="B120" s="13" t="str">
        <f>'Công trình'!E118</f>
        <v>BB.13605</v>
      </c>
      <c r="C120" s="14" t="str">
        <f>'Công trình'!F118</f>
        <v>Nối ống bê tông bằng gioăng cao su, đường kính 400mm</v>
      </c>
      <c r="D120" s="13" t="str">
        <f>'Công trình'!G118</f>
        <v>mối nối</v>
      </c>
      <c r="E120" s="89">
        <f>ROUND('Công trình'!P118,4)</f>
        <v>210</v>
      </c>
      <c r="F120" s="15">
        <f>'Đơn giá chi tiết'!H$424</f>
        <v>121320</v>
      </c>
      <c r="G120" s="15">
        <f>'Đơn giá chi tiết'!H$428</f>
        <v>23580</v>
      </c>
      <c r="H120" s="15">
        <f>'Công trình'!T118</f>
        <v>0</v>
      </c>
      <c r="I120" s="15">
        <f>ROUND(IF(E$43=0,E120*F120,E$43*E120*F120),1)</f>
        <v>25477200</v>
      </c>
      <c r="J120" s="15">
        <f>ROUND(IF(E$43=0,E120*G120,E$43*E120*G120),1)</f>
        <v>4951800</v>
      </c>
      <c r="K120" s="15">
        <f>ROUND(IF(E$43=0,E120*H120,E$43*E120*H120),1)</f>
        <v>0</v>
      </c>
      <c r="L120" s="15">
        <f>ROUND((I120+J120+K120),0)</f>
        <v>30429000</v>
      </c>
    </row>
    <row r="121" spans="1:12" ht="16.5" customHeight="1">
      <c r="A121" s="12"/>
      <c r="B121" s="13"/>
      <c r="C121" s="134" t="str">
        <f>'Công trình'!F119</f>
        <v>210 = 210</v>
      </c>
      <c r="D121" s="13"/>
      <c r="E121" s="89"/>
      <c r="F121" s="15"/>
      <c r="G121" s="15"/>
      <c r="H121" s="15"/>
      <c r="I121" s="15"/>
      <c r="J121" s="15"/>
      <c r="K121" s="15"/>
      <c r="L121" s="15"/>
    </row>
    <row r="122" spans="1:12" ht="27.75" customHeight="1">
      <c r="A122" s="12">
        <f>'Công trình'!A120</f>
        <v>33</v>
      </c>
      <c r="B122" s="13" t="str">
        <f>'Công trình'!E120</f>
        <v>BB.13503</v>
      </c>
      <c r="C122" s="14" t="str">
        <f>'Công trình'!F120</f>
        <v>Nối ống bê tông bằng phương pháp xảm, đường kính 400mm</v>
      </c>
      <c r="D122" s="13" t="str">
        <f>'Công trình'!G120</f>
        <v>mối nối</v>
      </c>
      <c r="E122" s="89">
        <f>ROUND('Công trình'!P120,4)</f>
        <v>210</v>
      </c>
      <c r="F122" s="15">
        <f>'Đơn giá chi tiết'!H$431</f>
        <v>7814.4</v>
      </c>
      <c r="G122" s="15">
        <f>'Đơn giá chi tiết'!H$436</f>
        <v>23580</v>
      </c>
      <c r="H122" s="15">
        <f>'Công trình'!T120</f>
        <v>0</v>
      </c>
      <c r="I122" s="15">
        <f>ROUND(IF(E$43=0,E122*F122,E$43*E122*F122),1)</f>
        <v>1641024</v>
      </c>
      <c r="J122" s="15">
        <f>ROUND(IF(E$43=0,E122*G122,E$43*E122*G122),1)</f>
        <v>4951800</v>
      </c>
      <c r="K122" s="15">
        <f>ROUND(IF(E$43=0,E122*H122,E$43*E122*H122),1)</f>
        <v>0</v>
      </c>
      <c r="L122" s="15">
        <f>ROUND((I122+J122+K122),0)</f>
        <v>6592824</v>
      </c>
    </row>
    <row r="123" spans="1:12" ht="16.5" customHeight="1">
      <c r="A123" s="12"/>
      <c r="B123" s="13"/>
      <c r="C123" s="134" t="str">
        <f>'Công trình'!F121</f>
        <v>210 = 210</v>
      </c>
      <c r="D123" s="13"/>
      <c r="E123" s="89"/>
      <c r="F123" s="15"/>
      <c r="G123" s="15"/>
      <c r="H123" s="15"/>
      <c r="I123" s="15"/>
      <c r="J123" s="15"/>
      <c r="K123" s="15"/>
      <c r="L123" s="15"/>
    </row>
    <row r="124" spans="1:12" ht="16.5" customHeight="1">
      <c r="A124" s="12"/>
      <c r="B124" s="13"/>
      <c r="C124" s="134" t="str">
        <f>'Công trình'!F122</f>
        <v>BIỆN PHÁP BỜ QUÂY:</v>
      </c>
      <c r="D124" s="13"/>
      <c r="E124" s="89"/>
      <c r="F124" s="15"/>
      <c r="G124" s="15"/>
      <c r="H124" s="15"/>
      <c r="I124" s="15"/>
      <c r="J124" s="15"/>
      <c r="K124" s="15"/>
      <c r="L124" s="15"/>
    </row>
    <row r="125" spans="1:12" ht="16.5" customHeight="1">
      <c r="A125" s="12">
        <f>'Công trình'!A123</f>
        <v>34</v>
      </c>
      <c r="B125" s="13" t="str">
        <f>'Công trình'!E123</f>
        <v>AB.63111</v>
      </c>
      <c r="C125" s="14" t="str">
        <f>'Công trình'!F123</f>
        <v>Đắp đất núi bờ quây, dụng trọng 1.5T/m3</v>
      </c>
      <c r="D125" s="13" t="str">
        <f>'Công trình'!G123</f>
        <v>100m3</v>
      </c>
      <c r="E125" s="89">
        <f>ROUND('Công trình'!P123,4)</f>
        <v>0.06</v>
      </c>
      <c r="F125" s="15">
        <f>'Công trình'!Q123+'Công trình'!R123</f>
        <v>0</v>
      </c>
      <c r="G125" s="15">
        <f>'Đơn giá chi tiết'!H$439</f>
        <v>219090</v>
      </c>
      <c r="H125" s="15">
        <f>'Đơn giá chi tiết'!H$441</f>
        <v>463189.1</v>
      </c>
      <c r="I125" s="15">
        <f>ROUND(IF(E$43=0,E125*F125,E$43*E125*F125),1)</f>
        <v>0</v>
      </c>
      <c r="J125" s="15">
        <f>ROUND(IF(E$43=0,E125*G125,E$43*E125*G125),1)</f>
        <v>13145.4</v>
      </c>
      <c r="K125" s="15">
        <f>ROUND(IF(E$43=0,E125*H125,E$43*E125*H125),1)</f>
        <v>27791.3</v>
      </c>
      <c r="L125" s="15">
        <f>ROUND((I125+J125+K125),0)</f>
        <v>40937</v>
      </c>
    </row>
    <row r="126" spans="1:12" ht="16.5" customHeight="1">
      <c r="A126" s="12"/>
      <c r="B126" s="13"/>
      <c r="C126" s="134" t="str">
        <f>'Công trình'!F124</f>
        <v>6/100 = 0,06</v>
      </c>
      <c r="D126" s="13"/>
      <c r="E126" s="89"/>
      <c r="F126" s="15"/>
      <c r="G126" s="15"/>
      <c r="H126" s="15"/>
      <c r="I126" s="15"/>
      <c r="J126" s="15"/>
      <c r="K126" s="15"/>
      <c r="L126" s="15"/>
    </row>
    <row r="127" spans="1:12" ht="16.5" customHeight="1">
      <c r="A127" s="12">
        <f>'Công trình'!A125</f>
        <v>35</v>
      </c>
      <c r="B127" s="13" t="str">
        <f>'Công trình'!E125</f>
        <v>TT</v>
      </c>
      <c r="C127" s="14" t="str">
        <f>'Công trình'!F125</f>
        <v>Tiền đất núi đắp bờ quây</v>
      </c>
      <c r="D127" s="13" t="str">
        <f>'Công trình'!G125</f>
        <v>m3</v>
      </c>
      <c r="E127" s="89">
        <f>ROUND('Công trình'!P125,4)</f>
        <v>6.6</v>
      </c>
      <c r="F127" s="15">
        <f>'Đơn giá chi tiết'!H$446</f>
        <v>190000</v>
      </c>
      <c r="G127" s="15">
        <f>'Công trình'!S125</f>
        <v>0</v>
      </c>
      <c r="H127" s="15">
        <f>'Công trình'!T125</f>
        <v>0</v>
      </c>
      <c r="I127" s="15">
        <f>ROUND(IF(E$43=0,E127*F127,E$43*E127*F127),1)</f>
        <v>1254000</v>
      </c>
      <c r="J127" s="15">
        <f>ROUND(IF(E$43=0,E127*G127,E$43*E127*G127),1)</f>
        <v>0</v>
      </c>
      <c r="K127" s="15">
        <f>ROUND(IF(E$43=0,E127*H127,E$43*E127*H127),1)</f>
        <v>0</v>
      </c>
      <c r="L127" s="15">
        <f>ROUND((I127+J127+K127),0)</f>
        <v>1254000</v>
      </c>
    </row>
    <row r="128" spans="1:12" ht="16.5" customHeight="1">
      <c r="A128" s="12"/>
      <c r="B128" s="13"/>
      <c r="C128" s="134" t="str">
        <f>'Công trình'!F126</f>
        <v>6*1,1 = 6,6</v>
      </c>
      <c r="D128" s="13"/>
      <c r="E128" s="89"/>
      <c r="F128" s="15"/>
      <c r="G128" s="15"/>
      <c r="H128" s="15"/>
      <c r="I128" s="15"/>
      <c r="J128" s="15"/>
      <c r="K128" s="15"/>
      <c r="L128" s="15"/>
    </row>
    <row r="129" spans="1:12" ht="16.5" customHeight="1">
      <c r="A129" s="12">
        <f>'Công trình'!A127</f>
        <v>36</v>
      </c>
      <c r="B129" s="13" t="str">
        <f>'Công trình'!E127</f>
        <v>AC.12121</v>
      </c>
      <c r="C129" s="14" t="str">
        <f>'Công trình'!F127</f>
        <v>Cọc tre D60-80; L=2.8m</v>
      </c>
      <c r="D129" s="13" t="str">
        <f>'Công trình'!G127</f>
        <v>100m</v>
      </c>
      <c r="E129" s="89">
        <f>ROUND('Công trình'!P127,4)</f>
        <v>2.2400000000000002</v>
      </c>
      <c r="F129" s="15">
        <f>'Đơn giá chi tiết'!H$449</f>
        <v>546000</v>
      </c>
      <c r="G129" s="15">
        <f>'Đơn giá chi tiết'!H$451</f>
        <v>79065.399999999994</v>
      </c>
      <c r="H129" s="15">
        <f>'Đơn giá chi tiết'!H$453</f>
        <v>235886.2</v>
      </c>
      <c r="I129" s="15">
        <f>ROUND(IF(E$43=0,E129*F129,E$43*E129*F129),1)</f>
        <v>1223040</v>
      </c>
      <c r="J129" s="15">
        <f>ROUND(IF(E$43=0,E129*G129,E$43*E129*G129),1)</f>
        <v>177106.5</v>
      </c>
      <c r="K129" s="15">
        <f>ROUND(IF(E$43=0,E129*H129,E$43*E129*H129),1)</f>
        <v>528385.1</v>
      </c>
      <c r="L129" s="15">
        <f>ROUND((I129+J129+K129),0)</f>
        <v>1928532</v>
      </c>
    </row>
    <row r="130" spans="1:12" ht="16.5" customHeight="1">
      <c r="A130" s="12"/>
      <c r="B130" s="13"/>
      <c r="C130" s="134" t="str">
        <f>'Công trình'!F128</f>
        <v>224/100 = 2,24</v>
      </c>
      <c r="D130" s="13"/>
      <c r="E130" s="89"/>
      <c r="F130" s="15"/>
      <c r="G130" s="15"/>
      <c r="H130" s="15"/>
      <c r="I130" s="15"/>
      <c r="J130" s="15"/>
      <c r="K130" s="15"/>
      <c r="L130" s="15"/>
    </row>
    <row r="131" spans="1:12" ht="16.5" customHeight="1">
      <c r="A131" s="12">
        <f>'Công trình'!A129</f>
        <v>37</v>
      </c>
      <c r="B131" s="13" t="str">
        <f>'Công trình'!E129</f>
        <v>TT</v>
      </c>
      <c r="C131" s="14" t="str">
        <f>'Công trình'!F129</f>
        <v>Phên nứa 2 lớp B=1,0m</v>
      </c>
      <c r="D131" s="13" t="str">
        <f>'Công trình'!G129</f>
        <v>m2</v>
      </c>
      <c r="E131" s="89">
        <f>ROUND('Công trình'!P129,4)</f>
        <v>12</v>
      </c>
      <c r="F131" s="15">
        <f>'Đơn giá chi tiết'!H$456</f>
        <v>15000</v>
      </c>
      <c r="G131" s="15">
        <f>'Công trình'!S129</f>
        <v>0</v>
      </c>
      <c r="H131" s="15">
        <f>'Công trình'!T129</f>
        <v>0</v>
      </c>
      <c r="I131" s="15">
        <f>ROUND(IF(E$43=0,E131*F131,E$43*E131*F131),1)</f>
        <v>180000</v>
      </c>
      <c r="J131" s="15">
        <f>ROUND(IF(E$43=0,E131*G131,E$43*E131*G131),1)</f>
        <v>0</v>
      </c>
      <c r="K131" s="15">
        <f>ROUND(IF(E$43=0,E131*H131,E$43*E131*H131),1)</f>
        <v>0</v>
      </c>
      <c r="L131" s="15">
        <f>ROUND((I131+J131+K131),0)</f>
        <v>180000</v>
      </c>
    </row>
    <row r="132" spans="1:12" ht="16.5" customHeight="1">
      <c r="A132" s="12"/>
      <c r="B132" s="13"/>
      <c r="C132" s="134" t="str">
        <f>'Công trình'!F130</f>
        <v>12 = 12</v>
      </c>
      <c r="D132" s="13"/>
      <c r="E132" s="89"/>
      <c r="F132" s="15"/>
      <c r="G132" s="15"/>
      <c r="H132" s="15"/>
      <c r="I132" s="15"/>
      <c r="J132" s="15"/>
      <c r="K132" s="15"/>
      <c r="L132" s="15"/>
    </row>
    <row r="133" spans="1:12" ht="16.5" customHeight="1">
      <c r="A133" s="12">
        <f>'Công trình'!A131</f>
        <v>38</v>
      </c>
      <c r="B133" s="13" t="str">
        <f>'Công trình'!E131</f>
        <v>AB.24132</v>
      </c>
      <c r="C133" s="14" t="str">
        <f>'Công trình'!F131</f>
        <v>Đào phá bờ quây bằng máy</v>
      </c>
      <c r="D133" s="13" t="str">
        <f>'Công trình'!G131</f>
        <v>100m3</v>
      </c>
      <c r="E133" s="89">
        <f>ROUND('Công trình'!P131,4)</f>
        <v>0.06</v>
      </c>
      <c r="F133" s="15">
        <f>'Công trình'!Q131+'Công trình'!R131</f>
        <v>0</v>
      </c>
      <c r="G133" s="15">
        <f>'Đơn giá chi tiết'!H$459</f>
        <v>104012.4</v>
      </c>
      <c r="H133" s="15">
        <f>'Đơn giá chi tiết'!H$461</f>
        <v>854161.8</v>
      </c>
      <c r="I133" s="15">
        <f>ROUND(IF(E$43=0,E133*F133,E$43*E133*F133),1)</f>
        <v>0</v>
      </c>
      <c r="J133" s="15">
        <f>ROUND(IF(E$43=0,E133*G133,E$43*E133*G133),1)</f>
        <v>6240.7</v>
      </c>
      <c r="K133" s="15">
        <f>ROUND(IF(E$43=0,E133*H133,E$43*E133*H133),1)</f>
        <v>51249.7</v>
      </c>
      <c r="L133" s="15">
        <f>ROUND((I133+J133+K133),0)</f>
        <v>57490</v>
      </c>
    </row>
    <row r="134" spans="1:12" ht="16.5" customHeight="1">
      <c r="A134" s="12"/>
      <c r="B134" s="13"/>
      <c r="C134" s="134">
        <f>'Công trình'!F132</f>
        <v>0.06</v>
      </c>
      <c r="D134" s="13"/>
      <c r="E134" s="89"/>
      <c r="F134" s="15"/>
      <c r="G134" s="15"/>
      <c r="H134" s="15"/>
      <c r="I134" s="15"/>
      <c r="J134" s="15"/>
      <c r="K134" s="15"/>
      <c r="L134" s="15"/>
    </row>
    <row r="135" spans="1:12" ht="27.75" customHeight="1">
      <c r="A135" s="12">
        <f>'Công trình'!A133</f>
        <v>39</v>
      </c>
      <c r="B135" s="13" t="str">
        <f>'Công trình'!E133</f>
        <v>AC.12121</v>
      </c>
      <c r="C135" s="14" t="str">
        <f>'Công trình'!F133</f>
        <v>Nhổ cọc tre, phên nứa (vận dụng chi phí nhân công, máy đóng cọc tre)</v>
      </c>
      <c r="D135" s="13" t="str">
        <f>'Công trình'!G133</f>
        <v>100m</v>
      </c>
      <c r="E135" s="89">
        <f>ROUND('Công trình'!P133,4)</f>
        <v>2.2400000000000002</v>
      </c>
      <c r="F135" s="15">
        <f>'Đơn giá chi tiết'!H$466</f>
        <v>546000</v>
      </c>
      <c r="G135" s="15">
        <f>'Đơn giá chi tiết'!H$468</f>
        <v>79065.399999999994</v>
      </c>
      <c r="H135" s="15">
        <f>'Đơn giá chi tiết'!H$470</f>
        <v>235886.2</v>
      </c>
      <c r="I135" s="15">
        <f>ROUND(IF(E$43=0,E135*F135,E$43*E135*F135),1)</f>
        <v>1223040</v>
      </c>
      <c r="J135" s="15">
        <f>ROUND(IF(E$43=0,E135*G135,E$43*E135*G135),1)</f>
        <v>177106.5</v>
      </c>
      <c r="K135" s="15">
        <f>ROUND(IF(E$43=0,E135*H135,E$43*E135*H135),1)</f>
        <v>528385.1</v>
      </c>
      <c r="L135" s="15">
        <f>ROUND((I135+J135+K135),0)</f>
        <v>1928532</v>
      </c>
    </row>
    <row r="136" spans="1:12" ht="16.5" customHeight="1">
      <c r="A136" s="12"/>
      <c r="B136" s="13"/>
      <c r="C136" s="134">
        <f>'Công trình'!F134</f>
        <v>2.2400000000000002</v>
      </c>
      <c r="D136" s="13"/>
      <c r="E136" s="89"/>
      <c r="F136" s="15"/>
      <c r="G136" s="15"/>
      <c r="H136" s="15"/>
      <c r="I136" s="15"/>
      <c r="J136" s="15"/>
      <c r="K136" s="15"/>
      <c r="L136" s="15"/>
    </row>
    <row r="137" spans="1:12" ht="27.75" customHeight="1">
      <c r="A137" s="12">
        <f>'Công trình'!A135</f>
        <v>34</v>
      </c>
      <c r="B137" s="13" t="str">
        <f>'Công trình'!E135</f>
        <v>AB.41412</v>
      </c>
      <c r="C137" s="14" t="str">
        <f>'Công trình'!F135</f>
        <v>Vận chuyển đất bằng ôtô tự đổ 5 tấn trong phạm vi &lt;= 1000m, đất cấp II</v>
      </c>
      <c r="D137" s="13" t="str">
        <f>'Công trình'!G135</f>
        <v>100m3</v>
      </c>
      <c r="E137" s="89">
        <f>ROUND('Công trình'!P135,4)</f>
        <v>0.06</v>
      </c>
      <c r="F137" s="15">
        <f>'Công trình'!Q135+'Công trình'!R135</f>
        <v>0</v>
      </c>
      <c r="G137" s="15">
        <f>'Công trình'!S135</f>
        <v>0</v>
      </c>
      <c r="H137" s="15">
        <f>'Đơn giá chi tiết'!H$473</f>
        <v>2313202.9</v>
      </c>
      <c r="I137" s="15">
        <f>ROUND(IF(E$43=0,E137*F137,E$43*E137*F137),1)</f>
        <v>0</v>
      </c>
      <c r="J137" s="15">
        <f>ROUND(IF(E$43=0,E137*G137,E$43*E137*G137),1)</f>
        <v>0</v>
      </c>
      <c r="K137" s="15">
        <f>ROUND(IF(E$43=0,E137*H137,E$43*E137*H137),1)</f>
        <v>138792.20000000001</v>
      </c>
      <c r="L137" s="15">
        <f>ROUND((I137+J137+K137),0)</f>
        <v>138792</v>
      </c>
    </row>
    <row r="138" spans="1:12" ht="16.5" customHeight="1">
      <c r="A138" s="12"/>
      <c r="B138" s="13"/>
      <c r="C138" s="134">
        <f>'Công trình'!F136</f>
        <v>0.06</v>
      </c>
      <c r="D138" s="13"/>
      <c r="E138" s="89"/>
      <c r="F138" s="15"/>
      <c r="G138" s="15"/>
      <c r="H138" s="15"/>
      <c r="I138" s="15"/>
      <c r="J138" s="15"/>
      <c r="K138" s="15"/>
      <c r="L138" s="15"/>
    </row>
    <row r="139" spans="1:12" ht="16.5" customHeight="1">
      <c r="A139" s="12">
        <f>'Công trình'!A137</f>
        <v>41</v>
      </c>
      <c r="B139" s="13" t="str">
        <f>'Công trình'!E137</f>
        <v>TT</v>
      </c>
      <c r="C139" s="14" t="str">
        <f>'Công trình'!F137</f>
        <v>Bơm nước phục vụ thi công</v>
      </c>
      <c r="D139" s="13" t="str">
        <f>'Công trình'!G137</f>
        <v>ca</v>
      </c>
      <c r="E139" s="89">
        <f>ROUND('Công trình'!P137,4)</f>
        <v>1</v>
      </c>
      <c r="F139" s="15">
        <f>'Công trình'!Q137+'Công trình'!R137</f>
        <v>0</v>
      </c>
      <c r="G139" s="15">
        <f>'Đơn giá chi tiết'!H$476</f>
        <v>200000</v>
      </c>
      <c r="H139" s="15">
        <f>'Đơn giá chi tiết'!H$478</f>
        <v>300000</v>
      </c>
      <c r="I139" s="15">
        <f>ROUND(IF(E$43=0,E139*F139,E$43*E139*F139),1)</f>
        <v>0</v>
      </c>
      <c r="J139" s="15">
        <f>ROUND(IF(E$43=0,E139*G139,E$43*E139*G139),1)</f>
        <v>200000</v>
      </c>
      <c r="K139" s="15">
        <f>ROUND(IF(E$43=0,E139*H139,E$43*E139*H139),1)</f>
        <v>300000</v>
      </c>
      <c r="L139" s="15">
        <f>ROUND((I139+J139+K139),0)</f>
        <v>500000</v>
      </c>
    </row>
    <row r="140" spans="1:12" ht="16.5" customHeight="1">
      <c r="A140" s="12"/>
      <c r="B140" s="13"/>
      <c r="C140" s="134" t="str">
        <f>'Công trình'!F138</f>
        <v>1 = 1</v>
      </c>
      <c r="D140" s="13"/>
      <c r="E140" s="89"/>
      <c r="F140" s="15"/>
      <c r="G140" s="15"/>
      <c r="H140" s="15"/>
      <c r="I140" s="15"/>
      <c r="J140" s="15"/>
      <c r="K140" s="15"/>
      <c r="L140" s="15"/>
    </row>
    <row r="141" spans="1:12" ht="16.5" customHeight="1">
      <c r="A141" s="12"/>
      <c r="B141" s="13"/>
      <c r="C141" s="134" t="str">
        <f>'Công trình'!F139</f>
        <v>TƯỜNG ĐẦU CỐNG:</v>
      </c>
      <c r="D141" s="13"/>
      <c r="E141" s="89"/>
      <c r="F141" s="15"/>
      <c r="G141" s="15"/>
      <c r="H141" s="15"/>
      <c r="I141" s="15"/>
      <c r="J141" s="15"/>
      <c r="K141" s="15"/>
      <c r="L141" s="15"/>
    </row>
    <row r="142" spans="1:12" ht="16.5" customHeight="1">
      <c r="A142" s="12">
        <f>'Công trình'!A140</f>
        <v>42</v>
      </c>
      <c r="B142" s="13" t="str">
        <f>'Công trình'!E140</f>
        <v>AB.25102</v>
      </c>
      <c r="C142" s="14" t="str">
        <f>'Công trình'!F140</f>
        <v>Đào đất cấp II</v>
      </c>
      <c r="D142" s="13" t="str">
        <f>'Công trình'!G140</f>
        <v>100m3</v>
      </c>
      <c r="E142" s="89">
        <f>ROUND('Công trình'!P140,4)</f>
        <v>3.0200000000000001E-2</v>
      </c>
      <c r="F142" s="15">
        <f>'Công trình'!Q140+'Công trình'!R140</f>
        <v>0</v>
      </c>
      <c r="G142" s="15">
        <f>'Đơn giá chi tiết'!H$481</f>
        <v>863081.7</v>
      </c>
      <c r="H142" s="15">
        <f>'Đơn giá chi tiết'!H$483</f>
        <v>1313771</v>
      </c>
      <c r="I142" s="15">
        <f>ROUND(IF(E$43=0,E142*F142,E$43*E142*F142),1)</f>
        <v>0</v>
      </c>
      <c r="J142" s="15">
        <f>ROUND(IF(E$43=0,E142*G142,E$43*E142*G142),1)</f>
        <v>26065.1</v>
      </c>
      <c r="K142" s="15">
        <f>ROUND(IF(E$43=0,E142*H142,E$43*E142*H142),1)</f>
        <v>39675.9</v>
      </c>
      <c r="L142" s="15">
        <f>ROUND((I142+J142+K142),0)</f>
        <v>65741</v>
      </c>
    </row>
    <row r="143" spans="1:12" ht="16.5" customHeight="1">
      <c r="A143" s="12"/>
      <c r="B143" s="13"/>
      <c r="C143" s="134" t="str">
        <f>'Công trình'!F141</f>
        <v>3,02/100 = 0,0302</v>
      </c>
      <c r="D143" s="13"/>
      <c r="E143" s="89"/>
      <c r="F143" s="15"/>
      <c r="G143" s="15"/>
      <c r="H143" s="15"/>
      <c r="I143" s="15"/>
      <c r="J143" s="15"/>
      <c r="K143" s="15"/>
      <c r="L143" s="15"/>
    </row>
    <row r="144" spans="1:12" ht="16.5" customHeight="1">
      <c r="A144" s="12">
        <f>'Công trình'!A142</f>
        <v>43</v>
      </c>
      <c r="B144" s="13" t="str">
        <f>'Công trình'!E142</f>
        <v>AB.13111</v>
      </c>
      <c r="C144" s="14" t="str">
        <f>'Công trình'!F142</f>
        <v>Đắp đất hoàn trả móng</v>
      </c>
      <c r="D144" s="13" t="str">
        <f>'Công trình'!G142</f>
        <v>m3</v>
      </c>
      <c r="E144" s="89">
        <f>ROUND('Công trình'!P142,4)</f>
        <v>1.66</v>
      </c>
      <c r="F144" s="15">
        <f>'Công trình'!Q142+'Công trình'!R142</f>
        <v>0</v>
      </c>
      <c r="G144" s="15">
        <f>'Đơn giá chi tiết'!H$486</f>
        <v>123929.7</v>
      </c>
      <c r="H144" s="15">
        <f>'Công trình'!T142</f>
        <v>0</v>
      </c>
      <c r="I144" s="15">
        <f>ROUND(IF(E$43=0,E144*F144,E$43*E144*F144),1)</f>
        <v>0</v>
      </c>
      <c r="J144" s="15">
        <f>ROUND(IF(E$43=0,E144*G144,E$43*E144*G144),1)</f>
        <v>205723.3</v>
      </c>
      <c r="K144" s="15">
        <f>ROUND(IF(E$43=0,E144*H144,E$43*E144*H144),1)</f>
        <v>0</v>
      </c>
      <c r="L144" s="15">
        <f>ROUND((I144+J144+K144),0)</f>
        <v>205723</v>
      </c>
    </row>
    <row r="145" spans="1:12" ht="16.5" customHeight="1">
      <c r="A145" s="12"/>
      <c r="B145" s="13"/>
      <c r="C145" s="134" t="str">
        <f>'Công trình'!F143</f>
        <v>1,66 = 1,66</v>
      </c>
      <c r="D145" s="13"/>
      <c r="E145" s="89"/>
      <c r="F145" s="15"/>
      <c r="G145" s="15"/>
      <c r="H145" s="15"/>
      <c r="I145" s="15"/>
      <c r="J145" s="15"/>
      <c r="K145" s="15"/>
      <c r="L145" s="15"/>
    </row>
    <row r="146" spans="1:12" ht="16.5" customHeight="1">
      <c r="A146" s="12">
        <f>'Công trình'!A144</f>
        <v>44</v>
      </c>
      <c r="B146" s="13" t="str">
        <f>'Công trình'!E144</f>
        <v>AC.11121</v>
      </c>
      <c r="C146" s="14" t="str">
        <f>'Công trình'!F144</f>
        <v>Đóng cọc tre D80-D1000, 25c/m2, L=2.5m</v>
      </c>
      <c r="D146" s="13" t="str">
        <f>'Công trình'!G144</f>
        <v>100m</v>
      </c>
      <c r="E146" s="89">
        <f>ROUND('Công trình'!P144,4)</f>
        <v>1.5</v>
      </c>
      <c r="F146" s="15">
        <f>'Đơn giá chi tiết'!H$489</f>
        <v>644246.30000000005</v>
      </c>
      <c r="G146" s="15">
        <f>'Đơn giá chi tiết'!H$495</f>
        <v>483975.8</v>
      </c>
      <c r="H146" s="15">
        <f>'Công trình'!T144</f>
        <v>0</v>
      </c>
      <c r="I146" s="15">
        <f>ROUND(IF(E$43=0,E146*F146,E$43*E146*F146),1)</f>
        <v>966369.5</v>
      </c>
      <c r="J146" s="15">
        <f>ROUND(IF(E$43=0,E146*G146,E$43*E146*G146),1)</f>
        <v>725963.7</v>
      </c>
      <c r="K146" s="15">
        <f>ROUND(IF(E$43=0,E146*H146,E$43*E146*H146),1)</f>
        <v>0</v>
      </c>
      <c r="L146" s="15">
        <f>ROUND((I146+J146+K146),0)</f>
        <v>1692333</v>
      </c>
    </row>
    <row r="147" spans="1:12" ht="16.5" customHeight="1">
      <c r="A147" s="12"/>
      <c r="B147" s="13"/>
      <c r="C147" s="134" t="str">
        <f>'Công trình'!F145</f>
        <v>150/100 = 1,5</v>
      </c>
      <c r="D147" s="13"/>
      <c r="E147" s="89"/>
      <c r="F147" s="15"/>
      <c r="G147" s="15"/>
      <c r="H147" s="15"/>
      <c r="I147" s="15"/>
      <c r="J147" s="15"/>
      <c r="K147" s="15"/>
      <c r="L147" s="15"/>
    </row>
    <row r="148" spans="1:12" ht="16.5" customHeight="1">
      <c r="A148" s="12">
        <f>'Công trình'!A146</f>
        <v>45</v>
      </c>
      <c r="B148" s="13" t="str">
        <f>'Công trình'!E146</f>
        <v>AB.11114</v>
      </c>
      <c r="C148" s="14" t="str">
        <f>'Công trình'!F146</f>
        <v>Vét bùn đầu cọc</v>
      </c>
      <c r="D148" s="13" t="str">
        <f>'Công trình'!G146</f>
        <v>m3</v>
      </c>
      <c r="E148" s="89">
        <f>ROUND('Công trình'!P146,4)</f>
        <v>0.24</v>
      </c>
      <c r="F148" s="15">
        <f>'Công trình'!Q146+'Công trình'!R146</f>
        <v>0</v>
      </c>
      <c r="G148" s="15">
        <f>'Đơn giá chi tiết'!H$498</f>
        <v>316463.3</v>
      </c>
      <c r="H148" s="15">
        <f>'Công trình'!T146</f>
        <v>0</v>
      </c>
      <c r="I148" s="15">
        <f>ROUND(IF(E$43=0,E148*F148,E$43*E148*F148),1)</f>
        <v>0</v>
      </c>
      <c r="J148" s="15">
        <f>ROUND(IF(E$43=0,E148*G148,E$43*E148*G148),1)</f>
        <v>75951.199999999997</v>
      </c>
      <c r="K148" s="15">
        <f>ROUND(IF(E$43=0,E148*H148,E$43*E148*H148),1)</f>
        <v>0</v>
      </c>
      <c r="L148" s="15">
        <f>ROUND((I148+J148+K148),0)</f>
        <v>75951</v>
      </c>
    </row>
    <row r="149" spans="1:12" ht="16.5" customHeight="1">
      <c r="A149" s="12"/>
      <c r="B149" s="13"/>
      <c r="C149" s="134" t="str">
        <f>'Công trình'!F147</f>
        <v>0,24 = 0,24</v>
      </c>
      <c r="D149" s="13"/>
      <c r="E149" s="89"/>
      <c r="F149" s="15"/>
      <c r="G149" s="15"/>
      <c r="H149" s="15"/>
      <c r="I149" s="15"/>
      <c r="J149" s="15"/>
      <c r="K149" s="15"/>
      <c r="L149" s="15"/>
    </row>
    <row r="150" spans="1:12" ht="16.5" customHeight="1">
      <c r="A150" s="12">
        <f>'Công trình'!A148</f>
        <v>46</v>
      </c>
      <c r="B150" s="13" t="str">
        <f>'Công trình'!E148</f>
        <v>AB.13411</v>
      </c>
      <c r="C150" s="14" t="str">
        <f>'Công trình'!F148</f>
        <v>Cát đen đệm đầu cọc</v>
      </c>
      <c r="D150" s="13" t="str">
        <f>'Công trình'!G148</f>
        <v>m3</v>
      </c>
      <c r="E150" s="89">
        <f>ROUND('Công trình'!P148,4)</f>
        <v>0.24</v>
      </c>
      <c r="F150" s="15">
        <f>'Đơn giá chi tiết'!H$501</f>
        <v>186660</v>
      </c>
      <c r="G150" s="15">
        <f>'Đơn giá chi tiết'!H$505</f>
        <v>99586.4</v>
      </c>
      <c r="H150" s="15">
        <f>'Công trình'!T148</f>
        <v>0</v>
      </c>
      <c r="I150" s="15">
        <f>ROUND(IF(E$43=0,E150*F150,E$43*E150*F150),1)</f>
        <v>44798.400000000001</v>
      </c>
      <c r="J150" s="15">
        <f>ROUND(IF(E$43=0,E150*G150,E$43*E150*G150),1)</f>
        <v>23900.7</v>
      </c>
      <c r="K150" s="15">
        <f>ROUND(IF(E$43=0,E150*H150,E$43*E150*H150),1)</f>
        <v>0</v>
      </c>
      <c r="L150" s="15">
        <f>ROUND((I150+J150+K150),0)</f>
        <v>68699</v>
      </c>
    </row>
    <row r="151" spans="1:12" ht="16.5" customHeight="1">
      <c r="A151" s="12"/>
      <c r="B151" s="13"/>
      <c r="C151" s="134" t="str">
        <f>'Công trình'!F149</f>
        <v>0,24 = 0,24</v>
      </c>
      <c r="D151" s="13"/>
      <c r="E151" s="89"/>
      <c r="F151" s="15"/>
      <c r="G151" s="15"/>
      <c r="H151" s="15"/>
      <c r="I151" s="15"/>
      <c r="J151" s="15"/>
      <c r="K151" s="15"/>
      <c r="L151" s="15"/>
    </row>
    <row r="152" spans="1:12" ht="16.5" customHeight="1">
      <c r="A152" s="12">
        <f>'Công trình'!A150</f>
        <v>47</v>
      </c>
      <c r="B152" s="13" t="str">
        <f>'Công trình'!E150</f>
        <v>AK.98110</v>
      </c>
      <c r="C152" s="14" t="str">
        <f>'Công trình'!F150</f>
        <v>Đá dăm 2x4 lót móng, dày 10cm</v>
      </c>
      <c r="D152" s="13" t="str">
        <f>'Công trình'!G150</f>
        <v>m3</v>
      </c>
      <c r="E152" s="89">
        <f>ROUND('Công trình'!P150,4)</f>
        <v>0.24</v>
      </c>
      <c r="F152" s="15">
        <f>'Đơn giá chi tiết'!H$508</f>
        <v>453000</v>
      </c>
      <c r="G152" s="15">
        <f>'Đơn giá chi tiết'!H$512</f>
        <v>420923.8</v>
      </c>
      <c r="H152" s="15">
        <f>'Công trình'!T150</f>
        <v>0</v>
      </c>
      <c r="I152" s="15">
        <f>ROUND(IF(E$43=0,E152*F152,E$43*E152*F152),1)</f>
        <v>108720</v>
      </c>
      <c r="J152" s="15">
        <f>ROUND(IF(E$43=0,E152*G152,E$43*E152*G152),1)</f>
        <v>101021.7</v>
      </c>
      <c r="K152" s="15">
        <f>ROUND(IF(E$43=0,E152*H152,E$43*E152*H152),1)</f>
        <v>0</v>
      </c>
      <c r="L152" s="15">
        <f>ROUND((I152+J152+K152),0)</f>
        <v>209742</v>
      </c>
    </row>
    <row r="153" spans="1:12" ht="16.5" customHeight="1">
      <c r="A153" s="12"/>
      <c r="B153" s="13"/>
      <c r="C153" s="134" t="str">
        <f>'Công trình'!F151</f>
        <v>0,24 = 0,24</v>
      </c>
      <c r="D153" s="13"/>
      <c r="E153" s="89"/>
      <c r="F153" s="15"/>
      <c r="G153" s="15"/>
      <c r="H153" s="15"/>
      <c r="I153" s="15"/>
      <c r="J153" s="15"/>
      <c r="K153" s="15"/>
      <c r="L153" s="15"/>
    </row>
    <row r="154" spans="1:12" ht="16.5" customHeight="1">
      <c r="A154" s="12">
        <f>'Công trình'!A152</f>
        <v>48</v>
      </c>
      <c r="B154" s="13" t="str">
        <f>'Công trình'!E152</f>
        <v>AF.81122</v>
      </c>
      <c r="C154" s="14" t="str">
        <f>'Công trình'!F152</f>
        <v>Ván khuôn gỗ móng</v>
      </c>
      <c r="D154" s="13" t="str">
        <f>'Công trình'!G152</f>
        <v>100m2</v>
      </c>
      <c r="E154" s="89">
        <f>ROUND('Công trình'!P152,4)</f>
        <v>1.3599999999999999E-2</v>
      </c>
      <c r="F154" s="15">
        <f>'Đơn giá chi tiết'!H$515</f>
        <v>6188316.2000000002</v>
      </c>
      <c r="G154" s="15">
        <f>'Đơn giá chi tiết'!H$522</f>
        <v>7781400</v>
      </c>
      <c r="H154" s="15">
        <f>'Công trình'!T152</f>
        <v>0</v>
      </c>
      <c r="I154" s="15">
        <f>ROUND(IF(E$43=0,E154*F154,E$43*E154*F154),1)</f>
        <v>84161.1</v>
      </c>
      <c r="J154" s="15">
        <f>ROUND(IF(E$43=0,E154*G154,E$43*E154*G154),1)</f>
        <v>105827</v>
      </c>
      <c r="K154" s="15">
        <f>ROUND(IF(E$43=0,E154*H154,E$43*E154*H154),1)</f>
        <v>0</v>
      </c>
      <c r="L154" s="15">
        <f>ROUND((I154+J154+K154),0)</f>
        <v>189988</v>
      </c>
    </row>
    <row r="155" spans="1:12" ht="16.5" customHeight="1">
      <c r="A155" s="12"/>
      <c r="B155" s="13"/>
      <c r="C155" s="134" t="str">
        <f>'Công trình'!F153</f>
        <v>1,36/100 = 0,0136</v>
      </c>
      <c r="D155" s="13"/>
      <c r="E155" s="89"/>
      <c r="F155" s="15"/>
      <c r="G155" s="15"/>
      <c r="H155" s="15"/>
      <c r="I155" s="15"/>
      <c r="J155" s="15"/>
      <c r="K155" s="15"/>
      <c r="L155" s="15"/>
    </row>
    <row r="156" spans="1:12" ht="16.5" customHeight="1">
      <c r="A156" s="12">
        <f>'Công trình'!A154</f>
        <v>49</v>
      </c>
      <c r="B156" s="13" t="str">
        <f>'Công trình'!E154</f>
        <v>AF.11213A</v>
      </c>
      <c r="C156" s="14" t="str">
        <f>'Công trình'!F154</f>
        <v>Bê tông móng M200, đá 1x2 dày 20cm</v>
      </c>
      <c r="D156" s="13" t="str">
        <f>'Công trình'!G154</f>
        <v>m3</v>
      </c>
      <c r="E156" s="89">
        <f>ROUND('Công trình'!P154,4)</f>
        <v>0.48</v>
      </c>
      <c r="F156" s="15">
        <f>'Đơn giá chi tiết'!H$525</f>
        <v>1040813.5</v>
      </c>
      <c r="G156" s="15">
        <f>'Đơn giá chi tiết'!H$532</f>
        <v>294698.2</v>
      </c>
      <c r="H156" s="15">
        <f>'Đơn giá chi tiết'!H$534</f>
        <v>54795.9</v>
      </c>
      <c r="I156" s="15">
        <f>ROUND(IF(E$43=0,E156*F156,E$43*E156*F156),1)</f>
        <v>499590.5</v>
      </c>
      <c r="J156" s="15">
        <f>ROUND(IF(E$43=0,E156*G156,E$43*E156*G156),1)</f>
        <v>141455.1</v>
      </c>
      <c r="K156" s="15">
        <f>ROUND(IF(E$43=0,E156*H156,E$43*E156*H156),1)</f>
        <v>26302</v>
      </c>
      <c r="L156" s="15">
        <f>ROUND((I156+J156+K156),0)</f>
        <v>667348</v>
      </c>
    </row>
    <row r="157" spans="1:12" ht="16.5" customHeight="1">
      <c r="A157" s="12"/>
      <c r="B157" s="13"/>
      <c r="C157" s="134" t="str">
        <f>'Công trình'!F155</f>
        <v>0,48 = 0,48</v>
      </c>
      <c r="D157" s="13"/>
      <c r="E157" s="89"/>
      <c r="F157" s="15"/>
      <c r="G157" s="15"/>
      <c r="H157" s="15"/>
      <c r="I157" s="15"/>
      <c r="J157" s="15"/>
      <c r="K157" s="15"/>
      <c r="L157" s="15"/>
    </row>
    <row r="158" spans="1:12" ht="27.75" customHeight="1">
      <c r="A158" s="12">
        <f>'Công trình'!A156</f>
        <v>50</v>
      </c>
      <c r="B158" s="13" t="str">
        <f>'Công trình'!E156</f>
        <v>AK.21133A</v>
      </c>
      <c r="C158" s="14" t="str">
        <f>'Công trình'!F156</f>
        <v>Trát tường ngoài, chiều dày trát 2cm, vữa XM mác 75, PCB30</v>
      </c>
      <c r="D158" s="13" t="str">
        <f>'Công trình'!G156</f>
        <v>m2</v>
      </c>
      <c r="E158" s="89">
        <f>ROUND('Công trình'!P156,4)</f>
        <v>10.62</v>
      </c>
      <c r="F158" s="15">
        <f>'Đơn giá chi tiết'!H$539</f>
        <v>24806.9</v>
      </c>
      <c r="G158" s="15">
        <f>'Đơn giá chi tiết'!H$545</f>
        <v>83840</v>
      </c>
      <c r="H158" s="15">
        <f>'Đơn giá chi tiết'!H$547</f>
        <v>880.1</v>
      </c>
      <c r="I158" s="15">
        <f>ROUND(IF(E$43=0,E158*F158,E$43*E158*F158),1)</f>
        <v>263449.3</v>
      </c>
      <c r="J158" s="15">
        <f>ROUND(IF(E$43=0,E158*G158,E$43*E158*G158),1)</f>
        <v>890380.80000000005</v>
      </c>
      <c r="K158" s="15">
        <f>ROUND(IF(E$43=0,E158*H158,E$43*E158*H158),1)</f>
        <v>9346.7000000000007</v>
      </c>
      <c r="L158" s="15">
        <f>ROUND((I158+J158+K158),0)</f>
        <v>1163177</v>
      </c>
    </row>
    <row r="159" spans="1:12" ht="16.5" customHeight="1">
      <c r="A159" s="12"/>
      <c r="B159" s="13"/>
      <c r="C159" s="134" t="str">
        <f>'Công trình'!F157</f>
        <v>10,62 = 10,62</v>
      </c>
      <c r="D159" s="13"/>
      <c r="E159" s="89"/>
      <c r="F159" s="15"/>
      <c r="G159" s="15"/>
      <c r="H159" s="15"/>
      <c r="I159" s="15"/>
      <c r="J159" s="15"/>
      <c r="K159" s="15"/>
      <c r="L159" s="15"/>
    </row>
    <row r="160" spans="1:12" ht="16.5" customHeight="1">
      <c r="A160" s="12">
        <f>'Công trình'!A158</f>
        <v>51</v>
      </c>
      <c r="B160" s="13" t="str">
        <f>'Công trình'!E158</f>
        <v>AF.81141</v>
      </c>
      <c r="C160" s="14" t="str">
        <f>'Công trình'!F158</f>
        <v>Ván khuôn gỗ. Ván khuôn cổ tường</v>
      </c>
      <c r="D160" s="13" t="str">
        <f>'Công trình'!G158</f>
        <v>100m2</v>
      </c>
      <c r="E160" s="89">
        <f>ROUND('Công trình'!P158,4)</f>
        <v>9.2999999999999992E-3</v>
      </c>
      <c r="F160" s="15">
        <f>'Đơn giá chi tiết'!H$550</f>
        <v>8793002.5</v>
      </c>
      <c r="G160" s="15">
        <f>'Đơn giá chi tiết'!H$557</f>
        <v>7205000</v>
      </c>
      <c r="H160" s="15">
        <f>'Công trình'!T158</f>
        <v>0</v>
      </c>
      <c r="I160" s="15">
        <f>ROUND(IF(E$43=0,E160*F160,E$43*E160*F160),1)</f>
        <v>81774.899999999994</v>
      </c>
      <c r="J160" s="15">
        <f>ROUND(IF(E$43=0,E160*G160,E$43*E160*G160),1)</f>
        <v>67006.5</v>
      </c>
      <c r="K160" s="15">
        <f>ROUND(IF(E$43=0,E160*H160,E$43*E160*H160),1)</f>
        <v>0</v>
      </c>
      <c r="L160" s="15">
        <f>ROUND((I160+J160+K160),0)</f>
        <v>148781</v>
      </c>
    </row>
    <row r="161" spans="1:12" ht="16.5" customHeight="1">
      <c r="A161" s="12"/>
      <c r="B161" s="13"/>
      <c r="C161" s="134" t="str">
        <f>'Công trình'!F159</f>
        <v>0,93/100 = 0,0093</v>
      </c>
      <c r="D161" s="13"/>
      <c r="E161" s="89"/>
      <c r="F161" s="15"/>
      <c r="G161" s="15"/>
      <c r="H161" s="15"/>
      <c r="I161" s="15"/>
      <c r="J161" s="15"/>
      <c r="K161" s="15"/>
      <c r="L161" s="15"/>
    </row>
    <row r="162" spans="1:12" ht="16.5" customHeight="1">
      <c r="A162" s="12">
        <f>'Công trình'!A160</f>
        <v>52</v>
      </c>
      <c r="B162" s="13" t="str">
        <f>'Công trình'!E160</f>
        <v>AF.12314A</v>
      </c>
      <c r="C162" s="14" t="str">
        <f>'Công trình'!F160</f>
        <v>Bê tông cổ tường M250, đá 1x2</v>
      </c>
      <c r="D162" s="13" t="str">
        <f>'Công trình'!G160</f>
        <v>m3</v>
      </c>
      <c r="E162" s="89">
        <f>ROUND('Công trình'!P160,4)</f>
        <v>0.13</v>
      </c>
      <c r="F162" s="15">
        <f>'Đơn giá chi tiết'!H$560</f>
        <v>1099539</v>
      </c>
      <c r="G162" s="15">
        <f>'Đơn giá chi tiết'!H$567</f>
        <v>639710.6</v>
      </c>
      <c r="H162" s="15">
        <f>'Đơn giá chi tiết'!H$569</f>
        <v>79863</v>
      </c>
      <c r="I162" s="15">
        <f>ROUND(IF(E$43=0,E162*F162,E$43*E162*F162),1)</f>
        <v>142940.1</v>
      </c>
      <c r="J162" s="15">
        <f>ROUND(IF(E$43=0,E162*G162,E$43*E162*G162),1)</f>
        <v>83162.399999999994</v>
      </c>
      <c r="K162" s="15">
        <f>ROUND(IF(E$43=0,E162*H162,E$43*E162*H162),1)</f>
        <v>10382.200000000001</v>
      </c>
      <c r="L162" s="15">
        <f>ROUND((I162+J162+K162),0)</f>
        <v>236485</v>
      </c>
    </row>
    <row r="163" spans="1:12" ht="16.5" customHeight="1">
      <c r="A163" s="12"/>
      <c r="B163" s="13"/>
      <c r="C163" s="134" t="str">
        <f>'Công trình'!F161</f>
        <v>0,13 = 0,13</v>
      </c>
      <c r="D163" s="13"/>
      <c r="E163" s="89"/>
      <c r="F163" s="15"/>
      <c r="G163" s="15"/>
      <c r="H163" s="15"/>
      <c r="I163" s="15"/>
      <c r="J163" s="15"/>
      <c r="K163" s="15"/>
      <c r="L163" s="15"/>
    </row>
    <row r="164" spans="1:12" ht="27.75" customHeight="1">
      <c r="A164" s="12">
        <f>'Công trình'!A162</f>
        <v>53</v>
      </c>
      <c r="B164" s="13" t="str">
        <f>'Công trình'!E162</f>
        <v>AF.61511</v>
      </c>
      <c r="C164" s="14" t="str">
        <f>'Công trình'!F162</f>
        <v>Công tác gia công lắp dựng cốt thép. Cốt thép cổ tường</v>
      </c>
      <c r="D164" s="13" t="str">
        <f>'Công trình'!G162</f>
        <v>tấn</v>
      </c>
      <c r="E164" s="89">
        <f>ROUND('Công trình'!P162,4)</f>
        <v>3.0999999999999999E-3</v>
      </c>
      <c r="F164" s="15">
        <f>'Đơn giá chi tiết'!H$574</f>
        <v>16968180</v>
      </c>
      <c r="G164" s="15">
        <f>'Đơn giá chi tiết'!H$578</f>
        <v>4032180</v>
      </c>
      <c r="H164" s="15">
        <f>'Đơn giá chi tiết'!H$580</f>
        <v>111836.4</v>
      </c>
      <c r="I164" s="15">
        <f>ROUND(IF(E$43=0,E164*F164,E$43*E164*F164),1)</f>
        <v>52601.4</v>
      </c>
      <c r="J164" s="15">
        <f>ROUND(IF(E$43=0,E164*G164,E$43*E164*G164),1)</f>
        <v>12499.8</v>
      </c>
      <c r="K164" s="15">
        <f>ROUND(IF(E$43=0,E164*H164,E$43*E164*H164),1)</f>
        <v>346.7</v>
      </c>
      <c r="L164" s="15">
        <f>ROUND((I164+J164+K164),0)</f>
        <v>65448</v>
      </c>
    </row>
    <row r="165" spans="1:12" ht="16.5" customHeight="1">
      <c r="A165" s="12"/>
      <c r="B165" s="13"/>
      <c r="C165" s="134" t="str">
        <f>'Công trình'!F163</f>
        <v>Thép fi 6: 3,1/1000 = 0,0031</v>
      </c>
      <c r="D165" s="13"/>
      <c r="E165" s="89"/>
      <c r="F165" s="15"/>
      <c r="G165" s="15"/>
      <c r="H165" s="15"/>
      <c r="I165" s="15"/>
      <c r="J165" s="15"/>
      <c r="K165" s="15"/>
      <c r="L165" s="15"/>
    </row>
    <row r="166" spans="1:12" ht="40.5" customHeight="1">
      <c r="A166" s="12">
        <f>'Công trình'!A164</f>
        <v>54</v>
      </c>
      <c r="B166" s="13" t="str">
        <f>'Công trình'!E164</f>
        <v>AF.61521</v>
      </c>
      <c r="C166" s="14" t="str">
        <f>'Công trình'!F164</f>
        <v>Công tác gia công lắp dựng cốt thép. Cốt thép xà dầm, giằng, đường kính cốt thép &lt;= 18mm, chiều cao &lt;= 6m</v>
      </c>
      <c r="D166" s="13" t="str">
        <f>'Công trình'!G164</f>
        <v>tấn</v>
      </c>
      <c r="E166" s="89">
        <f>ROUND('Công trình'!P164,4)</f>
        <v>1.26E-2</v>
      </c>
      <c r="F166" s="15">
        <f>'Đơn giá chi tiết'!H$583</f>
        <v>17170220</v>
      </c>
      <c r="G166" s="15">
        <f>'Đơn giá chi tiết'!H$588</f>
        <v>2420880</v>
      </c>
      <c r="H166" s="15">
        <f>'Đơn giá chi tiết'!H$590</f>
        <v>545678.30000000005</v>
      </c>
      <c r="I166" s="15">
        <f>ROUND(IF(E$43=0,E166*F166,E$43*E166*F166),1)</f>
        <v>216344.8</v>
      </c>
      <c r="J166" s="15">
        <f>ROUND(IF(E$43=0,E166*G166,E$43*E166*G166),1)</f>
        <v>30503.1</v>
      </c>
      <c r="K166" s="15">
        <f>ROUND(IF(E$43=0,E166*H166,E$43*E166*H166),1)</f>
        <v>6875.5</v>
      </c>
      <c r="L166" s="15">
        <f>ROUND((I166+J166+K166),0)</f>
        <v>253723</v>
      </c>
    </row>
    <row r="167" spans="1:12" ht="16.5" customHeight="1">
      <c r="A167" s="12"/>
      <c r="B167" s="13"/>
      <c r="C167" s="134" t="str">
        <f>'Công trình'!F165</f>
        <v>Thép fi 14: 12,62/1000 = 0,0126</v>
      </c>
      <c r="D167" s="13"/>
      <c r="E167" s="89"/>
      <c r="F167" s="15"/>
      <c r="G167" s="15"/>
      <c r="H167" s="15"/>
      <c r="I167" s="15"/>
      <c r="J167" s="15"/>
      <c r="K167" s="15"/>
      <c r="L167" s="15"/>
    </row>
    <row r="168" spans="1:12" ht="27.75" customHeight="1">
      <c r="A168" s="12">
        <f>'Công trình'!A166</f>
        <v>55</v>
      </c>
      <c r="B168" s="13" t="str">
        <f>'Công trình'!E166</f>
        <v>AB.41412</v>
      </c>
      <c r="C168" s="14" t="str">
        <f>'Công trình'!F166</f>
        <v>Vận chuyển đất cấp II</v>
      </c>
      <c r="D168" s="13" t="str">
        <f>'Công trình'!G166</f>
        <v>100m3</v>
      </c>
      <c r="E168" s="89">
        <f>ROUND('Công trình'!P166,4)</f>
        <v>1.3599999999999999E-2</v>
      </c>
      <c r="F168" s="15">
        <f>'Công trình'!Q166+'Công trình'!R166</f>
        <v>0</v>
      </c>
      <c r="G168" s="15">
        <f>'Công trình'!S166</f>
        <v>0</v>
      </c>
      <c r="H168" s="15">
        <f>'Đơn giá chi tiết'!H$595</f>
        <v>2313202.9</v>
      </c>
      <c r="I168" s="15">
        <f>ROUND(IF(E$43=0,E168*F168,E$43*E168*F168),1)</f>
        <v>0</v>
      </c>
      <c r="J168" s="15">
        <f>ROUND(IF(E$43=0,E168*G168,E$43*E168*G168),1)</f>
        <v>0</v>
      </c>
      <c r="K168" s="15">
        <f>ROUND(IF(E$43=0,E168*H168,E$43*E168*H168),1)</f>
        <v>31459.599999999999</v>
      </c>
      <c r="L168" s="15">
        <f>ROUND((I168+J168+K168),0)</f>
        <v>31460</v>
      </c>
    </row>
    <row r="169" spans="1:12" ht="16.5" customHeight="1">
      <c r="A169" s="12"/>
      <c r="B169" s="13"/>
      <c r="C169" s="134" t="str">
        <f>'Công trình'!F167</f>
        <v>1,36/100 = 0,0136</v>
      </c>
      <c r="D169" s="13"/>
      <c r="E169" s="89"/>
      <c r="F169" s="15"/>
      <c r="G169" s="15"/>
      <c r="H169" s="15"/>
      <c r="I169" s="15"/>
      <c r="J169" s="15"/>
      <c r="K169" s="15"/>
      <c r="L169" s="15"/>
    </row>
    <row r="170" spans="1:12" ht="27.75" customHeight="1">
      <c r="A170" s="12">
        <f>'Công trình'!A168</f>
        <v>56</v>
      </c>
      <c r="B170" s="13" t="str">
        <f>'Công trình'!E168</f>
        <v>AB.42212</v>
      </c>
      <c r="C170" s="14" t="str">
        <f>'Công trình'!F168</f>
        <v>Vận chuyển đất bằng ô tô tự đổ 5T 1km tiếp theo ngoài phạm vi 5km, đất cấp II</v>
      </c>
      <c r="D170" s="13" t="str">
        <f>'Công trình'!G168</f>
        <v>100m3</v>
      </c>
      <c r="E170" s="89">
        <f>ROUND('Công trình'!P168,4)</f>
        <v>1.3599999999999999E-2</v>
      </c>
      <c r="F170" s="15">
        <f>'Công trình'!Q168+'Công trình'!R168</f>
        <v>0</v>
      </c>
      <c r="G170" s="15">
        <f>'Công trình'!S168</f>
        <v>0</v>
      </c>
      <c r="H170" s="15">
        <f>'Đơn giá chi tiết'!H$598</f>
        <v>3550740.4</v>
      </c>
      <c r="I170" s="15">
        <f>ROUND(IF(E$43=0,E170*F170,E$43*E170*F170),1)</f>
        <v>0</v>
      </c>
      <c r="J170" s="15">
        <f>ROUND(IF(E$43=0,E170*G170,E$43*E170*G170),1)</f>
        <v>0</v>
      </c>
      <c r="K170" s="15">
        <f>ROUND(IF(E$43=0,E170*H170,E$43*E170*H170),1)</f>
        <v>48290.1</v>
      </c>
      <c r="L170" s="15">
        <f>ROUND((I170+J170+K170),0)</f>
        <v>48290</v>
      </c>
    </row>
    <row r="171" spans="1:12" ht="16.5" customHeight="1">
      <c r="A171" s="12"/>
      <c r="B171" s="13"/>
      <c r="C171" s="134">
        <f>'Công trình'!F169</f>
        <v>1.3599999999999999E-2</v>
      </c>
      <c r="D171" s="13"/>
      <c r="E171" s="89"/>
      <c r="F171" s="15"/>
      <c r="G171" s="15"/>
      <c r="H171" s="15"/>
      <c r="I171" s="15"/>
      <c r="J171" s="15"/>
      <c r="K171" s="15"/>
      <c r="L171" s="15"/>
    </row>
    <row r="172" spans="1:12" ht="16.5" customHeight="1">
      <c r="A172" s="12"/>
      <c r="B172" s="13"/>
      <c r="C172" s="87" t="str">
        <f>"KẾT THÚC : "&amp;C43</f>
        <v>KẾT THÚC : HỆ THỐNG THOÁT NƯỚC</v>
      </c>
      <c r="D172" s="13"/>
      <c r="E172" s="89"/>
      <c r="F172" s="15"/>
      <c r="G172" s="15"/>
      <c r="H172" s="15"/>
      <c r="I172" s="15"/>
      <c r="J172" s="15"/>
      <c r="K172" s="15"/>
      <c r="L172" s="15"/>
    </row>
    <row r="173" spans="1:12" ht="15" customHeight="1">
      <c r="A173" s="12"/>
      <c r="B173" s="13"/>
      <c r="C173" s="135" t="s">
        <v>779</v>
      </c>
      <c r="D173" s="136"/>
      <c r="E173" s="137"/>
      <c r="F173" s="138"/>
      <c r="G173" s="138"/>
      <c r="H173" s="138"/>
      <c r="I173" s="139" t="e">
        <f>ROUND(SUM(I6:I172),0)</f>
        <v>#REF!</v>
      </c>
      <c r="J173" s="139" t="e">
        <f>ROUND(SUM(J6:J172),0)</f>
        <v>#REF!</v>
      </c>
      <c r="K173" s="139" t="e">
        <f>ROUND(SUM(K6:K172),0)</f>
        <v>#REF!</v>
      </c>
      <c r="L173" s="139" t="e">
        <f>ROUND(SUM(L6:L172),0)</f>
        <v>#REF!</v>
      </c>
    </row>
    <row r="174" spans="1:12" ht="15" customHeight="1">
      <c r="A174" s="140"/>
      <c r="B174" s="141"/>
      <c r="C174" s="141" t="s">
        <v>780</v>
      </c>
      <c r="D174" s="141"/>
      <c r="E174" s="142"/>
      <c r="F174" s="143"/>
      <c r="G174" s="143"/>
      <c r="H174" s="143"/>
      <c r="I174" s="144" t="e">
        <f>ROUND(I173,-3)</f>
        <v>#REF!</v>
      </c>
      <c r="J174" s="144" t="e">
        <f>ROUND(J173,-3)</f>
        <v>#REF!</v>
      </c>
      <c r="K174" s="144" t="e">
        <f>ROUND(K173,-3)</f>
        <v>#REF!</v>
      </c>
      <c r="L174" s="144" t="e">
        <f>ROUND(L173,-3)</f>
        <v>#REF!</v>
      </c>
    </row>
  </sheetData>
  <mergeCells count="11">
    <mergeCell ref="A1:L1"/>
    <mergeCell ref="A2:L2"/>
    <mergeCell ref="A3:L3"/>
    <mergeCell ref="A4:A5"/>
    <mergeCell ref="B4:B5"/>
    <mergeCell ref="C4:C5"/>
    <mergeCell ref="D4:D5"/>
    <mergeCell ref="E4:E5"/>
    <mergeCell ref="F4:H4"/>
    <mergeCell ref="I4:K4"/>
    <mergeCell ref="L4:L5"/>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H30"/>
  <sheetViews>
    <sheetView workbookViewId="0">
      <selection activeCell="H4" sqref="H4"/>
    </sheetView>
  </sheetViews>
  <sheetFormatPr defaultColWidth="10" defaultRowHeight="15" customHeight="1"/>
  <cols>
    <col min="1" max="1" width="6.6640625" customWidth="1"/>
    <col min="2" max="2" width="71.6640625" customWidth="1"/>
    <col min="3" max="3" width="19.33203125" customWidth="1"/>
    <col min="4" max="4" width="36.6640625" customWidth="1"/>
    <col min="5" max="7" width="10" hidden="1" customWidth="1"/>
    <col min="8" max="8" width="25" customWidth="1"/>
  </cols>
  <sheetData>
    <row r="1" spans="1:8" ht="26.25" customHeight="1">
      <c r="A1" s="981" t="s">
        <v>1350</v>
      </c>
      <c r="B1" s="982"/>
      <c r="C1" s="982"/>
      <c r="D1" s="982"/>
      <c r="E1" s="982"/>
      <c r="F1" s="982"/>
      <c r="G1" s="982"/>
      <c r="H1" s="982"/>
    </row>
    <row r="2" spans="1:8" ht="32.25" customHeight="1">
      <c r="A2" s="983" t="s">
        <v>1202</v>
      </c>
      <c r="B2" s="1021"/>
      <c r="C2" s="1021"/>
      <c r="D2" s="1021"/>
      <c r="E2" s="1021"/>
      <c r="F2" s="1021"/>
      <c r="G2" s="1021"/>
      <c r="H2" s="1021"/>
    </row>
    <row r="3" spans="1:8" ht="18.75" hidden="1" customHeight="1">
      <c r="A3" s="1022" t="s">
        <v>782</v>
      </c>
      <c r="B3" s="982"/>
      <c r="C3" s="982"/>
      <c r="D3" s="982"/>
      <c r="E3" s="982"/>
      <c r="F3" s="982"/>
      <c r="G3" s="982"/>
      <c r="H3" s="982"/>
    </row>
    <row r="4" spans="1:8" ht="30" customHeight="1">
      <c r="A4" s="4" t="s">
        <v>4</v>
      </c>
      <c r="B4" s="1" t="s">
        <v>783</v>
      </c>
      <c r="C4" s="1" t="s">
        <v>628</v>
      </c>
      <c r="D4" s="1" t="s">
        <v>784</v>
      </c>
      <c r="E4" s="1"/>
      <c r="F4" s="1"/>
      <c r="G4" s="1" t="s">
        <v>360</v>
      </c>
      <c r="H4" s="1" t="str">
        <f>"Giá trị_x000D_
"&amp;'Công trình'!AL1</f>
        <v>Giá trị_x000D_
(đ)</v>
      </c>
    </row>
    <row r="5" spans="1:8" ht="16.5" customHeight="1">
      <c r="A5" s="145" t="s">
        <v>364</v>
      </c>
      <c r="B5" s="146" t="s">
        <v>785</v>
      </c>
      <c r="C5" s="147"/>
      <c r="D5" s="13"/>
      <c r="E5" s="148"/>
      <c r="F5" s="148"/>
      <c r="G5" s="149"/>
      <c r="H5" s="150"/>
    </row>
    <row r="6" spans="1:8" ht="16.5" customHeight="1">
      <c r="A6" s="151" t="s">
        <v>786</v>
      </c>
      <c r="B6" s="152" t="s">
        <v>787</v>
      </c>
      <c r="C6" s="153" t="s">
        <v>788</v>
      </c>
      <c r="D6" s="13" t="str">
        <f>C9</f>
        <v>A</v>
      </c>
      <c r="E6" s="154"/>
      <c r="F6" s="154"/>
      <c r="G6" s="155"/>
      <c r="H6" s="156" t="e">
        <f>ROUND(H9,0)</f>
        <v>#REF!</v>
      </c>
    </row>
    <row r="7" spans="1:8" ht="16.5" customHeight="1">
      <c r="A7" s="145"/>
      <c r="B7" s="146" t="s">
        <v>789</v>
      </c>
      <c r="C7" s="147" t="s">
        <v>790</v>
      </c>
      <c r="D7" s="13" t="s">
        <v>791</v>
      </c>
      <c r="E7" s="148"/>
      <c r="F7" s="148"/>
      <c r="G7" s="149"/>
      <c r="H7" s="150" t="e">
        <f>ROUND('Công trình'!U171+'Công trình'!V171,0)</f>
        <v>#REF!</v>
      </c>
    </row>
    <row r="8" spans="1:8" ht="16.5" customHeight="1">
      <c r="A8" s="145"/>
      <c r="B8" s="146" t="s">
        <v>792</v>
      </c>
      <c r="C8" s="147" t="s">
        <v>793</v>
      </c>
      <c r="D8" s="13" t="s">
        <v>794</v>
      </c>
      <c r="E8" s="148"/>
      <c r="F8" s="148"/>
      <c r="G8" s="149"/>
      <c r="H8" s="150">
        <f>ROUND('Tổng hợp VT'!R52,0)</f>
        <v>103902147</v>
      </c>
    </row>
    <row r="9" spans="1:8" ht="16.5" customHeight="1">
      <c r="A9" s="145"/>
      <c r="B9" s="146" t="s">
        <v>776</v>
      </c>
      <c r="C9" s="147" t="s">
        <v>795</v>
      </c>
      <c r="D9" s="13" t="s">
        <v>796</v>
      </c>
      <c r="E9" s="148"/>
      <c r="F9" s="148"/>
      <c r="G9" s="149"/>
      <c r="H9" s="150" t="e">
        <f>H7+H8</f>
        <v>#REF!</v>
      </c>
    </row>
    <row r="10" spans="1:8" ht="16.5" customHeight="1">
      <c r="A10" s="151" t="s">
        <v>797</v>
      </c>
      <c r="B10" s="152" t="s">
        <v>798</v>
      </c>
      <c r="C10" s="153" t="s">
        <v>799</v>
      </c>
      <c r="D10" s="13" t="str">
        <f>C11</f>
        <v>B1</v>
      </c>
      <c r="E10" s="154"/>
      <c r="F10" s="154"/>
      <c r="G10" s="155"/>
      <c r="H10" s="156" t="e">
        <f>ROUND(H11,0)</f>
        <v>#REF!</v>
      </c>
    </row>
    <row r="11" spans="1:8" ht="16.5" customHeight="1">
      <c r="A11" s="145"/>
      <c r="B11" s="146" t="s">
        <v>789</v>
      </c>
      <c r="C11" s="147" t="s">
        <v>800</v>
      </c>
      <c r="D11" s="13" t="s">
        <v>791</v>
      </c>
      <c r="E11" s="148"/>
      <c r="F11" s="148"/>
      <c r="G11" s="149"/>
      <c r="H11" s="150" t="e">
        <f>ROUND('Công trình'!W171,0)</f>
        <v>#REF!</v>
      </c>
    </row>
    <row r="12" spans="1:8" ht="16.5" customHeight="1">
      <c r="A12" s="151" t="s">
        <v>801</v>
      </c>
      <c r="B12" s="152" t="s">
        <v>802</v>
      </c>
      <c r="C12" s="153" t="s">
        <v>803</v>
      </c>
      <c r="D12" s="13" t="str">
        <f>C15</f>
        <v>C</v>
      </c>
      <c r="E12" s="154"/>
      <c r="F12" s="154"/>
      <c r="G12" s="155"/>
      <c r="H12" s="156" t="e">
        <f>ROUND(H15,0)</f>
        <v>#REF!</v>
      </c>
    </row>
    <row r="13" spans="1:8" ht="16.5" customHeight="1">
      <c r="A13" s="145"/>
      <c r="B13" s="146" t="s">
        <v>789</v>
      </c>
      <c r="C13" s="147" t="s">
        <v>804</v>
      </c>
      <c r="D13" s="13" t="s">
        <v>791</v>
      </c>
      <c r="E13" s="148"/>
      <c r="F13" s="148"/>
      <c r="G13" s="149"/>
      <c r="H13" s="150" t="e">
        <f>ROUND('Công trình'!X171,0)</f>
        <v>#REF!</v>
      </c>
    </row>
    <row r="14" spans="1:8" ht="16.5" customHeight="1">
      <c r="A14" s="145"/>
      <c r="B14" s="146" t="s">
        <v>805</v>
      </c>
      <c r="C14" s="147" t="s">
        <v>806</v>
      </c>
      <c r="D14" s="13" t="s">
        <v>794</v>
      </c>
      <c r="E14" s="148"/>
      <c r="F14" s="148"/>
      <c r="G14" s="149"/>
      <c r="H14" s="150">
        <f>ROUND('Tổng hợp VT'!R90,0)</f>
        <v>639543</v>
      </c>
    </row>
    <row r="15" spans="1:8" ht="16.5" customHeight="1">
      <c r="A15" s="145"/>
      <c r="B15" s="146" t="s">
        <v>776</v>
      </c>
      <c r="C15" s="147" t="s">
        <v>807</v>
      </c>
      <c r="D15" s="13" t="s">
        <v>808</v>
      </c>
      <c r="E15" s="148"/>
      <c r="F15" s="148"/>
      <c r="G15" s="149"/>
      <c r="H15" s="150" t="e">
        <f>H13+H14</f>
        <v>#REF!</v>
      </c>
    </row>
    <row r="16" spans="1:8" ht="16.5" customHeight="1">
      <c r="A16" s="157" t="str">
        <f>""</f>
        <v/>
      </c>
      <c r="B16" s="158" t="s">
        <v>809</v>
      </c>
      <c r="C16" s="159" t="s">
        <v>810</v>
      </c>
      <c r="D16" s="13" t="s">
        <v>811</v>
      </c>
      <c r="E16" s="160"/>
      <c r="F16" s="160"/>
      <c r="G16" s="161"/>
      <c r="H16" s="162" t="e">
        <f>ROUND(H6+H10+H12,1)</f>
        <v>#REF!</v>
      </c>
    </row>
    <row r="17" spans="1:8" ht="16.5" customHeight="1">
      <c r="A17" s="145" t="s">
        <v>490</v>
      </c>
      <c r="B17" s="146" t="s">
        <v>812</v>
      </c>
      <c r="C17" s="147" t="str">
        <f>""</f>
        <v/>
      </c>
      <c r="D17" s="13" t="str">
        <f>""</f>
        <v/>
      </c>
      <c r="E17" s="148"/>
      <c r="F17" s="148"/>
      <c r="G17" s="163"/>
      <c r="H17" s="150"/>
    </row>
    <row r="18" spans="1:8" ht="16.5" customHeight="1">
      <c r="A18" s="145" t="s">
        <v>786</v>
      </c>
      <c r="B18" s="146" t="s">
        <v>813</v>
      </c>
      <c r="C18" s="147" t="s">
        <v>807</v>
      </c>
      <c r="D18" s="13" t="str">
        <f>"T x "&amp;HSXL!C$14</f>
        <v>T x 6,2%</v>
      </c>
      <c r="E18" s="148"/>
      <c r="F18" s="148"/>
      <c r="G18" s="163" t="str">
        <f>HSXL!C$14</f>
        <v>6,2%</v>
      </c>
      <c r="H18" s="150" t="e">
        <f>ROUND(H16*HSXL!D$14,1)</f>
        <v>#REF!</v>
      </c>
    </row>
    <row r="19" spans="1:8" ht="16.5" customHeight="1">
      <c r="A19" s="145" t="s">
        <v>797</v>
      </c>
      <c r="B19" s="146" t="s">
        <v>814</v>
      </c>
      <c r="C19" s="147" t="s">
        <v>815</v>
      </c>
      <c r="D19" s="13" t="str">
        <f>"T x "&amp;HSXL!C$18</f>
        <v>T x 2,2%</v>
      </c>
      <c r="E19" s="148"/>
      <c r="F19" s="148"/>
      <c r="G19" s="163" t="str">
        <f>HSXL!C$18</f>
        <v>2,2%</v>
      </c>
      <c r="H19" s="150" t="e">
        <f>ROUND(H16*HSXL!D$18,1)</f>
        <v>#REF!</v>
      </c>
    </row>
    <row r="20" spans="1:8" ht="16.5" customHeight="1">
      <c r="A20" s="145" t="s">
        <v>801</v>
      </c>
      <c r="B20" s="146" t="s">
        <v>816</v>
      </c>
      <c r="C20" s="147" t="s">
        <v>61</v>
      </c>
      <c r="D20" s="13" t="str">
        <f>"T x "&amp;HSXL!C$13</f>
        <v>T x 2%</v>
      </c>
      <c r="E20" s="148"/>
      <c r="F20" s="148"/>
      <c r="G20" s="163" t="str">
        <f>HSXL!C$13</f>
        <v>2%</v>
      </c>
      <c r="H20" s="150" t="e">
        <f>ROUND(H16*HSXL!D$13,1)</f>
        <v>#REF!</v>
      </c>
    </row>
    <row r="21" spans="1:8" ht="16.5" customHeight="1">
      <c r="A21" s="157" t="str">
        <f>""</f>
        <v/>
      </c>
      <c r="B21" s="158" t="s">
        <v>817</v>
      </c>
      <c r="C21" s="159" t="s">
        <v>818</v>
      </c>
      <c r="D21" s="13" t="s">
        <v>819</v>
      </c>
      <c r="E21" s="160"/>
      <c r="F21" s="160"/>
      <c r="G21" s="161"/>
      <c r="H21" s="162" t="e">
        <f>ROUND(SUM(H18:H20),1)</f>
        <v>#REF!</v>
      </c>
    </row>
    <row r="22" spans="1:8" ht="16.5" customHeight="1">
      <c r="A22" s="145" t="s">
        <v>503</v>
      </c>
      <c r="B22" s="146" t="s">
        <v>820</v>
      </c>
      <c r="C22" s="147" t="s">
        <v>821</v>
      </c>
      <c r="D22" s="13" t="str">
        <f>"(T+GT) x "&amp;HSXL!C$16</f>
        <v>(T+GT) x 6%</v>
      </c>
      <c r="E22" s="148"/>
      <c r="F22" s="148"/>
      <c r="G22" s="163" t="str">
        <f>HSXL!C$16</f>
        <v>6%</v>
      </c>
      <c r="H22" s="150" t="e">
        <f>ROUND((H16+H21)*HSXL!D$16,1)</f>
        <v>#REF!</v>
      </c>
    </row>
    <row r="23" spans="1:8" ht="16.5" customHeight="1">
      <c r="A23" s="145" t="str">
        <f>""</f>
        <v/>
      </c>
      <c r="B23" s="146" t="s">
        <v>822</v>
      </c>
      <c r="C23" s="147" t="s">
        <v>823</v>
      </c>
      <c r="D23" s="13" t="s">
        <v>824</v>
      </c>
      <c r="E23" s="148"/>
      <c r="F23" s="148"/>
      <c r="G23" s="163"/>
      <c r="H23" s="150" t="e">
        <f>ROUND(H16+H21+H22,0)</f>
        <v>#REF!</v>
      </c>
    </row>
    <row r="24" spans="1:8" ht="16.5" customHeight="1">
      <c r="A24" s="145" t="s">
        <v>825</v>
      </c>
      <c r="B24" s="146" t="s">
        <v>826</v>
      </c>
      <c r="C24" s="147" t="s">
        <v>827</v>
      </c>
      <c r="D24" s="13" t="str">
        <f>"G x "&amp;HSXL!C$17</f>
        <v>G x 10%</v>
      </c>
      <c r="E24" s="164">
        <f>G24</f>
        <v>0.1</v>
      </c>
      <c r="F24" s="148"/>
      <c r="G24" s="165">
        <f>HSXL!D$17</f>
        <v>0.1</v>
      </c>
      <c r="H24" s="150" t="e">
        <f>ROUND(E24*H23,1)</f>
        <v>#REF!</v>
      </c>
    </row>
    <row r="25" spans="1:8" ht="16.5" customHeight="1">
      <c r="A25" s="157" t="s">
        <v>828</v>
      </c>
      <c r="B25" s="158" t="s">
        <v>829</v>
      </c>
      <c r="C25" s="159" t="s">
        <v>830</v>
      </c>
      <c r="D25" s="13" t="s">
        <v>831</v>
      </c>
      <c r="E25" s="166"/>
      <c r="F25" s="160"/>
      <c r="G25" s="167"/>
      <c r="H25" s="162" t="e">
        <f>ROUND(H23+H24,0)</f>
        <v>#REF!</v>
      </c>
    </row>
    <row r="26" spans="1:8" ht="16.5" customHeight="1">
      <c r="A26" s="168"/>
      <c r="B26" s="169" t="s">
        <v>780</v>
      </c>
      <c r="C26" s="169"/>
      <c r="D26" s="170"/>
      <c r="E26" s="171"/>
      <c r="F26" s="171"/>
      <c r="G26" s="172"/>
      <c r="H26" s="173" t="e">
        <f>ROUND(H25,-3)</f>
        <v>#REF!</v>
      </c>
    </row>
    <row r="27" spans="1:8" ht="30" customHeight="1">
      <c r="A27" s="1023" t="s">
        <v>832</v>
      </c>
      <c r="B27" s="1024"/>
      <c r="C27" s="1025"/>
      <c r="D27" s="1026"/>
      <c r="E27" s="1027"/>
      <c r="F27" s="1027"/>
      <c r="G27" s="1028"/>
      <c r="H27" s="1029"/>
    </row>
    <row r="30" spans="1:8" ht="15" customHeight="1">
      <c r="H30">
        <v>62</v>
      </c>
    </row>
  </sheetData>
  <mergeCells count="4">
    <mergeCell ref="A1:H1"/>
    <mergeCell ref="A2:H2"/>
    <mergeCell ref="A3:H3"/>
    <mergeCell ref="A27:H27"/>
  </mergeCells>
  <pageMargins left="0.84" right="0" top="0.53" bottom="0.28999999999999998" header="0.40625" footer="0.2"/>
  <pageSetup paperSize="9" orientation="landscape" blackAndWhite="1" useFirstPageNumber="1" verticalDpi="0"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G8"/>
  <sheetViews>
    <sheetView workbookViewId="0">
      <selection activeCell="H4" sqref="H4"/>
    </sheetView>
  </sheetViews>
  <sheetFormatPr defaultColWidth="10" defaultRowHeight="15" customHeight="1"/>
  <cols>
    <col min="1" max="1" width="6.6640625" style="34" customWidth="1"/>
    <col min="2" max="2" width="39.5" style="34" customWidth="1"/>
    <col min="3" max="3" width="23.33203125" style="34" customWidth="1"/>
    <col min="4" max="4" width="18.33203125" style="34" customWidth="1"/>
    <col min="5" max="5" width="23.33203125" style="34" customWidth="1"/>
    <col min="6" max="7" width="23.33203125" style="34" hidden="1" customWidth="1"/>
    <col min="8" max="16384" width="10" style="34"/>
  </cols>
  <sheetData>
    <row r="1" spans="1:7" ht="26.25" customHeight="1">
      <c r="A1" s="981" t="s">
        <v>833</v>
      </c>
      <c r="B1" s="985"/>
      <c r="C1" s="985"/>
      <c r="D1" s="985"/>
      <c r="E1" s="985"/>
      <c r="F1" s="985"/>
      <c r="G1" s="985"/>
    </row>
    <row r="2" spans="1:7" ht="32.25" customHeight="1">
      <c r="A2" s="983" t="str">
        <f>'Công trình'!A2</f>
        <v>CÔNG TRÌNH : SỬA CHỮA TUYẾN ĐƯỜNG TỪ NHÀ BÀ TRƯỜNG, TỔ 5 PHƯỜNG VẠN HƯƠNG ĐẾN NHÀ BÀ KIM, TỔ DÂN PHỐ BẮC HẢI PHƯỜNG BÀNG LA</v>
      </c>
      <c r="B2" s="985"/>
      <c r="C2" s="985"/>
      <c r="D2" s="985"/>
      <c r="E2" s="985"/>
      <c r="F2" s="985"/>
      <c r="G2" s="985"/>
    </row>
    <row r="3" spans="1:7" ht="22.5" customHeight="1">
      <c r="A3" s="998" t="str">
        <f>"Đơn vị tính:  "&amp;'Công trình'!AL1</f>
        <v>Đơn vị tính:  (đ)</v>
      </c>
      <c r="B3" s="985"/>
      <c r="C3" s="985"/>
      <c r="D3" s="985"/>
      <c r="E3" s="985"/>
      <c r="F3" s="985"/>
      <c r="G3" s="985"/>
    </row>
    <row r="4" spans="1:7" ht="28.5" customHeight="1">
      <c r="A4" s="4" t="s">
        <v>4</v>
      </c>
      <c r="B4" s="1" t="s">
        <v>834</v>
      </c>
      <c r="C4" s="1" t="s">
        <v>835</v>
      </c>
      <c r="D4" s="1" t="s">
        <v>836</v>
      </c>
      <c r="E4" s="1" t="s">
        <v>837</v>
      </c>
      <c r="F4" s="1" t="s">
        <v>838</v>
      </c>
      <c r="G4" s="1" t="s">
        <v>839</v>
      </c>
    </row>
    <row r="5" spans="1:7" ht="28.5" customHeight="1">
      <c r="A5" s="12">
        <v>1</v>
      </c>
      <c r="B5" s="14" t="str">
        <f>'Công trình'!F6</f>
        <v>SỬA CHỮA NỀN MẶT ĐƯỜNG, HỆ THỐNG THOÁT NƯỚC</v>
      </c>
      <c r="C5" s="15" t="e">
        <f>ROUND('THKP hạng mục'!H23,0)</f>
        <v>#REF!</v>
      </c>
      <c r="D5" s="15" t="e">
        <f>ROUND(C5*HSXL!D17,0)</f>
        <v>#REF!</v>
      </c>
      <c r="E5" s="15" t="e">
        <f>ROUND(C5+D5,0)</f>
        <v>#REF!</v>
      </c>
      <c r="F5" s="15" t="e">
        <f>ROUND(G5-E5,0)</f>
        <v>#REF!</v>
      </c>
      <c r="G5" s="15" t="e">
        <f>ROUND('THKP hạng mục'!H25,0)</f>
        <v>#REF!</v>
      </c>
    </row>
    <row r="6" spans="1:7" ht="16.5" customHeight="1">
      <c r="A6" s="174"/>
      <c r="B6" s="136" t="s">
        <v>779</v>
      </c>
      <c r="C6" s="139" t="e">
        <f>ROUND(SUM(C5:C5),0)</f>
        <v>#REF!</v>
      </c>
      <c r="D6" s="139" t="e">
        <f>ROUND(SUM(D5:D5),0)</f>
        <v>#REF!</v>
      </c>
      <c r="E6" s="139" t="e">
        <f>ROUND(SUM(E5:E5),0)</f>
        <v>#REF!</v>
      </c>
      <c r="F6" s="139" t="e">
        <f>ROUND(SUM(F5:F5),0)</f>
        <v>#REF!</v>
      </c>
      <c r="G6" s="139" t="e">
        <f>ROUND(SUM(G5:G5),0)</f>
        <v>#REF!</v>
      </c>
    </row>
    <row r="7" spans="1:7" ht="16.5" customHeight="1">
      <c r="A7" s="175"/>
      <c r="B7" s="135" t="s">
        <v>780</v>
      </c>
      <c r="C7" s="176"/>
      <c r="D7" s="176"/>
      <c r="E7" s="176" t="e">
        <f>ROUND(E6,-3)</f>
        <v>#REF!</v>
      </c>
      <c r="F7" s="176"/>
      <c r="G7" s="176" t="e">
        <f>ROUND(G6,-3)</f>
        <v>#REF!</v>
      </c>
    </row>
    <row r="8" spans="1:7" ht="30" customHeight="1">
      <c r="A8" s="1023" t="s">
        <v>832</v>
      </c>
      <c r="B8" s="1030"/>
      <c r="C8" s="1031"/>
      <c r="D8" s="1031"/>
      <c r="E8" s="1031"/>
      <c r="F8" s="1031"/>
      <c r="G8" s="994"/>
    </row>
  </sheetData>
  <mergeCells count="4">
    <mergeCell ref="A1:G1"/>
    <mergeCell ref="A2:G2"/>
    <mergeCell ref="A3:G3"/>
    <mergeCell ref="A8:G8"/>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I21"/>
  <sheetViews>
    <sheetView workbookViewId="0"/>
  </sheetViews>
  <sheetFormatPr defaultColWidth="10" defaultRowHeight="15" customHeight="1"/>
  <cols>
    <col min="1" max="1" width="10" style="177" customWidth="1"/>
    <col min="2" max="2" width="50" style="177" customWidth="1"/>
    <col min="3" max="3" width="11.6640625" style="177" customWidth="1"/>
    <col min="4" max="5" width="15" style="34" customWidth="1"/>
    <col min="6" max="6" width="18.33203125" style="34" customWidth="1"/>
    <col min="7" max="7" width="10" style="34" customWidth="1"/>
    <col min="8" max="8" width="16.6640625" style="34" customWidth="1"/>
    <col min="9" max="9" width="18.33203125" style="34" customWidth="1"/>
    <col min="10" max="16384" width="10" style="34"/>
  </cols>
  <sheetData>
    <row r="1" spans="1:9" ht="26.25" customHeight="1">
      <c r="A1" s="1032" t="s">
        <v>840</v>
      </c>
      <c r="B1" s="1033"/>
      <c r="C1" s="1033"/>
      <c r="D1" s="985"/>
      <c r="E1" s="985"/>
      <c r="F1" s="985"/>
      <c r="G1" s="985"/>
      <c r="H1" s="985"/>
      <c r="I1" s="985"/>
    </row>
    <row r="2" spans="1:9" ht="45.75" customHeight="1">
      <c r="A2" s="983" t="str">
        <f>'Công trình'!A2</f>
        <v>CÔNG TRÌNH : SỬA CHỮA TUYẾN ĐƯỜNG TỪ NHÀ BÀ TRƯỜNG, TỔ 5 PHƯỜNG VẠN HƯƠNG ĐẾN NHÀ BÀ KIM, TỔ DÂN PHỐ BẮC HẢI PHƯỜNG BÀNG LA</v>
      </c>
      <c r="B2" s="1033"/>
      <c r="C2" s="1033"/>
      <c r="D2" s="985"/>
      <c r="E2" s="985"/>
      <c r="F2" s="985"/>
      <c r="G2" s="985"/>
      <c r="H2" s="985"/>
      <c r="I2" s="985"/>
    </row>
    <row r="3" spans="1:9" ht="15" customHeight="1">
      <c r="A3" s="177" t="s">
        <v>369</v>
      </c>
    </row>
    <row r="4" spans="1:9" ht="18.75" customHeight="1">
      <c r="A4" s="999" t="s">
        <v>4</v>
      </c>
      <c r="B4" s="1002" t="s">
        <v>358</v>
      </c>
      <c r="C4" s="1002" t="s">
        <v>359</v>
      </c>
      <c r="D4" s="1002" t="s">
        <v>841</v>
      </c>
      <c r="E4" s="1002" t="str">
        <f>"Đơn giá_x000D_
trước thuế_x000D_
"&amp;'Công trình'!AL1</f>
        <v>Đơn giá_x000D_
trước thuế_x000D_
(đ)</v>
      </c>
      <c r="F4" s="1002" t="str">
        <f>"Thành tiền_x000D_
trước thuế_x000D_
"&amp;'Công trình'!AL1</f>
        <v>Thành tiền_x000D_
trước thuế_x000D_
(đ)</v>
      </c>
      <c r="G4" s="1005" t="s">
        <v>842</v>
      </c>
      <c r="H4" s="1006"/>
      <c r="I4" s="1002" t="str">
        <f>"Thành tiền_x000D_
sau thuế_x000D_
"&amp;'Công trình'!AL1</f>
        <v>Thành tiền_x000D_
sau thuế_x000D_
(đ)</v>
      </c>
    </row>
    <row r="5" spans="1:9" ht="26.25" customHeight="1">
      <c r="A5" s="1034"/>
      <c r="B5" s="1035"/>
      <c r="C5" s="1035"/>
      <c r="D5" s="1035"/>
      <c r="E5" s="1035"/>
      <c r="F5" s="1035"/>
      <c r="G5" s="178" t="s">
        <v>682</v>
      </c>
      <c r="H5" s="178" t="str">
        <f>"Thành tiền_x000D_
"&amp;'Công trình'!AL1</f>
        <v>Thành tiền_x000D_
(đ)</v>
      </c>
      <c r="I5" s="1035"/>
    </row>
    <row r="6" spans="1:9" ht="16.5" customHeight="1">
      <c r="A6" s="179" t="s">
        <v>786</v>
      </c>
      <c r="B6" s="180" t="s">
        <v>843</v>
      </c>
      <c r="C6" s="181"/>
      <c r="D6" s="182"/>
      <c r="E6" s="183"/>
      <c r="F6" s="183">
        <f t="shared" ref="F6:F19" si="0">ROUND(D6*E6,1)</f>
        <v>0</v>
      </c>
      <c r="G6" s="184"/>
      <c r="H6" s="183">
        <f t="shared" ref="H6:H19" si="1">ROUND(F6*G6/100,1)</f>
        <v>0</v>
      </c>
      <c r="I6" s="183">
        <f t="shared" ref="I6:I19" si="2">ROUND(F6+H6,1)</f>
        <v>0</v>
      </c>
    </row>
    <row r="7" spans="1:9" ht="16.5" customHeight="1">
      <c r="A7" s="179" t="s">
        <v>369</v>
      </c>
      <c r="B7" s="180"/>
      <c r="C7" s="181"/>
      <c r="D7" s="182"/>
      <c r="E7" s="183"/>
      <c r="F7" s="183">
        <f t="shared" si="0"/>
        <v>0</v>
      </c>
      <c r="G7" s="184"/>
      <c r="H7" s="183">
        <f t="shared" si="1"/>
        <v>0</v>
      </c>
      <c r="I7" s="183">
        <f t="shared" si="2"/>
        <v>0</v>
      </c>
    </row>
    <row r="8" spans="1:9" ht="16.5" customHeight="1">
      <c r="A8" s="179" t="s">
        <v>369</v>
      </c>
      <c r="B8" s="180"/>
      <c r="C8" s="181"/>
      <c r="D8" s="182"/>
      <c r="E8" s="183"/>
      <c r="F8" s="183">
        <f t="shared" si="0"/>
        <v>0</v>
      </c>
      <c r="G8" s="184"/>
      <c r="H8" s="183">
        <f t="shared" si="1"/>
        <v>0</v>
      </c>
      <c r="I8" s="183">
        <f t="shared" si="2"/>
        <v>0</v>
      </c>
    </row>
    <row r="9" spans="1:9" ht="16.5" customHeight="1">
      <c r="A9" s="179" t="s">
        <v>369</v>
      </c>
      <c r="B9" s="180"/>
      <c r="C9" s="181"/>
      <c r="D9" s="182"/>
      <c r="E9" s="183"/>
      <c r="F9" s="183">
        <f t="shared" si="0"/>
        <v>0</v>
      </c>
      <c r="G9" s="184"/>
      <c r="H9" s="183">
        <f t="shared" si="1"/>
        <v>0</v>
      </c>
      <c r="I9" s="183">
        <f t="shared" si="2"/>
        <v>0</v>
      </c>
    </row>
    <row r="10" spans="1:9" ht="16.5" customHeight="1">
      <c r="A10" s="179" t="s">
        <v>369</v>
      </c>
      <c r="B10" s="180"/>
      <c r="C10" s="181"/>
      <c r="D10" s="182"/>
      <c r="E10" s="183"/>
      <c r="F10" s="183">
        <f t="shared" si="0"/>
        <v>0</v>
      </c>
      <c r="G10" s="184"/>
      <c r="H10" s="183">
        <f t="shared" si="1"/>
        <v>0</v>
      </c>
      <c r="I10" s="183">
        <f t="shared" si="2"/>
        <v>0</v>
      </c>
    </row>
    <row r="11" spans="1:9" ht="16.5" customHeight="1">
      <c r="A11" s="179" t="s">
        <v>369</v>
      </c>
      <c r="B11" s="180"/>
      <c r="C11" s="181"/>
      <c r="D11" s="182"/>
      <c r="E11" s="183"/>
      <c r="F11" s="183">
        <f t="shared" si="0"/>
        <v>0</v>
      </c>
      <c r="G11" s="184"/>
      <c r="H11" s="183">
        <f t="shared" si="1"/>
        <v>0</v>
      </c>
      <c r="I11" s="183">
        <f t="shared" si="2"/>
        <v>0</v>
      </c>
    </row>
    <row r="12" spans="1:9" ht="16.5" customHeight="1">
      <c r="A12" s="179" t="s">
        <v>369</v>
      </c>
      <c r="B12" s="180"/>
      <c r="C12" s="181"/>
      <c r="D12" s="182"/>
      <c r="E12" s="183"/>
      <c r="F12" s="183">
        <f t="shared" si="0"/>
        <v>0</v>
      </c>
      <c r="G12" s="184"/>
      <c r="H12" s="183">
        <f t="shared" si="1"/>
        <v>0</v>
      </c>
      <c r="I12" s="183">
        <f t="shared" si="2"/>
        <v>0</v>
      </c>
    </row>
    <row r="13" spans="1:9" ht="16.5" customHeight="1">
      <c r="A13" s="179" t="s">
        <v>369</v>
      </c>
      <c r="B13" s="180"/>
      <c r="C13" s="181"/>
      <c r="D13" s="182"/>
      <c r="E13" s="183"/>
      <c r="F13" s="183">
        <f t="shared" si="0"/>
        <v>0</v>
      </c>
      <c r="G13" s="184"/>
      <c r="H13" s="183">
        <f t="shared" si="1"/>
        <v>0</v>
      </c>
      <c r="I13" s="183">
        <f t="shared" si="2"/>
        <v>0</v>
      </c>
    </row>
    <row r="14" spans="1:9" ht="16.5" customHeight="1">
      <c r="A14" s="179" t="s">
        <v>369</v>
      </c>
      <c r="B14" s="180"/>
      <c r="C14" s="181"/>
      <c r="D14" s="182"/>
      <c r="E14" s="183"/>
      <c r="F14" s="183">
        <f t="shared" si="0"/>
        <v>0</v>
      </c>
      <c r="G14" s="184"/>
      <c r="H14" s="183">
        <f t="shared" si="1"/>
        <v>0</v>
      </c>
      <c r="I14" s="183">
        <f t="shared" si="2"/>
        <v>0</v>
      </c>
    </row>
    <row r="15" spans="1:9" ht="16.5" customHeight="1">
      <c r="A15" s="179" t="s">
        <v>369</v>
      </c>
      <c r="B15" s="180"/>
      <c r="C15" s="181"/>
      <c r="D15" s="182"/>
      <c r="E15" s="183"/>
      <c r="F15" s="183">
        <f t="shared" si="0"/>
        <v>0</v>
      </c>
      <c r="G15" s="184"/>
      <c r="H15" s="183">
        <f t="shared" si="1"/>
        <v>0</v>
      </c>
      <c r="I15" s="183">
        <f t="shared" si="2"/>
        <v>0</v>
      </c>
    </row>
    <row r="16" spans="1:9" ht="16.5" customHeight="1">
      <c r="A16" s="179" t="s">
        <v>369</v>
      </c>
      <c r="B16" s="180"/>
      <c r="C16" s="181"/>
      <c r="D16" s="182"/>
      <c r="E16" s="183"/>
      <c r="F16" s="183">
        <f t="shared" si="0"/>
        <v>0</v>
      </c>
      <c r="G16" s="184"/>
      <c r="H16" s="183">
        <f t="shared" si="1"/>
        <v>0</v>
      </c>
      <c r="I16" s="183">
        <f t="shared" si="2"/>
        <v>0</v>
      </c>
    </row>
    <row r="17" spans="1:9" ht="16.5" customHeight="1">
      <c r="A17" s="179" t="s">
        <v>369</v>
      </c>
      <c r="B17" s="180"/>
      <c r="C17" s="181"/>
      <c r="D17" s="182"/>
      <c r="E17" s="183"/>
      <c r="F17" s="183">
        <f t="shared" si="0"/>
        <v>0</v>
      </c>
      <c r="G17" s="184"/>
      <c r="H17" s="183">
        <f t="shared" si="1"/>
        <v>0</v>
      </c>
      <c r="I17" s="183">
        <f t="shared" si="2"/>
        <v>0</v>
      </c>
    </row>
    <row r="18" spans="1:9" ht="16.5" customHeight="1">
      <c r="A18" s="179" t="s">
        <v>369</v>
      </c>
      <c r="B18" s="180"/>
      <c r="C18" s="181"/>
      <c r="D18" s="182"/>
      <c r="E18" s="183"/>
      <c r="F18" s="183">
        <f t="shared" si="0"/>
        <v>0</v>
      </c>
      <c r="G18" s="184"/>
      <c r="H18" s="183">
        <f t="shared" si="1"/>
        <v>0</v>
      </c>
      <c r="I18" s="183">
        <f t="shared" si="2"/>
        <v>0</v>
      </c>
    </row>
    <row r="19" spans="1:9" ht="16.5" customHeight="1">
      <c r="A19" s="179" t="s">
        <v>369</v>
      </c>
      <c r="B19" s="180"/>
      <c r="C19" s="181"/>
      <c r="D19" s="182"/>
      <c r="E19" s="183"/>
      <c r="F19" s="183">
        <f t="shared" si="0"/>
        <v>0</v>
      </c>
      <c r="G19" s="184"/>
      <c r="H19" s="183">
        <f t="shared" si="1"/>
        <v>0</v>
      </c>
      <c r="I19" s="183">
        <f t="shared" si="2"/>
        <v>0</v>
      </c>
    </row>
    <row r="20" spans="1:9" ht="16.5" customHeight="1">
      <c r="A20" s="185" t="s">
        <v>369</v>
      </c>
      <c r="B20" s="136" t="s">
        <v>779</v>
      </c>
      <c r="C20" s="186"/>
      <c r="D20" s="187"/>
      <c r="E20" s="188"/>
      <c r="F20" s="188">
        <f>ROUND(SUM(F6:F19),0)</f>
        <v>0</v>
      </c>
      <c r="G20" s="189"/>
      <c r="H20" s="188">
        <f>ROUND(SUM(H6:H19),0)</f>
        <v>0</v>
      </c>
      <c r="I20" s="188">
        <f>ROUND(SUM(I6:I19),0)</f>
        <v>0</v>
      </c>
    </row>
    <row r="21" spans="1:9" ht="30" customHeight="1">
      <c r="A21" s="1023" t="s">
        <v>844</v>
      </c>
      <c r="B21" s="1030"/>
      <c r="C21" s="1030"/>
      <c r="D21" s="1031"/>
      <c r="E21" s="1031"/>
      <c r="F21" s="1031"/>
      <c r="G21" s="1031"/>
      <c r="H21" s="1031"/>
      <c r="I21" s="994"/>
    </row>
  </sheetData>
  <mergeCells count="11">
    <mergeCell ref="A21:I21"/>
    <mergeCell ref="A1:I1"/>
    <mergeCell ref="A2:I2"/>
    <mergeCell ref="A4:A5"/>
    <mergeCell ref="B4:B5"/>
    <mergeCell ref="C4:C5"/>
    <mergeCell ref="D4:D5"/>
    <mergeCell ref="E4:E5"/>
    <mergeCell ref="F4:F5"/>
    <mergeCell ref="I4:I5"/>
    <mergeCell ref="G4:H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I16"/>
  <sheetViews>
    <sheetView workbookViewId="0">
      <selection activeCell="B27" sqref="B27"/>
    </sheetView>
  </sheetViews>
  <sheetFormatPr defaultColWidth="10" defaultRowHeight="15" customHeight="1"/>
  <cols>
    <col min="1" max="1" width="8.33203125" style="34" customWidth="1"/>
    <col min="2" max="2" width="15" style="34" customWidth="1"/>
    <col min="3" max="3" width="18.33203125" style="34" customWidth="1"/>
    <col min="4" max="5" width="18.33203125" style="34" hidden="1" customWidth="1"/>
    <col min="6" max="7" width="13.33203125" style="34" customWidth="1"/>
    <col min="8" max="8" width="18.33203125" style="34" customWidth="1"/>
    <col min="9" max="9" width="20" style="34" customWidth="1"/>
    <col min="10" max="16384" width="10" style="34"/>
  </cols>
  <sheetData>
    <row r="1" spans="1:9" ht="32.25" customHeight="1">
      <c r="A1" s="983" t="str">
        <f>'Công trình'!A2</f>
        <v>CÔNG TRÌNH : SỬA CHỮA TUYẾN ĐƯỜNG TỪ NHÀ BÀ TRƯỜNG, TỔ 5 PHƯỜNG VẠN HƯƠNG ĐẾN NHÀ BÀ KIM, TỔ DÂN PHỐ BẮC HẢI PHƯỜNG BÀNG LA</v>
      </c>
      <c r="B1" s="985"/>
      <c r="C1" s="985"/>
      <c r="D1" s="985"/>
      <c r="E1" s="985"/>
      <c r="F1" s="985"/>
      <c r="G1" s="985"/>
      <c r="H1" s="985"/>
      <c r="I1" s="985"/>
    </row>
    <row r="2" spans="1:9" ht="26.25" customHeight="1">
      <c r="A2" s="981" t="s">
        <v>845</v>
      </c>
      <c r="B2" s="985"/>
      <c r="C2" s="985"/>
      <c r="D2" s="985"/>
      <c r="E2" s="985"/>
      <c r="F2" s="985"/>
      <c r="G2" s="985"/>
    </row>
    <row r="3" spans="1:9" ht="45" customHeight="1">
      <c r="A3" s="190" t="s">
        <v>4</v>
      </c>
      <c r="B3" s="191" t="s">
        <v>846</v>
      </c>
      <c r="C3" s="191" t="s">
        <v>847</v>
      </c>
      <c r="D3" s="191"/>
      <c r="E3" s="191"/>
      <c r="F3" s="191" t="s">
        <v>848</v>
      </c>
      <c r="G3" s="191" t="s">
        <v>849</v>
      </c>
    </row>
    <row r="4" spans="1:9" ht="15" customHeight="1">
      <c r="A4" s="39">
        <v>1</v>
      </c>
      <c r="B4" s="18" t="s">
        <v>850</v>
      </c>
      <c r="C4" s="192">
        <v>1.05</v>
      </c>
      <c r="D4" s="19"/>
      <c r="E4" s="19"/>
      <c r="F4" s="193">
        <f>IF(C4&lt;&gt;0,ROUND(C5/C4,5),0)</f>
        <v>1</v>
      </c>
      <c r="G4" s="1040">
        <f>ROUND(SUM(F4:F8)/A8,5)</f>
        <v>1.00952</v>
      </c>
    </row>
    <row r="5" spans="1:9" ht="15" customHeight="1">
      <c r="A5" s="39">
        <v>2</v>
      </c>
      <c r="B5" s="18" t="s">
        <v>851</v>
      </c>
      <c r="C5" s="192">
        <v>1.05</v>
      </c>
      <c r="D5" s="19"/>
      <c r="E5" s="19"/>
      <c r="F5" s="193">
        <f>IF(C5&lt;&gt;0,ROUND(C6/C5,5),0)</f>
        <v>1</v>
      </c>
      <c r="G5" s="1041"/>
    </row>
    <row r="6" spans="1:9" ht="15" customHeight="1">
      <c r="A6" s="39">
        <v>3</v>
      </c>
      <c r="B6" s="18" t="s">
        <v>852</v>
      </c>
      <c r="C6" s="192">
        <v>1.05</v>
      </c>
      <c r="D6" s="19"/>
      <c r="E6" s="19"/>
      <c r="F6" s="193">
        <f>IF(C6&lt;&gt;0,ROUND(C7/C6,5),0)</f>
        <v>1</v>
      </c>
      <c r="G6" s="1041"/>
    </row>
    <row r="7" spans="1:9" ht="15" customHeight="1">
      <c r="A7" s="39">
        <v>4</v>
      </c>
      <c r="B7" s="18" t="s">
        <v>853</v>
      </c>
      <c r="C7" s="192">
        <v>1.05</v>
      </c>
      <c r="D7" s="19"/>
      <c r="E7" s="19"/>
      <c r="F7" s="193">
        <f>IF(C7&lt;&gt;0,ROUND(C8/C7,5),0)</f>
        <v>1.04762</v>
      </c>
      <c r="G7" s="1041"/>
    </row>
    <row r="8" spans="1:9" ht="15" customHeight="1">
      <c r="A8" s="41">
        <v>5</v>
      </c>
      <c r="B8" s="29" t="s">
        <v>854</v>
      </c>
      <c r="C8" s="194">
        <v>1.1000000000000001</v>
      </c>
      <c r="D8" s="30"/>
      <c r="E8" s="30"/>
      <c r="F8" s="195">
        <v>1</v>
      </c>
      <c r="G8" s="1042"/>
    </row>
    <row r="9" spans="1:9" ht="15" customHeight="1">
      <c r="A9" s="985"/>
      <c r="B9" s="985"/>
      <c r="C9" s="985"/>
      <c r="D9" s="985"/>
      <c r="E9" s="985"/>
      <c r="F9" s="985"/>
      <c r="G9" s="985"/>
      <c r="H9" s="985"/>
      <c r="I9" s="985"/>
    </row>
    <row r="10" spans="1:9" ht="26.25" customHeight="1">
      <c r="A10" s="981" t="s">
        <v>855</v>
      </c>
      <c r="B10" s="985"/>
      <c r="C10" s="985"/>
      <c r="D10" s="985"/>
      <c r="E10" s="985"/>
      <c r="F10" s="985"/>
      <c r="G10" s="985"/>
      <c r="H10" s="985"/>
      <c r="I10" s="985"/>
    </row>
    <row r="11" spans="1:9" ht="67.5" customHeight="1">
      <c r="A11" s="1043" t="s">
        <v>4</v>
      </c>
      <c r="B11" s="1036" t="s">
        <v>856</v>
      </c>
      <c r="C11" s="191" t="s">
        <v>857</v>
      </c>
      <c r="D11" s="191" t="s">
        <v>858</v>
      </c>
      <c r="E11" s="191" t="s">
        <v>859</v>
      </c>
      <c r="F11" s="1036" t="s">
        <v>849</v>
      </c>
      <c r="G11" s="1036" t="s">
        <v>860</v>
      </c>
      <c r="H11" s="191" t="s">
        <v>861</v>
      </c>
      <c r="I11" s="191" t="s">
        <v>862</v>
      </c>
    </row>
    <row r="12" spans="1:9" ht="15" customHeight="1">
      <c r="A12" s="1044"/>
      <c r="B12" s="1037"/>
      <c r="C12" s="196" t="str">
        <f>'Công trình'!AL1</f>
        <v>(đ)</v>
      </c>
      <c r="D12" s="196" t="str">
        <f>'Công trình'!AL1</f>
        <v>(đ)</v>
      </c>
      <c r="E12" s="196" t="str">
        <f>'Công trình'!AL1</f>
        <v>(đ)</v>
      </c>
      <c r="F12" s="1037"/>
      <c r="G12" s="1037"/>
      <c r="H12" s="196" t="str">
        <f>'Công trình'!AL1</f>
        <v>(đ)</v>
      </c>
      <c r="I12" s="196" t="str">
        <f>'Công trình'!AL1</f>
        <v>(đ)</v>
      </c>
    </row>
    <row r="13" spans="1:9" ht="15" customHeight="1">
      <c r="A13" s="39">
        <v>1</v>
      </c>
      <c r="B13" s="18" t="s">
        <v>863</v>
      </c>
      <c r="C13" s="15">
        <v>696831114</v>
      </c>
      <c r="D13" s="15">
        <v>0</v>
      </c>
      <c r="E13" s="15">
        <f>C13-D13</f>
        <v>696831114</v>
      </c>
      <c r="F13" s="197">
        <f>G4</f>
        <v>1.00952</v>
      </c>
      <c r="G13" s="197">
        <v>0.05</v>
      </c>
      <c r="H13" s="15">
        <f>C13*((F13+G13)^A13-1)</f>
        <v>41475387.905280009</v>
      </c>
      <c r="I13" s="15">
        <f>H13</f>
        <v>41475387.905280009</v>
      </c>
    </row>
    <row r="14" spans="1:9" ht="15" customHeight="1">
      <c r="A14" s="39">
        <v>2</v>
      </c>
      <c r="B14" s="18" t="s">
        <v>864</v>
      </c>
      <c r="C14" s="15">
        <v>696831114</v>
      </c>
      <c r="D14" s="15">
        <v>0</v>
      </c>
      <c r="E14" s="15">
        <f>C14-D14</f>
        <v>696831114</v>
      </c>
      <c r="F14" s="197">
        <f>G4</f>
        <v>1.00952</v>
      </c>
      <c r="G14" s="197">
        <v>0.05</v>
      </c>
      <c r="H14" s="15">
        <f>C14*((F14+G14)^A14-1)</f>
        <v>85419390.898682237</v>
      </c>
      <c r="I14" s="15">
        <f>H14+I13</f>
        <v>126894778.80396225</v>
      </c>
    </row>
    <row r="15" spans="1:9" ht="15" customHeight="1">
      <c r="A15" s="39">
        <v>3</v>
      </c>
      <c r="B15" s="18" t="s">
        <v>865</v>
      </c>
      <c r="C15" s="15" t="e">
        <f>'TH kinh phí'!M71-SUM(C13:C14)</f>
        <v>#REF!</v>
      </c>
      <c r="D15" s="15">
        <v>0</v>
      </c>
      <c r="E15" s="15" t="e">
        <f>C15-D15</f>
        <v>#REF!</v>
      </c>
      <c r="F15" s="197">
        <f>G4</f>
        <v>1.00952</v>
      </c>
      <c r="G15" s="197">
        <v>0.05</v>
      </c>
      <c r="H15" s="15" t="e">
        <f>C15*((F15+G15)^A15-1)</f>
        <v>#REF!</v>
      </c>
      <c r="I15" s="15" t="e">
        <f>H15+I14</f>
        <v>#REF!</v>
      </c>
    </row>
    <row r="16" spans="1:9" ht="22.5" customHeight="1">
      <c r="A16" s="1038" t="s">
        <v>779</v>
      </c>
      <c r="B16" s="994"/>
      <c r="C16" s="198" t="e">
        <f>SUM(C13:C15)</f>
        <v>#REF!</v>
      </c>
      <c r="D16" s="198">
        <f>SUM(D13:D15)</f>
        <v>0</v>
      </c>
      <c r="E16" s="198" t="e">
        <f>SUM(E13:E15)</f>
        <v>#REF!</v>
      </c>
      <c r="F16" s="30"/>
      <c r="G16" s="30"/>
      <c r="H16" s="1039" t="e">
        <f>SUM(H13:H15)</f>
        <v>#REF!</v>
      </c>
      <c r="I16" s="994"/>
    </row>
  </sheetData>
  <mergeCells count="11">
    <mergeCell ref="G11:G12"/>
    <mergeCell ref="A16:B16"/>
    <mergeCell ref="H16:I16"/>
    <mergeCell ref="A2:G2"/>
    <mergeCell ref="A1:I1"/>
    <mergeCell ref="G4:G8"/>
    <mergeCell ref="A9:I9"/>
    <mergeCell ref="A10:I10"/>
    <mergeCell ref="A11:A12"/>
    <mergeCell ref="B11:B12"/>
    <mergeCell ref="F11:F12"/>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92"/>
  <sheetViews>
    <sheetView zoomScaleNormal="100" zoomScaleSheetLayoutView="80" workbookViewId="0">
      <selection activeCell="A101" sqref="A101:I101"/>
    </sheetView>
  </sheetViews>
  <sheetFormatPr defaultColWidth="10" defaultRowHeight="15" customHeight="1"/>
  <cols>
    <col min="1" max="1" width="6.6640625" customWidth="1"/>
    <col min="2" max="2" width="56.6640625" customWidth="1"/>
    <col min="3" max="3" width="10" customWidth="1"/>
    <col min="4" max="4" width="19.1640625" hidden="1" customWidth="1"/>
    <col min="5" max="5" width="6.6640625" hidden="1" customWidth="1"/>
    <col min="6" max="6" width="30" customWidth="1"/>
    <col min="7" max="7" width="20.33203125" customWidth="1"/>
    <col min="8" max="8" width="18.33203125" customWidth="1"/>
    <col min="9" max="9" width="20.83203125" customWidth="1"/>
    <col min="10" max="10" width="10" style="234" hidden="1" customWidth="1"/>
    <col min="11" max="11" width="17.6640625" style="274" customWidth="1"/>
    <col min="12" max="12" width="20.1640625" style="274" customWidth="1"/>
    <col min="13" max="13" width="15" style="209" customWidth="1"/>
    <col min="14" max="16" width="15" style="235" customWidth="1"/>
  </cols>
  <sheetData>
    <row r="1" spans="1:16" ht="21.75" customHeight="1">
      <c r="A1" s="981" t="s">
        <v>1329</v>
      </c>
      <c r="B1" s="982"/>
      <c r="C1" s="982"/>
      <c r="D1" s="982"/>
      <c r="E1" s="982"/>
      <c r="F1" s="982"/>
      <c r="G1" s="982"/>
      <c r="H1" s="982"/>
      <c r="I1" s="982"/>
    </row>
    <row r="2" spans="1:16" ht="32.25" customHeight="1">
      <c r="A2" s="983" t="s">
        <v>1202</v>
      </c>
      <c r="B2" s="1021"/>
      <c r="C2" s="1021"/>
      <c r="D2" s="1021"/>
      <c r="E2" s="1021"/>
      <c r="F2" s="1021"/>
      <c r="G2" s="1021"/>
      <c r="H2" s="1021"/>
      <c r="I2" s="1021"/>
    </row>
    <row r="3" spans="1:16" ht="18.75" customHeight="1">
      <c r="A3" s="1047" t="str">
        <f>"Đơn vị tính:  "&amp;'Công trình'!AL1</f>
        <v>Đơn vị tính:  (đ)</v>
      </c>
      <c r="B3" s="982"/>
      <c r="C3" s="982"/>
      <c r="D3" s="982"/>
      <c r="E3" s="982"/>
      <c r="F3" s="982"/>
      <c r="G3" s="982"/>
      <c r="H3" s="982"/>
      <c r="I3" s="982"/>
      <c r="N3" s="1046" t="s">
        <v>867</v>
      </c>
      <c r="O3" s="1046"/>
      <c r="P3" s="1046"/>
    </row>
    <row r="4" spans="1:16" ht="28.5" customHeight="1">
      <c r="A4" s="190" t="s">
        <v>4</v>
      </c>
      <c r="B4" s="191" t="s">
        <v>868</v>
      </c>
      <c r="C4" s="191" t="s">
        <v>628</v>
      </c>
      <c r="D4" s="191" t="s">
        <v>649</v>
      </c>
      <c r="E4" s="191" t="s">
        <v>360</v>
      </c>
      <c r="F4" s="191" t="s">
        <v>784</v>
      </c>
      <c r="G4" s="191" t="s">
        <v>869</v>
      </c>
      <c r="H4" s="191" t="s">
        <v>870</v>
      </c>
      <c r="I4" s="191" t="s">
        <v>871</v>
      </c>
      <c r="M4" s="200">
        <v>0.1</v>
      </c>
      <c r="N4" s="199" t="s">
        <v>872</v>
      </c>
      <c r="O4" s="199" t="s">
        <v>873</v>
      </c>
      <c r="P4" s="199" t="s">
        <v>874</v>
      </c>
    </row>
    <row r="5" spans="1:16" ht="30.75" hidden="1" customHeight="1">
      <c r="A5" s="201" t="s">
        <v>786</v>
      </c>
      <c r="B5" s="202" t="s">
        <v>875</v>
      </c>
      <c r="C5" s="203" t="s">
        <v>876</v>
      </c>
      <c r="D5" s="204"/>
      <c r="E5" s="205"/>
      <c r="F5" s="206" t="s">
        <v>369</v>
      </c>
      <c r="G5" s="207"/>
      <c r="H5" s="207">
        <f>ROUND(M4*G5,0)</f>
        <v>0</v>
      </c>
      <c r="I5" s="207">
        <f>G5+H5</f>
        <v>0</v>
      </c>
      <c r="J5" s="208" t="s">
        <v>877</v>
      </c>
      <c r="K5" s="275"/>
      <c r="L5" s="275"/>
      <c r="M5" s="209">
        <v>1</v>
      </c>
    </row>
    <row r="6" spans="1:16" ht="20.25" customHeight="1">
      <c r="A6" s="201" t="s">
        <v>786</v>
      </c>
      <c r="B6" s="202" t="s">
        <v>878</v>
      </c>
      <c r="C6" s="203" t="s">
        <v>879</v>
      </c>
      <c r="D6" s="204"/>
      <c r="E6" s="205"/>
      <c r="F6" s="206" t="s">
        <v>369</v>
      </c>
      <c r="G6" s="207" t="e">
        <f>G7+G9</f>
        <v>#REF!</v>
      </c>
      <c r="H6" s="207" t="e">
        <f>H7+H9</f>
        <v>#REF!</v>
      </c>
      <c r="I6" s="207" t="e">
        <f>ROUND(I7+I9,-3)</f>
        <v>#REF!</v>
      </c>
      <c r="J6" s="208" t="s">
        <v>830</v>
      </c>
      <c r="K6" s="276">
        <v>2084697000</v>
      </c>
      <c r="L6" s="276" t="e">
        <f>I6-K6</f>
        <v>#REF!</v>
      </c>
      <c r="M6" s="209">
        <v>1</v>
      </c>
      <c r="N6" s="210" t="e">
        <f>N7+N9</f>
        <v>#REF!</v>
      </c>
      <c r="O6" s="210" t="e">
        <f>O7+O9</f>
        <v>#REF!</v>
      </c>
      <c r="P6" s="210" t="e">
        <f>P7+P9</f>
        <v>#REF!</v>
      </c>
    </row>
    <row r="7" spans="1:16" ht="30.75" customHeight="1">
      <c r="A7" s="211" t="s">
        <v>880</v>
      </c>
      <c r="B7" s="212" t="s">
        <v>881</v>
      </c>
      <c r="C7" s="213" t="s">
        <v>830</v>
      </c>
      <c r="D7" s="214"/>
      <c r="E7" s="215"/>
      <c r="F7" s="216" t="s">
        <v>369</v>
      </c>
      <c r="G7" s="217" t="e">
        <f>SUM(G8:G8)</f>
        <v>#REF!</v>
      </c>
      <c r="H7" s="217" t="e">
        <f>SUM(H8:H8)</f>
        <v>#REF!</v>
      </c>
      <c r="I7" s="217" t="e">
        <f>G7+H7</f>
        <v>#REF!</v>
      </c>
      <c r="J7" s="208" t="s">
        <v>882</v>
      </c>
      <c r="K7" s="275"/>
      <c r="L7" s="275"/>
      <c r="M7" s="218" t="e">
        <f>G7+G58</f>
        <v>#REF!</v>
      </c>
      <c r="N7" s="210" t="e">
        <f>SUM(N8:N8)</f>
        <v>#REF!</v>
      </c>
      <c r="O7" s="210" t="e">
        <f>SUM(O8:O8)</f>
        <v>#REF!</v>
      </c>
      <c r="P7" s="210" t="e">
        <f>SUM(P8:P8)</f>
        <v>#REF!</v>
      </c>
    </row>
    <row r="8" spans="1:16" ht="26.25" hidden="1" customHeight="1">
      <c r="A8" s="219"/>
      <c r="B8" s="220" t="str">
        <f>"+ "&amp;'Công trình'!F6</f>
        <v>+ SỬA CHỮA NỀN MẶT ĐƯỜNG, HỆ THỐNG THOÁT NƯỚC</v>
      </c>
      <c r="C8" s="221" t="s">
        <v>883</v>
      </c>
      <c r="D8" s="222"/>
      <c r="E8" s="223"/>
      <c r="F8" s="224"/>
      <c r="G8" s="150" t="e">
        <f>ROUND('TH chi phí XD'!C5,0)</f>
        <v>#REF!</v>
      </c>
      <c r="H8" s="150" t="e">
        <f>ROUND(G8*HSXL!D17,0)</f>
        <v>#REF!</v>
      </c>
      <c r="I8" s="150" t="e">
        <f>G8+H8</f>
        <v>#REF!</v>
      </c>
      <c r="J8" s="208"/>
      <c r="K8" s="275"/>
      <c r="L8" s="275"/>
      <c r="N8" s="210" t="e">
        <f>G8</f>
        <v>#REF!</v>
      </c>
      <c r="O8" s="210" t="e">
        <f>G8</f>
        <v>#REF!</v>
      </c>
      <c r="P8" s="210" t="e">
        <f>G8</f>
        <v>#REF!</v>
      </c>
    </row>
    <row r="9" spans="1:16" ht="30.75" hidden="1" customHeight="1">
      <c r="A9" s="211" t="s">
        <v>884</v>
      </c>
      <c r="B9" s="212" t="s">
        <v>885</v>
      </c>
      <c r="C9" s="213" t="s">
        <v>886</v>
      </c>
      <c r="D9" s="214"/>
      <c r="E9" s="215"/>
      <c r="F9" s="216" t="s">
        <v>369</v>
      </c>
      <c r="G9" s="217">
        <f>ROUND(I9/(1+0.1),0)</f>
        <v>0</v>
      </c>
      <c r="H9" s="217">
        <f>ROUND(G9*0.1,0)</f>
        <v>0</v>
      </c>
      <c r="I9" s="217"/>
      <c r="J9" s="208" t="s">
        <v>887</v>
      </c>
      <c r="K9" s="275"/>
      <c r="L9" s="275"/>
      <c r="M9" s="209">
        <v>1</v>
      </c>
    </row>
    <row r="10" spans="1:16" ht="16.5" hidden="1" customHeight="1">
      <c r="A10" s="201" t="s">
        <v>797</v>
      </c>
      <c r="B10" s="202" t="s">
        <v>888</v>
      </c>
      <c r="C10" s="203" t="s">
        <v>889</v>
      </c>
      <c r="D10" s="204"/>
      <c r="E10" s="205"/>
      <c r="F10" s="206" t="s">
        <v>369</v>
      </c>
      <c r="G10" s="207"/>
      <c r="H10" s="207"/>
      <c r="I10" s="207">
        <f>G10+H10</f>
        <v>0</v>
      </c>
      <c r="J10" s="208" t="s">
        <v>889</v>
      </c>
      <c r="K10" s="275"/>
      <c r="L10" s="275"/>
      <c r="M10" s="209">
        <v>1</v>
      </c>
      <c r="N10" s="210">
        <f>SUM(N15:N15)</f>
        <v>0</v>
      </c>
      <c r="O10" s="210">
        <f>SUM(O15:O15)</f>
        <v>0</v>
      </c>
      <c r="P10" s="210">
        <f>SUM(P15:P15)</f>
        <v>0</v>
      </c>
    </row>
    <row r="11" spans="1:16" ht="16.5" hidden="1" customHeight="1">
      <c r="A11" s="201" t="s">
        <v>890</v>
      </c>
      <c r="B11" s="202" t="s">
        <v>891</v>
      </c>
      <c r="C11" s="203"/>
      <c r="D11" s="204"/>
      <c r="E11" s="205"/>
      <c r="F11" s="206" t="s">
        <v>369</v>
      </c>
      <c r="G11" s="207"/>
      <c r="H11" s="207"/>
      <c r="I11" s="207"/>
      <c r="J11" s="208" t="s">
        <v>892</v>
      </c>
      <c r="K11" s="275"/>
      <c r="L11" s="275"/>
      <c r="M11" s="209">
        <v>1</v>
      </c>
    </row>
    <row r="12" spans="1:16" ht="16.5" hidden="1" customHeight="1">
      <c r="A12" s="211"/>
      <c r="B12" s="212" t="s">
        <v>893</v>
      </c>
      <c r="C12" s="213"/>
      <c r="D12" s="214"/>
      <c r="E12" s="215"/>
      <c r="F12" s="216" t="s">
        <v>369</v>
      </c>
      <c r="G12" s="217"/>
      <c r="H12" s="217"/>
      <c r="I12" s="217">
        <f>G12+H12</f>
        <v>0</v>
      </c>
      <c r="J12" s="208" t="s">
        <v>894</v>
      </c>
      <c r="K12" s="275"/>
      <c r="L12" s="275"/>
      <c r="M12" s="209">
        <v>1</v>
      </c>
    </row>
    <row r="13" spans="1:16" ht="30.75" hidden="1" customHeight="1">
      <c r="A13" s="211"/>
      <c r="B13" s="212" t="s">
        <v>895</v>
      </c>
      <c r="C13" s="213"/>
      <c r="D13" s="214"/>
      <c r="E13" s="215"/>
      <c r="F13" s="216" t="s">
        <v>369</v>
      </c>
      <c r="G13" s="217"/>
      <c r="H13" s="217"/>
      <c r="I13" s="217">
        <f>G13+H13</f>
        <v>0</v>
      </c>
      <c r="J13" s="208" t="s">
        <v>896</v>
      </c>
      <c r="K13" s="275"/>
      <c r="L13" s="275"/>
      <c r="M13" s="209">
        <v>1</v>
      </c>
    </row>
    <row r="14" spans="1:16" ht="30.75" hidden="1" customHeight="1">
      <c r="A14" s="201" t="s">
        <v>897</v>
      </c>
      <c r="B14" s="202" t="s">
        <v>898</v>
      </c>
      <c r="C14" s="203"/>
      <c r="D14" s="204"/>
      <c r="E14" s="205"/>
      <c r="F14" s="206" t="s">
        <v>369</v>
      </c>
      <c r="G14" s="207"/>
      <c r="H14" s="207"/>
      <c r="I14" s="207"/>
      <c r="J14" s="208" t="s">
        <v>899</v>
      </c>
      <c r="K14" s="275"/>
      <c r="L14" s="275"/>
      <c r="M14" s="209">
        <v>1</v>
      </c>
    </row>
    <row r="15" spans="1:16" ht="26.25" hidden="1" customHeight="1">
      <c r="A15" s="219"/>
      <c r="B15" s="220" t="str">
        <f>"+ "&amp;'Công trình'!F6</f>
        <v>+ SỬA CHỮA NỀN MẶT ĐƯỜNG, HỆ THỐNG THOÁT NƯỚC</v>
      </c>
      <c r="C15" s="221" t="s">
        <v>900</v>
      </c>
      <c r="D15" s="222"/>
      <c r="E15" s="223"/>
      <c r="F15" s="224"/>
      <c r="G15" s="150"/>
      <c r="H15" s="150">
        <f>ROUND(G15*HSXL!D17,0)</f>
        <v>0</v>
      </c>
      <c r="I15" s="150">
        <f>G15+H15</f>
        <v>0</v>
      </c>
      <c r="J15" s="208"/>
      <c r="K15" s="275"/>
      <c r="L15" s="275"/>
      <c r="N15" s="210">
        <f>G15</f>
        <v>0</v>
      </c>
      <c r="O15" s="210">
        <f>G15</f>
        <v>0</v>
      </c>
      <c r="P15" s="210">
        <f>G15</f>
        <v>0</v>
      </c>
    </row>
    <row r="16" spans="1:16" ht="23.25" customHeight="1">
      <c r="A16" s="201" t="s">
        <v>797</v>
      </c>
      <c r="B16" s="202" t="s">
        <v>901</v>
      </c>
      <c r="C16" s="203" t="s">
        <v>902</v>
      </c>
      <c r="D16" s="204">
        <f>'Định mức tư vấn'!E3</f>
        <v>3.024E-2</v>
      </c>
      <c r="E16" s="205"/>
      <c r="F16" s="206" t="s">
        <v>1332</v>
      </c>
      <c r="G16" s="207" t="e">
        <f>ROUND(D16*(P7+P10),0)</f>
        <v>#REF!</v>
      </c>
      <c r="H16" s="207" t="e">
        <f>ROUND(M4*G16,0)</f>
        <v>#REF!</v>
      </c>
      <c r="I16" s="207" t="e">
        <f>ROUND(G16+H16,-3)</f>
        <v>#REF!</v>
      </c>
      <c r="J16" s="208" t="s">
        <v>902</v>
      </c>
      <c r="K16" s="276">
        <v>63041000</v>
      </c>
      <c r="L16" s="276" t="e">
        <f>I16-K16</f>
        <v>#REF!</v>
      </c>
      <c r="M16" s="209">
        <v>1</v>
      </c>
    </row>
    <row r="17" spans="1:13" ht="57.75" hidden="1" customHeight="1">
      <c r="A17" s="201" t="s">
        <v>801</v>
      </c>
      <c r="B17" s="202" t="s">
        <v>903</v>
      </c>
      <c r="C17" s="203" t="s">
        <v>902</v>
      </c>
      <c r="D17" s="204"/>
      <c r="E17" s="205"/>
      <c r="F17" s="206" t="s">
        <v>369</v>
      </c>
      <c r="G17" s="207"/>
      <c r="H17" s="207">
        <f>ROUND(M4*G17,0)</f>
        <v>0</v>
      </c>
      <c r="I17" s="207">
        <f>G17+H17</f>
        <v>0</v>
      </c>
      <c r="J17" s="208" t="s">
        <v>904</v>
      </c>
      <c r="K17" s="275"/>
      <c r="L17" s="275"/>
      <c r="M17" s="209">
        <v>1</v>
      </c>
    </row>
    <row r="18" spans="1:13" ht="22.5" customHeight="1">
      <c r="A18" s="201" t="s">
        <v>801</v>
      </c>
      <c r="B18" s="202" t="s">
        <v>906</v>
      </c>
      <c r="C18" s="203" t="s">
        <v>907</v>
      </c>
      <c r="D18" s="204"/>
      <c r="E18" s="205"/>
      <c r="F18" s="206" t="s">
        <v>1340</v>
      </c>
      <c r="G18" s="207" t="e">
        <f>SUMIF(M19:M55,1,G19:G55)</f>
        <v>#REF!</v>
      </c>
      <c r="H18" s="207" t="e">
        <f>SUMIF(M19:M55,1,H19:H55)</f>
        <v>#REF!</v>
      </c>
      <c r="I18" s="207" t="e">
        <f>ROUND(SUMIF(M19:M55,1,I19:I55),-3)</f>
        <v>#REF!</v>
      </c>
      <c r="J18" s="208" t="s">
        <v>907</v>
      </c>
      <c r="K18" s="276">
        <v>224023000</v>
      </c>
      <c r="L18" s="276" t="e">
        <f>I18-K18</f>
        <v>#REF!</v>
      </c>
      <c r="M18" s="209">
        <v>1</v>
      </c>
    </row>
    <row r="19" spans="1:13" ht="21.75" customHeight="1">
      <c r="A19" s="211" t="s">
        <v>1121</v>
      </c>
      <c r="B19" s="212" t="s">
        <v>1352</v>
      </c>
      <c r="C19" s="213" t="s">
        <v>909</v>
      </c>
      <c r="D19" s="214"/>
      <c r="E19" s="215"/>
      <c r="F19" s="216" t="s">
        <v>369</v>
      </c>
      <c r="G19" s="217">
        <v>39691779</v>
      </c>
      <c r="H19" s="217">
        <f>ROUND(M4*G19,0)</f>
        <v>3969178</v>
      </c>
      <c r="I19" s="217">
        <f>G19+H19</f>
        <v>43660957</v>
      </c>
      <c r="J19" s="208" t="s">
        <v>910</v>
      </c>
      <c r="K19" s="275"/>
      <c r="L19" s="275"/>
      <c r="M19" s="209">
        <v>1</v>
      </c>
    </row>
    <row r="20" spans="1:13" ht="16.5" hidden="1" customHeight="1">
      <c r="A20" s="211"/>
      <c r="B20" s="212" t="s">
        <v>911</v>
      </c>
      <c r="C20" s="213" t="s">
        <v>912</v>
      </c>
      <c r="D20" s="214">
        <v>0.03</v>
      </c>
      <c r="E20" s="215"/>
      <c r="F20" s="216" t="str">
        <f>D20*100&amp;"%*"&amp;C19</f>
        <v>3%*Gtv1</v>
      </c>
      <c r="G20" s="217"/>
      <c r="H20" s="217">
        <f>ROUND(M4*G20,0)</f>
        <v>0</v>
      </c>
      <c r="I20" s="217">
        <f>G20+H20</f>
        <v>0</v>
      </c>
      <c r="J20" s="208" t="s">
        <v>913</v>
      </c>
      <c r="K20" s="275"/>
      <c r="L20" s="275"/>
      <c r="M20" s="209">
        <v>1</v>
      </c>
    </row>
    <row r="21" spans="1:13" ht="30.75" hidden="1" customHeight="1">
      <c r="A21" s="211"/>
      <c r="B21" s="212" t="s">
        <v>914</v>
      </c>
      <c r="C21" s="213" t="s">
        <v>915</v>
      </c>
      <c r="D21" s="214"/>
      <c r="E21" s="215"/>
      <c r="F21" s="216" t="str">
        <f>D21*100&amp;"%*"&amp;C19</f>
        <v>0%*Gtv1</v>
      </c>
      <c r="G21" s="217"/>
      <c r="H21" s="217">
        <f>ROUND(M4*G21,0)</f>
        <v>0</v>
      </c>
      <c r="I21" s="217">
        <f>G21+H21</f>
        <v>0</v>
      </c>
      <c r="J21" s="208" t="s">
        <v>916</v>
      </c>
      <c r="K21" s="275"/>
      <c r="L21" s="275"/>
      <c r="M21" s="209">
        <v>1</v>
      </c>
    </row>
    <row r="22" spans="1:13" ht="16.5" hidden="1" customHeight="1">
      <c r="A22" s="211"/>
      <c r="B22" s="212" t="s">
        <v>917</v>
      </c>
      <c r="C22" s="213" t="s">
        <v>918</v>
      </c>
      <c r="D22" s="214"/>
      <c r="E22" s="215"/>
      <c r="F22" s="216" t="s">
        <v>369</v>
      </c>
      <c r="G22" s="217"/>
      <c r="H22" s="217">
        <f>ROUND(M4*G22,0)</f>
        <v>0</v>
      </c>
      <c r="I22" s="217"/>
      <c r="J22" s="208" t="s">
        <v>919</v>
      </c>
      <c r="K22" s="275"/>
      <c r="L22" s="275"/>
      <c r="M22" s="209">
        <v>1</v>
      </c>
    </row>
    <row r="23" spans="1:13" ht="30.75" hidden="1" customHeight="1">
      <c r="A23" s="211"/>
      <c r="B23" s="212" t="s">
        <v>920</v>
      </c>
      <c r="C23" s="213" t="s">
        <v>921</v>
      </c>
      <c r="D23" s="214"/>
      <c r="E23" s="215"/>
      <c r="F23" s="216" t="s">
        <v>369</v>
      </c>
      <c r="G23" s="217"/>
      <c r="H23" s="217">
        <f>ROUND(M4*G23,0)</f>
        <v>0</v>
      </c>
      <c r="I23" s="217"/>
      <c r="J23" s="208" t="s">
        <v>922</v>
      </c>
      <c r="K23" s="275"/>
      <c r="L23" s="275"/>
      <c r="M23" s="209">
        <v>1</v>
      </c>
    </row>
    <row r="24" spans="1:13" ht="44.25" hidden="1" customHeight="1">
      <c r="A24" s="211"/>
      <c r="B24" s="212" t="s">
        <v>923</v>
      </c>
      <c r="C24" s="213" t="s">
        <v>924</v>
      </c>
      <c r="D24" s="214"/>
      <c r="E24" s="215"/>
      <c r="F24" s="216" t="s">
        <v>369</v>
      </c>
      <c r="G24" s="217"/>
      <c r="H24" s="217">
        <f>ROUND(M4*G24,0)</f>
        <v>0</v>
      </c>
      <c r="I24" s="217">
        <f t="shared" ref="I24:I55" si="0">G24+H24</f>
        <v>0</v>
      </c>
      <c r="J24" s="208" t="s">
        <v>925</v>
      </c>
      <c r="K24" s="275"/>
      <c r="L24" s="275"/>
      <c r="M24" s="209">
        <v>1</v>
      </c>
    </row>
    <row r="25" spans="1:13" ht="30.75" hidden="1" customHeight="1">
      <c r="A25" s="211"/>
      <c r="B25" s="212" t="s">
        <v>926</v>
      </c>
      <c r="C25" s="213" t="s">
        <v>927</v>
      </c>
      <c r="D25" s="214"/>
      <c r="E25" s="215"/>
      <c r="F25" s="216" t="s">
        <v>369</v>
      </c>
      <c r="G25" s="217"/>
      <c r="H25" s="217">
        <f>ROUND(M4*G25,0)</f>
        <v>0</v>
      </c>
      <c r="I25" s="217">
        <f t="shared" si="0"/>
        <v>0</v>
      </c>
      <c r="J25" s="208" t="s">
        <v>928</v>
      </c>
      <c r="K25" s="275"/>
      <c r="L25" s="275"/>
      <c r="M25" s="209">
        <v>1</v>
      </c>
    </row>
    <row r="26" spans="1:13" ht="16.5" hidden="1" customHeight="1">
      <c r="A26" s="211"/>
      <c r="B26" s="212" t="s">
        <v>929</v>
      </c>
      <c r="C26" s="213" t="s">
        <v>930</v>
      </c>
      <c r="D26" s="214"/>
      <c r="E26" s="215"/>
      <c r="F26" s="216" t="s">
        <v>369</v>
      </c>
      <c r="G26" s="217"/>
      <c r="H26" s="217">
        <f>ROUND(M4*G26,0)</f>
        <v>0</v>
      </c>
      <c r="I26" s="217">
        <f t="shared" si="0"/>
        <v>0</v>
      </c>
      <c r="J26" s="208" t="s">
        <v>931</v>
      </c>
      <c r="K26" s="275"/>
      <c r="L26" s="275"/>
      <c r="M26" s="209">
        <v>1</v>
      </c>
    </row>
    <row r="27" spans="1:13" ht="21" customHeight="1">
      <c r="A27" s="211" t="s">
        <v>1123</v>
      </c>
      <c r="B27" s="212" t="s">
        <v>933</v>
      </c>
      <c r="C27" s="213" t="s">
        <v>912</v>
      </c>
      <c r="D27" s="214" t="e">
        <f>'Định mức tư vấn'!E4</f>
        <v>#REF!</v>
      </c>
      <c r="E27" s="215"/>
      <c r="F27" s="216" t="s">
        <v>1351</v>
      </c>
      <c r="G27" s="217" t="e">
        <f>ROUND(D27*(N7+N10),0)</f>
        <v>#REF!</v>
      </c>
      <c r="H27" s="217" t="e">
        <f>ROUND(M4*G27,0)</f>
        <v>#REF!</v>
      </c>
      <c r="I27" s="217" t="e">
        <f t="shared" si="0"/>
        <v>#REF!</v>
      </c>
      <c r="J27" s="208" t="s">
        <v>934</v>
      </c>
      <c r="K27" s="275"/>
      <c r="L27" s="275"/>
      <c r="M27" s="209">
        <v>1</v>
      </c>
    </row>
    <row r="28" spans="1:13" ht="30.75" hidden="1" customHeight="1">
      <c r="A28" s="211"/>
      <c r="B28" s="212" t="s">
        <v>935</v>
      </c>
      <c r="C28" s="213" t="s">
        <v>936</v>
      </c>
      <c r="D28" s="214"/>
      <c r="E28" s="215"/>
      <c r="F28" s="216" t="s">
        <v>369</v>
      </c>
      <c r="G28" s="217"/>
      <c r="H28" s="217">
        <f>ROUND(M4*G28,0)</f>
        <v>0</v>
      </c>
      <c r="I28" s="217">
        <f t="shared" si="0"/>
        <v>0</v>
      </c>
      <c r="J28" s="208" t="s">
        <v>937</v>
      </c>
      <c r="K28" s="275"/>
      <c r="L28" s="275"/>
      <c r="M28" s="209">
        <v>1</v>
      </c>
    </row>
    <row r="29" spans="1:13" ht="30.75" hidden="1" customHeight="1">
      <c r="A29" s="211"/>
      <c r="B29" s="212" t="s">
        <v>938</v>
      </c>
      <c r="C29" s="213" t="s">
        <v>939</v>
      </c>
      <c r="D29" s="214"/>
      <c r="E29" s="215"/>
      <c r="F29" s="216" t="s">
        <v>369</v>
      </c>
      <c r="G29" s="217"/>
      <c r="H29" s="217">
        <f>ROUND(M4*G29,0)</f>
        <v>0</v>
      </c>
      <c r="I29" s="217">
        <f t="shared" si="0"/>
        <v>0</v>
      </c>
      <c r="J29" s="208" t="s">
        <v>940</v>
      </c>
      <c r="K29" s="275"/>
      <c r="L29" s="275"/>
      <c r="M29" s="209">
        <v>1</v>
      </c>
    </row>
    <row r="30" spans="1:13" ht="16.5" hidden="1" customHeight="1">
      <c r="A30" s="211"/>
      <c r="B30" s="212" t="s">
        <v>941</v>
      </c>
      <c r="C30" s="213" t="s">
        <v>942</v>
      </c>
      <c r="D30" s="214">
        <v>0.2</v>
      </c>
      <c r="E30" s="215"/>
      <c r="F30" s="216" t="str">
        <f>D30*100&amp;"%*"&amp;C29</f>
        <v>20%*Gtv11</v>
      </c>
      <c r="G30" s="217"/>
      <c r="H30" s="217">
        <f>ROUND(M4*G30,0)</f>
        <v>0</v>
      </c>
      <c r="I30" s="217">
        <f t="shared" si="0"/>
        <v>0</v>
      </c>
      <c r="J30" s="208" t="s">
        <v>943</v>
      </c>
      <c r="K30" s="275"/>
      <c r="L30" s="275"/>
      <c r="M30" s="209">
        <v>1</v>
      </c>
    </row>
    <row r="31" spans="1:13" ht="30.75" customHeight="1">
      <c r="A31" s="211" t="s">
        <v>1333</v>
      </c>
      <c r="B31" s="212" t="s">
        <v>945</v>
      </c>
      <c r="C31" s="213" t="s">
        <v>915</v>
      </c>
      <c r="D31" s="214">
        <f>'Định mức tư vấn'!E6</f>
        <v>1.6999999999999999E-3</v>
      </c>
      <c r="E31" s="215"/>
      <c r="F31" s="216" t="str">
        <f>D31*100&amp;"% x "&amp;C7</f>
        <v>0,17% x Gxd</v>
      </c>
      <c r="G31" s="217" t="e">
        <f>ROUND(D31*P7,0)</f>
        <v>#REF!</v>
      </c>
      <c r="H31" s="217" t="e">
        <f>ROUND(M4*G31,0)</f>
        <v>#REF!</v>
      </c>
      <c r="I31" s="217" t="e">
        <f t="shared" si="0"/>
        <v>#REF!</v>
      </c>
      <c r="J31" s="208" t="s">
        <v>946</v>
      </c>
      <c r="K31" s="275"/>
      <c r="L31" s="275"/>
      <c r="M31" s="209">
        <v>1</v>
      </c>
    </row>
    <row r="32" spans="1:13" ht="30.75" customHeight="1">
      <c r="A32" s="211" t="s">
        <v>1334</v>
      </c>
      <c r="B32" s="212" t="s">
        <v>947</v>
      </c>
      <c r="C32" s="213" t="s">
        <v>918</v>
      </c>
      <c r="D32" s="214">
        <f>'Định mức tư vấn'!E7</f>
        <v>1.66E-3</v>
      </c>
      <c r="E32" s="215"/>
      <c r="F32" s="216" t="str">
        <f>D32*100&amp;"% x "&amp;C7</f>
        <v>0,166% x Gxd</v>
      </c>
      <c r="G32" s="217" t="e">
        <f>ROUND(D32*P7,0)</f>
        <v>#REF!</v>
      </c>
      <c r="H32" s="217" t="e">
        <f>ROUND(M4*G32,0)</f>
        <v>#REF!</v>
      </c>
      <c r="I32" s="217" t="e">
        <f t="shared" si="0"/>
        <v>#REF!</v>
      </c>
      <c r="J32" s="208" t="s">
        <v>948</v>
      </c>
      <c r="K32" s="275"/>
      <c r="L32" s="275"/>
      <c r="M32" s="209">
        <v>1</v>
      </c>
    </row>
    <row r="33" spans="1:13" ht="30.75" hidden="1" customHeight="1">
      <c r="A33" s="211"/>
      <c r="B33" s="212" t="s">
        <v>949</v>
      </c>
      <c r="C33" s="213" t="s">
        <v>950</v>
      </c>
      <c r="D33" s="214"/>
      <c r="E33" s="215"/>
      <c r="F33" s="216" t="str">
        <f>D33*100&amp;"%*"&amp;C29</f>
        <v>0%*Gtv11</v>
      </c>
      <c r="G33" s="217"/>
      <c r="H33" s="217">
        <f>ROUND(M4*G33,0)</f>
        <v>0</v>
      </c>
      <c r="I33" s="217">
        <f t="shared" si="0"/>
        <v>0</v>
      </c>
      <c r="J33" s="208" t="s">
        <v>951</v>
      </c>
      <c r="K33" s="275"/>
      <c r="L33" s="275"/>
      <c r="M33" s="209">
        <v>1</v>
      </c>
    </row>
    <row r="34" spans="1:13" ht="30.75" hidden="1" customHeight="1">
      <c r="A34" s="211"/>
      <c r="B34" s="212" t="s">
        <v>952</v>
      </c>
      <c r="C34" s="213" t="s">
        <v>953</v>
      </c>
      <c r="D34" s="214"/>
      <c r="E34" s="215"/>
      <c r="F34" s="216" t="str">
        <f>D34*100&amp;"%*("&amp;C31&amp;"+"&amp;C32&amp;")"</f>
        <v>0%*(Gtv3+Gtv4)</v>
      </c>
      <c r="G34" s="217"/>
      <c r="H34" s="217">
        <f>ROUND(M4*G34,0)</f>
        <v>0</v>
      </c>
      <c r="I34" s="217">
        <f t="shared" si="0"/>
        <v>0</v>
      </c>
      <c r="J34" s="208" t="s">
        <v>954</v>
      </c>
      <c r="K34" s="275"/>
      <c r="L34" s="275"/>
      <c r="M34" s="209">
        <v>1</v>
      </c>
    </row>
    <row r="35" spans="1:13" ht="16.5" hidden="1" customHeight="1">
      <c r="A35" s="211"/>
      <c r="B35" s="212" t="s">
        <v>955</v>
      </c>
      <c r="C35" s="213" t="s">
        <v>956</v>
      </c>
      <c r="D35" s="214"/>
      <c r="E35" s="215"/>
      <c r="F35" s="216" t="s">
        <v>369</v>
      </c>
      <c r="G35" s="217"/>
      <c r="H35" s="217">
        <f>ROUND(M4*G35,0)</f>
        <v>0</v>
      </c>
      <c r="I35" s="217">
        <f t="shared" si="0"/>
        <v>0</v>
      </c>
      <c r="J35" s="208" t="s">
        <v>957</v>
      </c>
      <c r="K35" s="275"/>
      <c r="L35" s="275"/>
      <c r="M35" s="209">
        <v>1</v>
      </c>
    </row>
    <row r="36" spans="1:13" ht="16.5" hidden="1" customHeight="1">
      <c r="A36" s="211"/>
      <c r="B36" s="212" t="s">
        <v>958</v>
      </c>
      <c r="C36" s="213" t="s">
        <v>959</v>
      </c>
      <c r="D36" s="214"/>
      <c r="E36" s="215"/>
      <c r="F36" s="216" t="s">
        <v>369</v>
      </c>
      <c r="G36" s="217"/>
      <c r="H36" s="217">
        <f>ROUND(M4*G36,0)</f>
        <v>0</v>
      </c>
      <c r="I36" s="217">
        <f t="shared" si="0"/>
        <v>0</v>
      </c>
      <c r="J36" s="208" t="s">
        <v>960</v>
      </c>
      <c r="K36" s="275"/>
      <c r="L36" s="275"/>
      <c r="M36" s="209">
        <v>1</v>
      </c>
    </row>
    <row r="37" spans="1:13" ht="16.5" hidden="1" customHeight="1">
      <c r="A37" s="211"/>
      <c r="B37" s="212" t="s">
        <v>961</v>
      </c>
      <c r="C37" s="213" t="s">
        <v>962</v>
      </c>
      <c r="D37" s="214"/>
      <c r="E37" s="215"/>
      <c r="F37" s="216" t="s">
        <v>369</v>
      </c>
      <c r="G37" s="217"/>
      <c r="H37" s="217">
        <f>ROUND(M4*G37,0)</f>
        <v>0</v>
      </c>
      <c r="I37" s="217">
        <f t="shared" si="0"/>
        <v>0</v>
      </c>
      <c r="J37" s="208" t="s">
        <v>963</v>
      </c>
      <c r="K37" s="275"/>
      <c r="L37" s="275"/>
      <c r="M37" s="209">
        <v>1</v>
      </c>
    </row>
    <row r="38" spans="1:13" ht="16.5" hidden="1" customHeight="1">
      <c r="A38" s="211"/>
      <c r="B38" s="212" t="s">
        <v>964</v>
      </c>
      <c r="C38" s="213" t="s">
        <v>965</v>
      </c>
      <c r="D38" s="214"/>
      <c r="E38" s="215"/>
      <c r="F38" s="216" t="s">
        <v>369</v>
      </c>
      <c r="G38" s="217"/>
      <c r="H38" s="217">
        <f>ROUND(M4*G38,0)</f>
        <v>0</v>
      </c>
      <c r="I38" s="217">
        <f t="shared" si="0"/>
        <v>0</v>
      </c>
      <c r="J38" s="208" t="s">
        <v>966</v>
      </c>
      <c r="K38" s="275"/>
      <c r="L38" s="275"/>
      <c r="M38" s="209">
        <v>1</v>
      </c>
    </row>
    <row r="39" spans="1:13" ht="16.5" hidden="1" customHeight="1">
      <c r="A39" s="211"/>
      <c r="B39" s="212" t="s">
        <v>967</v>
      </c>
      <c r="C39" s="213" t="s">
        <v>968</v>
      </c>
      <c r="D39" s="214"/>
      <c r="E39" s="215"/>
      <c r="F39" s="216" t="s">
        <v>369</v>
      </c>
      <c r="G39" s="217"/>
      <c r="H39" s="217">
        <f>ROUND(M4*G39,0)</f>
        <v>0</v>
      </c>
      <c r="I39" s="217">
        <f t="shared" si="0"/>
        <v>0</v>
      </c>
      <c r="J39" s="208" t="s">
        <v>969</v>
      </c>
      <c r="K39" s="275"/>
      <c r="L39" s="275"/>
      <c r="M39" s="209">
        <v>1</v>
      </c>
    </row>
    <row r="40" spans="1:13" ht="16.5" hidden="1" customHeight="1">
      <c r="A40" s="211"/>
      <c r="B40" s="212" t="s">
        <v>970</v>
      </c>
      <c r="C40" s="213" t="s">
        <v>971</v>
      </c>
      <c r="D40" s="214"/>
      <c r="E40" s="215"/>
      <c r="F40" s="216" t="s">
        <v>369</v>
      </c>
      <c r="G40" s="217"/>
      <c r="H40" s="217">
        <f>ROUND(M4*G40,0)</f>
        <v>0</v>
      </c>
      <c r="I40" s="217">
        <f t="shared" si="0"/>
        <v>0</v>
      </c>
      <c r="J40" s="208" t="s">
        <v>972</v>
      </c>
      <c r="K40" s="275"/>
      <c r="L40" s="275"/>
      <c r="M40" s="209">
        <v>1</v>
      </c>
    </row>
    <row r="41" spans="1:13" ht="35.25" customHeight="1">
      <c r="A41" s="211" t="s">
        <v>1335</v>
      </c>
      <c r="B41" s="212" t="s">
        <v>973</v>
      </c>
      <c r="C41" s="213" t="s">
        <v>921</v>
      </c>
      <c r="D41" s="214">
        <f>'Định mức tư vấn'!E8</f>
        <v>3.46E-3</v>
      </c>
      <c r="E41" s="215"/>
      <c r="F41" s="216" t="str">
        <f>D41*100&amp;"% x "&amp;'Dự toán gói thầu'!F9&amp;"(Dự toán gói thầu)"</f>
        <v>0,346% x GXD(Dự toán gói thầu)</v>
      </c>
      <c r="G41" s="217" t="e">
        <f>ROUND(D41*'Dự toán gói thầu'!C9,0)</f>
        <v>#REF!</v>
      </c>
      <c r="H41" s="217" t="e">
        <f>ROUND(M4*G41,0)</f>
        <v>#REF!</v>
      </c>
      <c r="I41" s="217" t="e">
        <f t="shared" si="0"/>
        <v>#REF!</v>
      </c>
      <c r="J41" s="208" t="s">
        <v>974</v>
      </c>
      <c r="K41" s="275"/>
      <c r="L41" s="275"/>
      <c r="M41" s="209">
        <v>1</v>
      </c>
    </row>
    <row r="42" spans="1:13" ht="30.75" hidden="1" customHeight="1">
      <c r="A42" s="211"/>
      <c r="B42" s="212" t="s">
        <v>975</v>
      </c>
      <c r="C42" s="213" t="s">
        <v>976</v>
      </c>
      <c r="D42" s="214"/>
      <c r="E42" s="215"/>
      <c r="F42" s="216" t="s">
        <v>977</v>
      </c>
      <c r="G42" s="217"/>
      <c r="H42" s="217">
        <f>ROUND(M4*G42,0)</f>
        <v>0</v>
      </c>
      <c r="I42" s="217">
        <f t="shared" si="0"/>
        <v>0</v>
      </c>
      <c r="J42" s="208" t="s">
        <v>978</v>
      </c>
      <c r="K42" s="275"/>
      <c r="L42" s="275"/>
      <c r="M42" s="209">
        <v>1</v>
      </c>
    </row>
    <row r="43" spans="1:13" ht="44.25" hidden="1" customHeight="1">
      <c r="A43" s="211"/>
      <c r="B43" s="212" t="s">
        <v>979</v>
      </c>
      <c r="C43" s="213" t="s">
        <v>980</v>
      </c>
      <c r="D43" s="214"/>
      <c r="E43" s="215"/>
      <c r="F43" s="216" t="s">
        <v>981</v>
      </c>
      <c r="G43" s="217"/>
      <c r="H43" s="217">
        <f>ROUND(M4*G43,0)</f>
        <v>0</v>
      </c>
      <c r="I43" s="217">
        <f t="shared" si="0"/>
        <v>0</v>
      </c>
      <c r="J43" s="208" t="s">
        <v>982</v>
      </c>
      <c r="K43" s="275"/>
      <c r="L43" s="275"/>
      <c r="M43" s="209">
        <v>1</v>
      </c>
    </row>
    <row r="44" spans="1:13" ht="30.75" hidden="1" customHeight="1">
      <c r="A44" s="211"/>
      <c r="B44" s="212" t="s">
        <v>983</v>
      </c>
      <c r="C44" s="213" t="s">
        <v>984</v>
      </c>
      <c r="D44" s="214"/>
      <c r="E44" s="215"/>
      <c r="F44" s="216" t="s">
        <v>985</v>
      </c>
      <c r="G44" s="217"/>
      <c r="H44" s="217">
        <f>ROUND(M4*G44,0)</f>
        <v>0</v>
      </c>
      <c r="I44" s="217">
        <f t="shared" si="0"/>
        <v>0</v>
      </c>
      <c r="J44" s="208" t="s">
        <v>986</v>
      </c>
      <c r="K44" s="275"/>
      <c r="L44" s="275"/>
      <c r="M44" s="209">
        <v>1</v>
      </c>
    </row>
    <row r="45" spans="1:13" ht="33.75" customHeight="1">
      <c r="A45" s="211" t="s">
        <v>1336</v>
      </c>
      <c r="B45" s="212" t="s">
        <v>987</v>
      </c>
      <c r="C45" s="213" t="s">
        <v>924</v>
      </c>
      <c r="D45" s="214"/>
      <c r="E45" s="215"/>
      <c r="F45" s="216" t="s">
        <v>988</v>
      </c>
      <c r="G45" s="217" t="e">
        <f>ROUND(IF('Dự toán gói thầu'!C17*0.05%&lt;1000000,1000000,IF('Dự toán gói thầu'!C17*0.05%&gt;50000000,50000000,'Dự toán gói thầu'!C17*0.05%)),0)</f>
        <v>#REF!</v>
      </c>
      <c r="H45" s="217" t="e">
        <f>ROUND(M4*G45,0)</f>
        <v>#REF!</v>
      </c>
      <c r="I45" s="217" t="e">
        <f t="shared" si="0"/>
        <v>#REF!</v>
      </c>
      <c r="J45" s="208" t="s">
        <v>989</v>
      </c>
      <c r="K45" s="275"/>
      <c r="L45" s="275"/>
      <c r="M45" s="209">
        <v>1</v>
      </c>
    </row>
    <row r="46" spans="1:13" ht="30.75" hidden="1" customHeight="1">
      <c r="A46" s="211"/>
      <c r="B46" s="212" t="s">
        <v>990</v>
      </c>
      <c r="C46" s="213" t="s">
        <v>991</v>
      </c>
      <c r="D46" s="214"/>
      <c r="E46" s="215"/>
      <c r="F46" s="216" t="s">
        <v>977</v>
      </c>
      <c r="G46" s="217"/>
      <c r="H46" s="217">
        <f>ROUND(M4*G46,0)</f>
        <v>0</v>
      </c>
      <c r="I46" s="217">
        <f t="shared" si="0"/>
        <v>0</v>
      </c>
      <c r="J46" s="208" t="s">
        <v>992</v>
      </c>
      <c r="K46" s="275"/>
      <c r="L46" s="275"/>
      <c r="M46" s="209">
        <v>1</v>
      </c>
    </row>
    <row r="47" spans="1:13" ht="33.75" customHeight="1">
      <c r="A47" s="211" t="s">
        <v>1337</v>
      </c>
      <c r="B47" s="212" t="s">
        <v>993</v>
      </c>
      <c r="C47" s="213" t="s">
        <v>927</v>
      </c>
      <c r="D47" s="214"/>
      <c r="E47" s="215"/>
      <c r="F47" s="216" t="s">
        <v>994</v>
      </c>
      <c r="G47" s="217" t="e">
        <f>ROUND(IF('Dự toán gói thầu'!C17*0.1%&lt;1000000,1000000,IF('Dự toán gói thầu'!C17*0.1%&gt;50000000,50000000,'Dự toán gói thầu'!C17*0.1%)),0)</f>
        <v>#REF!</v>
      </c>
      <c r="H47" s="217" t="e">
        <f>ROUND(M4*G47,0)</f>
        <v>#REF!</v>
      </c>
      <c r="I47" s="217" t="e">
        <f t="shared" si="0"/>
        <v>#REF!</v>
      </c>
      <c r="J47" s="208" t="s">
        <v>995</v>
      </c>
      <c r="K47" s="275"/>
      <c r="L47" s="275"/>
      <c r="M47" s="209">
        <v>1</v>
      </c>
    </row>
    <row r="48" spans="1:13" ht="34.5" customHeight="1">
      <c r="A48" s="211" t="s">
        <v>1338</v>
      </c>
      <c r="B48" s="212" t="s">
        <v>996</v>
      </c>
      <c r="C48" s="213" t="s">
        <v>930</v>
      </c>
      <c r="D48" s="214"/>
      <c r="E48" s="215"/>
      <c r="F48" s="216" t="s">
        <v>988</v>
      </c>
      <c r="G48" s="217" t="e">
        <f>ROUND(IF('Dự toán gói thầu'!C17*0.05%&lt;1000000,1000000,IF('Dự toán gói thầu'!C17*0.05%&gt;50000000,50000000,'Dự toán gói thầu'!C17*0.05%)),0)</f>
        <v>#REF!</v>
      </c>
      <c r="H48" s="217" t="e">
        <f>ROUND(M4*G48,0)</f>
        <v>#REF!</v>
      </c>
      <c r="I48" s="217" t="e">
        <f t="shared" si="0"/>
        <v>#REF!</v>
      </c>
      <c r="J48" s="208" t="s">
        <v>997</v>
      </c>
      <c r="K48" s="275"/>
      <c r="L48" s="275"/>
      <c r="M48" s="209">
        <v>1</v>
      </c>
    </row>
    <row r="49" spans="1:13" ht="7.5" hidden="1" customHeight="1">
      <c r="A49" s="211"/>
      <c r="B49" s="212" t="s">
        <v>998</v>
      </c>
      <c r="C49" s="213" t="s">
        <v>999</v>
      </c>
      <c r="D49" s="214"/>
      <c r="E49" s="215"/>
      <c r="F49" s="216" t="s">
        <v>1000</v>
      </c>
      <c r="G49" s="217"/>
      <c r="H49" s="217">
        <f>ROUND(M4*G49,0)</f>
        <v>0</v>
      </c>
      <c r="I49" s="217">
        <f t="shared" si="0"/>
        <v>0</v>
      </c>
      <c r="J49" s="208" t="s">
        <v>1001</v>
      </c>
      <c r="K49" s="275"/>
      <c r="L49" s="275"/>
      <c r="M49" s="209">
        <v>1</v>
      </c>
    </row>
    <row r="50" spans="1:13" ht="25.5" customHeight="1">
      <c r="A50" s="211" t="s">
        <v>1339</v>
      </c>
      <c r="B50" s="212" t="s">
        <v>1003</v>
      </c>
      <c r="C50" s="213" t="s">
        <v>1004</v>
      </c>
      <c r="D50" s="214">
        <f>'Định mức tư vấn'!E9</f>
        <v>3.2030000000000003E-2</v>
      </c>
      <c r="E50" s="215"/>
      <c r="F50" s="216" t="str">
        <f>D50*100&amp;"% x "&amp;C7</f>
        <v>3,203% x Gxd</v>
      </c>
      <c r="G50" s="217" t="e">
        <f>ROUND(D50*G7,0)</f>
        <v>#REF!</v>
      </c>
      <c r="H50" s="217" t="e">
        <f>ROUND(M4*G50,0)</f>
        <v>#REF!</v>
      </c>
      <c r="I50" s="217" t="e">
        <f t="shared" si="0"/>
        <v>#REF!</v>
      </c>
      <c r="J50" s="208" t="s">
        <v>1005</v>
      </c>
      <c r="K50" s="275"/>
      <c r="L50" s="275"/>
      <c r="M50" s="209">
        <v>1</v>
      </c>
    </row>
    <row r="51" spans="1:13" ht="30.75" hidden="1" customHeight="1">
      <c r="A51" s="211"/>
      <c r="B51" s="212" t="s">
        <v>1006</v>
      </c>
      <c r="C51" s="213" t="s">
        <v>1007</v>
      </c>
      <c r="D51" s="214"/>
      <c r="E51" s="215"/>
      <c r="F51" s="216" t="s">
        <v>369</v>
      </c>
      <c r="G51" s="217"/>
      <c r="H51" s="217">
        <f>ROUND(M4*G51,0)</f>
        <v>0</v>
      </c>
      <c r="I51" s="217">
        <f t="shared" si="0"/>
        <v>0</v>
      </c>
      <c r="J51" s="208" t="s">
        <v>1008</v>
      </c>
      <c r="K51" s="275"/>
      <c r="L51" s="275"/>
      <c r="M51" s="209">
        <v>1</v>
      </c>
    </row>
    <row r="52" spans="1:13" ht="30.75" hidden="1" customHeight="1">
      <c r="A52" s="211"/>
      <c r="B52" s="212" t="s">
        <v>1009</v>
      </c>
      <c r="C52" s="213" t="s">
        <v>1010</v>
      </c>
      <c r="D52" s="214">
        <v>0.3</v>
      </c>
      <c r="E52" s="215"/>
      <c r="F52" s="216" t="str">
        <f>D52*100&amp;"%*("&amp;C41&amp;"+"&amp;C51&amp;")"</f>
        <v>30%*(Gtv5+Gtv33)</v>
      </c>
      <c r="G52" s="217"/>
      <c r="H52" s="217">
        <f>ROUND(M4*G52,0)</f>
        <v>0</v>
      </c>
      <c r="I52" s="217">
        <f t="shared" si="0"/>
        <v>0</v>
      </c>
      <c r="J52" s="208" t="s">
        <v>1011</v>
      </c>
      <c r="K52" s="275"/>
      <c r="L52" s="275"/>
      <c r="M52" s="209">
        <v>1</v>
      </c>
    </row>
    <row r="53" spans="1:13" ht="30.75" hidden="1" customHeight="1">
      <c r="A53" s="211"/>
      <c r="B53" s="212" t="s">
        <v>1012</v>
      </c>
      <c r="C53" s="213" t="s">
        <v>1013</v>
      </c>
      <c r="D53" s="214">
        <v>0.6</v>
      </c>
      <c r="E53" s="215"/>
      <c r="F53" s="216" t="str">
        <f>D53*100&amp;"%*("&amp;C41&amp;"+"&amp;C51&amp;")"</f>
        <v>60%*(Gtv5+Gtv33)</v>
      </c>
      <c r="G53" s="217"/>
      <c r="H53" s="217">
        <f>ROUND(M4*G53,0)</f>
        <v>0</v>
      </c>
      <c r="I53" s="217">
        <f t="shared" si="0"/>
        <v>0</v>
      </c>
      <c r="J53" s="208" t="s">
        <v>1014</v>
      </c>
      <c r="K53" s="275"/>
      <c r="L53" s="275"/>
      <c r="M53" s="209">
        <v>1</v>
      </c>
    </row>
    <row r="54" spans="1:13" ht="16.5" hidden="1" customHeight="1">
      <c r="A54" s="211"/>
      <c r="B54" s="212" t="s">
        <v>1015</v>
      </c>
      <c r="C54" s="213" t="s">
        <v>1016</v>
      </c>
      <c r="D54" s="214"/>
      <c r="E54" s="215"/>
      <c r="F54" s="216" t="s">
        <v>369</v>
      </c>
      <c r="G54" s="217"/>
      <c r="H54" s="217">
        <f>ROUND(M4*G54,0)</f>
        <v>0</v>
      </c>
      <c r="I54" s="217">
        <f t="shared" si="0"/>
        <v>0</v>
      </c>
      <c r="J54" s="208" t="s">
        <v>1017</v>
      </c>
      <c r="K54" s="275"/>
      <c r="L54" s="275"/>
      <c r="M54" s="209">
        <v>1</v>
      </c>
    </row>
    <row r="55" spans="1:13" ht="30.75" hidden="1" customHeight="1">
      <c r="A55" s="211"/>
      <c r="B55" s="212" t="s">
        <v>1018</v>
      </c>
      <c r="C55" s="213" t="s">
        <v>1019</v>
      </c>
      <c r="D55" s="214"/>
      <c r="E55" s="215"/>
      <c r="F55" s="216" t="s">
        <v>369</v>
      </c>
      <c r="G55" s="217"/>
      <c r="H55" s="217">
        <f>ROUND(M4*G55,0)</f>
        <v>0</v>
      </c>
      <c r="I55" s="217">
        <f t="shared" si="0"/>
        <v>0</v>
      </c>
      <c r="J55" s="208" t="s">
        <v>1020</v>
      </c>
      <c r="K55" s="275"/>
      <c r="L55" s="275"/>
      <c r="M55" s="209">
        <v>1</v>
      </c>
    </row>
    <row r="56" spans="1:13" ht="22.5" customHeight="1">
      <c r="A56" s="201" t="s">
        <v>905</v>
      </c>
      <c r="B56" s="202" t="s">
        <v>838</v>
      </c>
      <c r="C56" s="203" t="s">
        <v>1022</v>
      </c>
      <c r="D56" s="204"/>
      <c r="E56" s="205"/>
      <c r="F56" s="206" t="s">
        <v>1331</v>
      </c>
      <c r="G56" s="207" t="e">
        <f>SUMIF(M57:M68,1,G57:G68)</f>
        <v>#REF!</v>
      </c>
      <c r="H56" s="207" t="e">
        <f>SUMIF(M57:M68,1,H57:H68)</f>
        <v>#REF!</v>
      </c>
      <c r="I56" s="207" t="e">
        <f>ROUND(SUMIF(M57:M68,1,I57:I68),-3)</f>
        <v>#REF!</v>
      </c>
      <c r="J56" s="208" t="s">
        <v>1022</v>
      </c>
      <c r="K56" s="276">
        <v>39312000</v>
      </c>
      <c r="L56" s="276" t="e">
        <f>I56-K56</f>
        <v>#REF!</v>
      </c>
      <c r="M56" s="209">
        <v>1</v>
      </c>
    </row>
    <row r="57" spans="1:13" ht="16.5" hidden="1" customHeight="1">
      <c r="A57" s="211"/>
      <c r="B57" s="212" t="s">
        <v>1023</v>
      </c>
      <c r="C57" s="213" t="s">
        <v>1024</v>
      </c>
      <c r="D57" s="214"/>
      <c r="E57" s="215"/>
      <c r="F57" s="216" t="s">
        <v>369</v>
      </c>
      <c r="G57" s="217"/>
      <c r="H57" s="217">
        <f>ROUND(M4*G57,0)</f>
        <v>0</v>
      </c>
      <c r="I57" s="217">
        <f>G57+H57</f>
        <v>0</v>
      </c>
      <c r="J57" s="208" t="s">
        <v>1025</v>
      </c>
      <c r="K57" s="275"/>
      <c r="L57" s="275"/>
      <c r="M57" s="209">
        <v>1</v>
      </c>
    </row>
    <row r="58" spans="1:13" ht="16.5" hidden="1" customHeight="1">
      <c r="A58" s="211"/>
      <c r="B58" s="212" t="s">
        <v>1026</v>
      </c>
      <c r="C58" s="213" t="s">
        <v>1027</v>
      </c>
      <c r="D58" s="214"/>
      <c r="E58" s="215"/>
      <c r="F58" s="216" t="s">
        <v>369</v>
      </c>
      <c r="G58" s="217"/>
      <c r="H58" s="217">
        <v>0</v>
      </c>
      <c r="I58" s="217">
        <v>0</v>
      </c>
      <c r="J58" s="208" t="s">
        <v>1028</v>
      </c>
      <c r="K58" s="275"/>
      <c r="L58" s="275"/>
      <c r="M58" s="209">
        <v>1</v>
      </c>
    </row>
    <row r="59" spans="1:13" ht="30.75" hidden="1" customHeight="1">
      <c r="A59" s="211"/>
      <c r="B59" s="212" t="s">
        <v>1029</v>
      </c>
      <c r="C59" s="213" t="s">
        <v>1030</v>
      </c>
      <c r="D59" s="214"/>
      <c r="E59" s="215"/>
      <c r="F59" s="216" t="s">
        <v>369</v>
      </c>
      <c r="G59" s="217"/>
      <c r="H59" s="217">
        <f>ROUND(M4*G59,0)</f>
        <v>0</v>
      </c>
      <c r="I59" s="217">
        <f t="shared" ref="I59:I68" si="1">G59+H59</f>
        <v>0</v>
      </c>
      <c r="J59" s="208" t="s">
        <v>1031</v>
      </c>
      <c r="K59" s="275"/>
      <c r="L59" s="275"/>
      <c r="M59" s="209">
        <v>1</v>
      </c>
    </row>
    <row r="60" spans="1:13" ht="6.75" hidden="1" customHeight="1">
      <c r="A60" s="211"/>
      <c r="B60" s="212" t="s">
        <v>1032</v>
      </c>
      <c r="C60" s="213" t="s">
        <v>1033</v>
      </c>
      <c r="D60" s="214"/>
      <c r="E60" s="215"/>
      <c r="F60" s="216" t="s">
        <v>369</v>
      </c>
      <c r="G60" s="217"/>
      <c r="H60" s="217">
        <f>ROUND(M4*G60,0)</f>
        <v>0</v>
      </c>
      <c r="I60" s="217">
        <f t="shared" si="1"/>
        <v>0</v>
      </c>
      <c r="J60" s="208" t="s">
        <v>1034</v>
      </c>
      <c r="K60" s="275"/>
      <c r="L60" s="275"/>
      <c r="M60" s="209">
        <v>1</v>
      </c>
    </row>
    <row r="61" spans="1:13" ht="22.5" customHeight="1">
      <c r="A61" s="211" t="s">
        <v>908</v>
      </c>
      <c r="B61" s="212" t="s">
        <v>1326</v>
      </c>
      <c r="C61" s="213" t="s">
        <v>1024</v>
      </c>
      <c r="D61" s="214"/>
      <c r="E61" s="215"/>
      <c r="F61" s="216" t="s">
        <v>1327</v>
      </c>
      <c r="G61" s="217" t="e">
        <f>15%*(G31+G32)</f>
        <v>#REF!</v>
      </c>
      <c r="H61" s="217"/>
      <c r="I61" s="217" t="e">
        <f t="shared" si="1"/>
        <v>#REF!</v>
      </c>
      <c r="J61" s="208" t="s">
        <v>1036</v>
      </c>
      <c r="K61" s="275"/>
      <c r="L61" s="275"/>
      <c r="M61" s="209">
        <v>1</v>
      </c>
    </row>
    <row r="62" spans="1:13" ht="30.75" hidden="1" customHeight="1">
      <c r="A62" s="211"/>
      <c r="B62" s="212" t="s">
        <v>1037</v>
      </c>
      <c r="C62" s="213" t="s">
        <v>1038</v>
      </c>
      <c r="D62" s="214">
        <v>0.5</v>
      </c>
      <c r="E62" s="215"/>
      <c r="F62" s="216" t="str">
        <f>D62*100&amp;"%*"&amp;C61</f>
        <v>50%*Gk1</v>
      </c>
      <c r="G62" s="217"/>
      <c r="H62" s="217">
        <f>M4*G62</f>
        <v>0</v>
      </c>
      <c r="I62" s="217">
        <f t="shared" si="1"/>
        <v>0</v>
      </c>
      <c r="J62" s="208" t="s">
        <v>1039</v>
      </c>
      <c r="K62" s="275"/>
      <c r="L62" s="275"/>
      <c r="M62" s="209">
        <v>1</v>
      </c>
    </row>
    <row r="63" spans="1:13" ht="44.25" hidden="1" customHeight="1">
      <c r="A63" s="211"/>
      <c r="B63" s="212" t="s">
        <v>1040</v>
      </c>
      <c r="C63" s="213" t="s">
        <v>1041</v>
      </c>
      <c r="D63" s="214"/>
      <c r="E63" s="215"/>
      <c r="F63" s="216" t="s">
        <v>369</v>
      </c>
      <c r="G63" s="217"/>
      <c r="H63" s="217"/>
      <c r="I63" s="217">
        <f t="shared" si="1"/>
        <v>0</v>
      </c>
      <c r="J63" s="208" t="s">
        <v>1042</v>
      </c>
      <c r="K63" s="275"/>
      <c r="L63" s="275"/>
      <c r="M63" s="209">
        <v>1</v>
      </c>
    </row>
    <row r="64" spans="1:13" ht="20.25" customHeight="1">
      <c r="A64" s="211" t="s">
        <v>932</v>
      </c>
      <c r="B64" s="212" t="s">
        <v>1043</v>
      </c>
      <c r="C64" s="213" t="s">
        <v>1027</v>
      </c>
      <c r="D64" s="278">
        <v>5.6999999999999993E-3</v>
      </c>
      <c r="E64" s="215"/>
      <c r="F64" s="216" t="s">
        <v>1330</v>
      </c>
      <c r="G64" s="217">
        <f>D64*M72</f>
        <v>13502558.999999998</v>
      </c>
      <c r="H64" s="217"/>
      <c r="I64" s="217">
        <f t="shared" si="1"/>
        <v>13502558.999999998</v>
      </c>
      <c r="J64" s="208" t="s">
        <v>1044</v>
      </c>
      <c r="K64" s="275"/>
      <c r="L64" s="275"/>
      <c r="M64" s="209">
        <v>1</v>
      </c>
    </row>
    <row r="65" spans="1:14" ht="16.5" hidden="1" customHeight="1">
      <c r="A65" s="211"/>
      <c r="B65" s="212" t="s">
        <v>1045</v>
      </c>
      <c r="C65" s="213" t="s">
        <v>1046</v>
      </c>
      <c r="D65" s="278"/>
      <c r="E65" s="215"/>
      <c r="F65" s="216" t="s">
        <v>369</v>
      </c>
      <c r="G65" s="217"/>
      <c r="H65" s="217">
        <f>M4*G65</f>
        <v>0</v>
      </c>
      <c r="I65" s="217">
        <f t="shared" si="1"/>
        <v>0</v>
      </c>
      <c r="J65" s="208" t="s">
        <v>1047</v>
      </c>
      <c r="K65" s="275"/>
      <c r="L65" s="275"/>
      <c r="M65" s="209">
        <v>1</v>
      </c>
    </row>
    <row r="66" spans="1:14" ht="30.75" hidden="1" customHeight="1">
      <c r="A66" s="211"/>
      <c r="B66" s="212" t="s">
        <v>1048</v>
      </c>
      <c r="C66" s="213" t="s">
        <v>1049</v>
      </c>
      <c r="D66" s="278"/>
      <c r="E66" s="215"/>
      <c r="F66" s="216" t="str">
        <f>D66*100&amp;"%*"&amp;C6</f>
        <v>0%*Gcpxd</v>
      </c>
      <c r="G66" s="217"/>
      <c r="H66" s="217">
        <f>ROUND(M4*G66,0)</f>
        <v>0</v>
      </c>
      <c r="I66" s="217">
        <f t="shared" si="1"/>
        <v>0</v>
      </c>
      <c r="J66" s="208" t="s">
        <v>1050</v>
      </c>
      <c r="K66" s="275"/>
      <c r="L66" s="275"/>
      <c r="M66" s="209">
        <v>1</v>
      </c>
    </row>
    <row r="67" spans="1:14" ht="10.5" hidden="1" customHeight="1">
      <c r="A67" s="211"/>
      <c r="B67" s="212" t="s">
        <v>1051</v>
      </c>
      <c r="C67" s="213" t="s">
        <v>1052</v>
      </c>
      <c r="D67" s="278"/>
      <c r="E67" s="215"/>
      <c r="F67" s="216" t="str">
        <f>D67*100&amp;"%*"&amp;C18</f>
        <v>0%*Gtv</v>
      </c>
      <c r="G67" s="217"/>
      <c r="H67" s="217">
        <f>ROUND(M4*G67,0)</f>
        <v>0</v>
      </c>
      <c r="I67" s="217">
        <f t="shared" si="1"/>
        <v>0</v>
      </c>
      <c r="J67" s="208" t="s">
        <v>1053</v>
      </c>
      <c r="K67" s="275"/>
      <c r="L67" s="275"/>
      <c r="M67" s="209">
        <v>1</v>
      </c>
    </row>
    <row r="68" spans="1:14" ht="35.25" customHeight="1">
      <c r="A68" s="211" t="s">
        <v>944</v>
      </c>
      <c r="B68" s="212" t="s">
        <v>1054</v>
      </c>
      <c r="C68" s="213" t="s">
        <v>1030</v>
      </c>
      <c r="D68" s="278">
        <v>0.1</v>
      </c>
      <c r="E68" s="215"/>
      <c r="F68" s="216" t="s">
        <v>1328</v>
      </c>
      <c r="G68" s="217" t="e">
        <f>D68*G50</f>
        <v>#REF!</v>
      </c>
      <c r="H68" s="217" t="e">
        <f>G68*10%</f>
        <v>#REF!</v>
      </c>
      <c r="I68" s="217" t="e">
        <f t="shared" si="1"/>
        <v>#REF!</v>
      </c>
      <c r="J68" s="208" t="s">
        <v>1055</v>
      </c>
      <c r="K68" s="275"/>
      <c r="L68" s="275"/>
      <c r="M68" s="209">
        <v>1</v>
      </c>
    </row>
    <row r="69" spans="1:14" ht="16.5" hidden="1" customHeight="1">
      <c r="A69" s="201" t="s">
        <v>1056</v>
      </c>
      <c r="B69" s="202" t="s">
        <v>1057</v>
      </c>
      <c r="C69" s="203" t="s">
        <v>1058</v>
      </c>
      <c r="D69" s="204"/>
      <c r="E69" s="205"/>
      <c r="F69" s="206" t="s">
        <v>1059</v>
      </c>
      <c r="G69" s="207" t="e">
        <f>SUM(G70:G71)</f>
        <v>#REF!</v>
      </c>
      <c r="H69" s="207" t="e">
        <f>SUM(H70:H71)</f>
        <v>#REF!</v>
      </c>
      <c r="I69" s="207" t="e">
        <f>SUM(I70:I71)</f>
        <v>#REF!</v>
      </c>
      <c r="J69" s="208" t="s">
        <v>1058</v>
      </c>
      <c r="K69" s="275"/>
      <c r="L69" s="275"/>
      <c r="M69" s="209">
        <v>1</v>
      </c>
    </row>
    <row r="70" spans="1:14" ht="44.25" hidden="1" customHeight="1">
      <c r="A70" s="211" t="s">
        <v>1060</v>
      </c>
      <c r="B70" s="212" t="s">
        <v>1061</v>
      </c>
      <c r="C70" s="213" t="s">
        <v>1062</v>
      </c>
      <c r="D70" s="214">
        <v>0</v>
      </c>
      <c r="E70" s="215"/>
      <c r="F70" s="216" t="str">
        <f>D70*100&amp;"% x (Gcpxd+Gtb+Gqlda+Gtv+Gk)"</f>
        <v>0% x (Gcpxd+Gtb+Gqlda+Gtv+Gk)</v>
      </c>
      <c r="G70" s="217" t="e">
        <f>I70/(1+M4)</f>
        <v>#REF!</v>
      </c>
      <c r="H70" s="217" t="e">
        <f>I70-G70</f>
        <v>#REF!</v>
      </c>
      <c r="I70" s="217" t="e">
        <f>D70*(I6+I10+I16+I18+I56)</f>
        <v>#REF!</v>
      </c>
      <c r="J70" s="208" t="s">
        <v>1062</v>
      </c>
      <c r="K70" s="276">
        <f>K56+K18+K16+K6</f>
        <v>2411073000</v>
      </c>
      <c r="L70" s="276" t="e">
        <f>I70-K70</f>
        <v>#REF!</v>
      </c>
      <c r="M70" s="209">
        <v>1</v>
      </c>
    </row>
    <row r="71" spans="1:14" ht="16.5" hidden="1" customHeight="1">
      <c r="A71" s="211"/>
      <c r="B71" s="212" t="s">
        <v>1063</v>
      </c>
      <c r="C71" s="213" t="s">
        <v>1064</v>
      </c>
      <c r="D71" s="214"/>
      <c r="E71" s="215"/>
      <c r="F71" s="216"/>
      <c r="G71" s="217"/>
      <c r="H71" s="217">
        <f>I71-G71</f>
        <v>0</v>
      </c>
      <c r="I71" s="217"/>
      <c r="J71" s="208" t="s">
        <v>1064</v>
      </c>
      <c r="K71" s="275"/>
      <c r="L71" s="275"/>
      <c r="M71" s="218" t="e">
        <f>I5+I6+I10+I16+I17+I18+I56</f>
        <v>#REF!</v>
      </c>
    </row>
    <row r="72" spans="1:14" ht="16.5" customHeight="1">
      <c r="A72" s="201"/>
      <c r="B72" s="202" t="s">
        <v>779</v>
      </c>
      <c r="C72" s="203"/>
      <c r="D72" s="204"/>
      <c r="E72" s="205"/>
      <c r="F72" s="206" t="s">
        <v>369</v>
      </c>
      <c r="G72" s="207" t="e">
        <f>G5+G6+G10+G16+G17+G18+G56+G69</f>
        <v>#REF!</v>
      </c>
      <c r="H72" s="207" t="e">
        <f>H5+H6+H10+H16+H17+H18+H56+H69</f>
        <v>#REF!</v>
      </c>
      <c r="I72" s="207" t="e">
        <f>I5+I6+I10+I16+I17+I18+I56+I69</f>
        <v>#REF!</v>
      </c>
      <c r="J72" s="208" t="s">
        <v>1065</v>
      </c>
      <c r="K72" s="276">
        <f>K56+K18+K16+K6</f>
        <v>2411073000</v>
      </c>
      <c r="L72" s="276" t="e">
        <f>L56+L18+L16+L6</f>
        <v>#REF!</v>
      </c>
      <c r="M72" s="277">
        <v>2368870000</v>
      </c>
      <c r="N72" s="225" t="e">
        <f>I72-I69</f>
        <v>#REF!</v>
      </c>
    </row>
    <row r="73" spans="1:14" ht="16.5" hidden="1" customHeight="1">
      <c r="A73" s="201"/>
      <c r="B73" s="202" t="s">
        <v>1066</v>
      </c>
      <c r="C73" s="203" t="s">
        <v>957</v>
      </c>
      <c r="D73" s="204"/>
      <c r="E73" s="205"/>
      <c r="F73" s="206" t="s">
        <v>1067</v>
      </c>
      <c r="G73" s="207"/>
      <c r="H73" s="207">
        <f>SUM(H74:H77)</f>
        <v>0</v>
      </c>
      <c r="I73" s="207">
        <f>SUM(I74:I77)</f>
        <v>0</v>
      </c>
      <c r="J73" s="208" t="s">
        <v>1068</v>
      </c>
      <c r="K73" s="275"/>
      <c r="L73" s="275"/>
      <c r="M73" s="209">
        <v>1</v>
      </c>
    </row>
    <row r="74" spans="1:14" ht="30.75" hidden="1" customHeight="1">
      <c r="A74" s="211"/>
      <c r="B74" s="212" t="s">
        <v>1035</v>
      </c>
      <c r="C74" s="213" t="s">
        <v>1069</v>
      </c>
      <c r="D74" s="214"/>
      <c r="E74" s="215"/>
      <c r="F74" s="216" t="s">
        <v>369</v>
      </c>
      <c r="G74" s="217"/>
      <c r="H74" s="217">
        <f>ROUND(M4*G74,0)</f>
        <v>0</v>
      </c>
      <c r="I74" s="217">
        <f>G74+H74</f>
        <v>0</v>
      </c>
      <c r="J74" s="208" t="s">
        <v>1070</v>
      </c>
      <c r="K74" s="275"/>
      <c r="L74" s="275"/>
      <c r="M74" s="209">
        <v>1</v>
      </c>
    </row>
    <row r="75" spans="1:14" ht="30.75" hidden="1" customHeight="1">
      <c r="A75" s="211"/>
      <c r="B75" s="212" t="s">
        <v>1037</v>
      </c>
      <c r="C75" s="213" t="s">
        <v>1071</v>
      </c>
      <c r="D75" s="214"/>
      <c r="E75" s="215"/>
      <c r="F75" s="216" t="str">
        <f>D75*100&amp;"%*"&amp;C74</f>
        <v>0%*Gkt1</v>
      </c>
      <c r="G75" s="217"/>
      <c r="H75" s="217">
        <f>ROUND(M4*G75,0)</f>
        <v>0</v>
      </c>
      <c r="I75" s="217">
        <f>G75+H75</f>
        <v>0</v>
      </c>
      <c r="J75" s="208" t="s">
        <v>1072</v>
      </c>
      <c r="K75" s="275"/>
      <c r="L75" s="275"/>
      <c r="M75" s="209">
        <v>1</v>
      </c>
    </row>
    <row r="76" spans="1:14" ht="16.5" hidden="1" customHeight="1">
      <c r="A76" s="211"/>
      <c r="B76" s="212" t="s">
        <v>1043</v>
      </c>
      <c r="C76" s="213" t="s">
        <v>1073</v>
      </c>
      <c r="D76" s="214"/>
      <c r="E76" s="215"/>
      <c r="F76" s="216" t="s">
        <v>369</v>
      </c>
      <c r="G76" s="217"/>
      <c r="H76" s="217">
        <f>ROUND(M4*G76,0)</f>
        <v>0</v>
      </c>
      <c r="I76" s="217">
        <f>G76+H76</f>
        <v>0</v>
      </c>
      <c r="J76" s="208" t="s">
        <v>1074</v>
      </c>
      <c r="K76" s="275"/>
      <c r="L76" s="275"/>
      <c r="M76" s="209">
        <v>1</v>
      </c>
    </row>
    <row r="77" spans="1:14" ht="16.5" hidden="1" customHeight="1">
      <c r="A77" s="211"/>
      <c r="B77" s="212" t="s">
        <v>1045</v>
      </c>
      <c r="C77" s="213" t="s">
        <v>1075</v>
      </c>
      <c r="D77" s="214"/>
      <c r="E77" s="215"/>
      <c r="F77" s="216" t="s">
        <v>369</v>
      </c>
      <c r="G77" s="217"/>
      <c r="H77" s="217">
        <f>ROUND(M4*G77,0)</f>
        <v>0</v>
      </c>
      <c r="I77" s="217">
        <f>G77+H77</f>
        <v>0</v>
      </c>
      <c r="J77" s="208" t="s">
        <v>1076</v>
      </c>
      <c r="K77" s="275"/>
      <c r="L77" s="275"/>
      <c r="M77" s="209">
        <v>1</v>
      </c>
    </row>
    <row r="78" spans="1:14" ht="16.5" hidden="1" customHeight="1">
      <c r="A78" s="201"/>
      <c r="B78" s="202" t="s">
        <v>1077</v>
      </c>
      <c r="C78" s="203"/>
      <c r="D78" s="204"/>
      <c r="E78" s="205"/>
      <c r="F78" s="206" t="s">
        <v>369</v>
      </c>
      <c r="G78" s="207"/>
      <c r="H78" s="207" t="e">
        <f>H72+H73</f>
        <v>#REF!</v>
      </c>
      <c r="I78" s="207" t="e">
        <f>I72+I73</f>
        <v>#REF!</v>
      </c>
      <c r="J78" s="208" t="s">
        <v>1078</v>
      </c>
      <c r="M78" s="209">
        <v>1</v>
      </c>
    </row>
    <row r="79" spans="1:14" ht="16.5" customHeight="1">
      <c r="A79" s="226"/>
      <c r="B79" s="227" t="s">
        <v>780</v>
      </c>
      <c r="C79" s="228" t="s">
        <v>1065</v>
      </c>
      <c r="D79" s="229"/>
      <c r="E79" s="230"/>
      <c r="F79" s="231" t="s">
        <v>369</v>
      </c>
      <c r="G79" s="232"/>
      <c r="H79" s="232"/>
      <c r="I79" s="232" t="e">
        <f>ROUND(I78,-3)</f>
        <v>#REF!</v>
      </c>
      <c r="J79" s="208" t="s">
        <v>1079</v>
      </c>
      <c r="M79" s="209">
        <v>1</v>
      </c>
    </row>
    <row r="80" spans="1:14" ht="25.5" customHeight="1">
      <c r="A80" s="1023" t="s">
        <v>1341</v>
      </c>
      <c r="B80" s="1048"/>
      <c r="C80" s="1048"/>
      <c r="D80" s="1049"/>
      <c r="E80" s="1049"/>
      <c r="F80" s="1049"/>
      <c r="G80" s="1049"/>
      <c r="H80" s="1049"/>
      <c r="I80" s="1050"/>
    </row>
    <row r="81" spans="2:16" ht="15" hidden="1" customHeight="1"/>
    <row r="82" spans="2:16" s="279" customFormat="1" ht="15" customHeight="1">
      <c r="G82" s="1051" t="s">
        <v>1349</v>
      </c>
      <c r="H82" s="1051"/>
      <c r="I82" s="1051"/>
      <c r="J82" s="280"/>
      <c r="K82" s="280"/>
      <c r="L82" s="281"/>
      <c r="M82" s="282"/>
      <c r="N82" s="283"/>
      <c r="O82" s="283"/>
      <c r="P82" s="283"/>
    </row>
    <row r="83" spans="2:16" s="279" customFormat="1" ht="15" customHeight="1">
      <c r="B83" s="284" t="s">
        <v>1348</v>
      </c>
      <c r="C83" s="284"/>
      <c r="D83" s="284" t="s">
        <v>1342</v>
      </c>
      <c r="E83" s="284" t="s">
        <v>1342</v>
      </c>
      <c r="F83" s="284" t="s">
        <v>1342</v>
      </c>
      <c r="G83" s="1045" t="s">
        <v>1343</v>
      </c>
      <c r="H83" s="1045"/>
      <c r="I83" s="1045"/>
      <c r="J83" s="285"/>
      <c r="K83" s="285"/>
      <c r="L83" s="281"/>
      <c r="M83" s="282"/>
      <c r="N83" s="283"/>
      <c r="O83" s="283"/>
      <c r="P83" s="283"/>
    </row>
    <row r="84" spans="2:16" s="279" customFormat="1" ht="15" customHeight="1">
      <c r="G84" s="286"/>
      <c r="H84" s="286"/>
      <c r="I84" s="286"/>
      <c r="J84" s="286"/>
      <c r="K84" s="286"/>
      <c r="L84" s="281"/>
      <c r="M84" s="282"/>
      <c r="N84" s="283"/>
      <c r="O84" s="283"/>
      <c r="P84" s="283"/>
    </row>
    <row r="85" spans="2:16" s="279" customFormat="1" ht="15" customHeight="1">
      <c r="G85" s="286"/>
      <c r="H85" s="286"/>
      <c r="I85" s="286"/>
      <c r="J85" s="287"/>
      <c r="K85" s="287"/>
      <c r="L85" s="281"/>
      <c r="M85" s="282"/>
      <c r="N85" s="283"/>
      <c r="O85" s="283"/>
      <c r="P85" s="283"/>
    </row>
    <row r="86" spans="2:16" s="279" customFormat="1" ht="15" customHeight="1">
      <c r="G86" s="286"/>
      <c r="H86" s="286"/>
      <c r="I86" s="286"/>
      <c r="J86" s="286"/>
      <c r="K86" s="286"/>
      <c r="L86" s="281"/>
      <c r="M86" s="282"/>
      <c r="N86" s="283"/>
      <c r="O86" s="283"/>
      <c r="P86" s="283"/>
    </row>
    <row r="87" spans="2:16" s="279" customFormat="1" ht="15" customHeight="1">
      <c r="G87" s="286"/>
      <c r="H87" s="286"/>
      <c r="I87" s="286"/>
      <c r="J87" s="286"/>
      <c r="K87" s="286"/>
      <c r="L87" s="281"/>
      <c r="M87" s="282"/>
      <c r="N87" s="283"/>
      <c r="O87" s="283"/>
      <c r="P87" s="283"/>
    </row>
    <row r="88" spans="2:16" s="279" customFormat="1" ht="15" customHeight="1">
      <c r="B88" s="284"/>
      <c r="C88" s="284"/>
      <c r="D88" s="284" t="s">
        <v>1344</v>
      </c>
      <c r="E88" s="284" t="s">
        <v>1344</v>
      </c>
      <c r="F88" s="284" t="s">
        <v>1344</v>
      </c>
      <c r="G88" s="286"/>
      <c r="H88" s="286"/>
      <c r="I88" s="286"/>
      <c r="J88" s="286"/>
      <c r="K88" s="286"/>
      <c r="L88" s="281"/>
      <c r="M88" s="282"/>
      <c r="N88" s="283"/>
      <c r="O88" s="283"/>
      <c r="P88" s="283"/>
    </row>
    <row r="89" spans="2:16" s="279" customFormat="1" ht="15" customHeight="1">
      <c r="B89" s="288"/>
      <c r="C89" s="288"/>
      <c r="D89" s="288" t="s">
        <v>1345</v>
      </c>
      <c r="E89" s="288" t="s">
        <v>1345</v>
      </c>
      <c r="F89" s="288" t="s">
        <v>1345</v>
      </c>
      <c r="G89" s="286"/>
      <c r="H89" s="286"/>
      <c r="I89" s="286"/>
      <c r="J89" s="286"/>
      <c r="K89" s="286"/>
      <c r="L89" s="281"/>
      <c r="M89" s="282"/>
      <c r="N89" s="283"/>
      <c r="O89" s="283"/>
      <c r="P89" s="283"/>
    </row>
    <row r="90" spans="2:16" s="279" customFormat="1" ht="15" customHeight="1">
      <c r="B90" s="288"/>
      <c r="C90" s="288"/>
      <c r="D90" s="288" t="s">
        <v>1346</v>
      </c>
      <c r="E90" s="288" t="s">
        <v>1346</v>
      </c>
      <c r="F90" s="288" t="s">
        <v>1346</v>
      </c>
      <c r="G90" s="286"/>
      <c r="H90" s="286"/>
      <c r="I90" s="286"/>
      <c r="J90" s="286"/>
      <c r="K90" s="286"/>
      <c r="L90" s="281"/>
      <c r="M90" s="282"/>
      <c r="N90" s="283"/>
      <c r="O90" s="283"/>
      <c r="P90" s="283"/>
    </row>
    <row r="91" spans="2:16" s="279" customFormat="1" ht="15" customHeight="1">
      <c r="B91" s="288"/>
      <c r="C91" s="288"/>
      <c r="D91" s="288" t="s">
        <v>1347</v>
      </c>
      <c r="E91" s="288" t="s">
        <v>1347</v>
      </c>
      <c r="F91" s="288" t="s">
        <v>1347</v>
      </c>
      <c r="L91" s="281"/>
      <c r="M91" s="282"/>
      <c r="N91" s="283"/>
      <c r="O91" s="283"/>
      <c r="P91" s="283"/>
    </row>
    <row r="92" spans="2:16" s="279" customFormat="1" ht="15" customHeight="1">
      <c r="L92" s="281"/>
      <c r="M92" s="282"/>
      <c r="N92" s="283"/>
      <c r="O92" s="283"/>
      <c r="P92" s="283"/>
    </row>
  </sheetData>
  <mergeCells count="7">
    <mergeCell ref="G83:I83"/>
    <mergeCell ref="A1:I1"/>
    <mergeCell ref="N3:P3"/>
    <mergeCell ref="A3:I3"/>
    <mergeCell ref="A80:I80"/>
    <mergeCell ref="A2:I2"/>
    <mergeCell ref="G82:I82"/>
  </mergeCells>
  <pageMargins left="0.78" right="0" top="0.47" bottom="0.36" header="0.40625" footer="0.2"/>
  <pageSetup paperSize="9" orientation="landscape" blackAndWhite="1" useFirstPageNumber="1" verticalDpi="0" r:id="rId1"/>
  <headerFooter alignWithMargins="0">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
  <sheetViews>
    <sheetView workbookViewId="0"/>
  </sheetViews>
  <sheetFormatPr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R5"/>
  <sheetViews>
    <sheetView workbookViewId="0"/>
  </sheetViews>
  <sheetFormatPr defaultColWidth="10" defaultRowHeight="15" customHeight="1"/>
  <cols>
    <col min="1" max="1" width="5.33203125" customWidth="1"/>
    <col min="2" max="2" width="10.5" customWidth="1"/>
    <col min="3" max="3" width="30.83203125" customWidth="1"/>
    <col min="4" max="4" width="9.33203125" customWidth="1"/>
    <col min="5" max="5" width="14" customWidth="1"/>
    <col min="6" max="6" width="11.33203125" customWidth="1"/>
    <col min="7" max="7" width="7.6640625" customWidth="1"/>
    <col min="8" max="10" width="11.33203125" customWidth="1"/>
    <col min="11" max="11" width="14.33203125" customWidth="1"/>
    <col min="12" max="12" width="7.6640625" customWidth="1"/>
    <col min="13" max="15" width="14.33203125" customWidth="1"/>
    <col min="16" max="18" width="7.83203125" customWidth="1"/>
  </cols>
  <sheetData>
    <row r="1" spans="1:18" ht="26.25" customHeight="1">
      <c r="A1" s="981" t="s">
        <v>0</v>
      </c>
      <c r="B1" s="982"/>
      <c r="C1" s="982"/>
      <c r="D1" s="982"/>
      <c r="E1" s="982"/>
      <c r="F1" s="982"/>
      <c r="G1" s="982"/>
      <c r="H1" s="982"/>
      <c r="I1" s="982"/>
      <c r="J1" s="982"/>
      <c r="K1" s="982"/>
      <c r="L1" s="982"/>
      <c r="M1" s="982"/>
      <c r="N1" s="982"/>
      <c r="O1" s="982"/>
      <c r="P1" s="982"/>
      <c r="Q1" s="982"/>
      <c r="R1" s="982"/>
    </row>
    <row r="2" spans="1:18" ht="30" customHeight="1">
      <c r="A2" s="983" t="str">
        <f>'Công trình'!A2</f>
        <v>CÔNG TRÌNH : SỬA CHỮA TUYẾN ĐƯỜNG TỪ NHÀ BÀ TRƯỜNG, TỔ 5 PHƯỜNG VẠN HƯƠNG ĐẾN NHÀ BÀ KIM, TỔ DÂN PHỐ BẮC HẢI PHƯỜNG BÀNG LA</v>
      </c>
      <c r="B2" s="982"/>
      <c r="C2" s="982"/>
      <c r="D2" s="982"/>
      <c r="E2" s="982"/>
      <c r="F2" s="982"/>
      <c r="G2" s="982"/>
      <c r="H2" s="982"/>
      <c r="I2" s="982"/>
      <c r="J2" s="982"/>
      <c r="K2" s="982"/>
      <c r="L2" s="982"/>
      <c r="M2" s="982"/>
      <c r="N2" s="982"/>
      <c r="O2" s="982"/>
      <c r="P2" s="982"/>
      <c r="Q2" s="982"/>
      <c r="R2" s="982"/>
    </row>
    <row r="3" spans="1:18" ht="37.5" customHeight="1">
      <c r="A3" s="1007" t="str">
        <f>'Công trình'!F6</f>
        <v>SỬA CHỮA NỀN MẶT ĐƯỜNG, HỆ THỐNG THOÁT NƯỚC</v>
      </c>
      <c r="B3" s="982"/>
      <c r="C3" s="982"/>
      <c r="D3" s="982"/>
      <c r="E3" s="982"/>
      <c r="F3" s="982"/>
      <c r="G3" s="982"/>
      <c r="H3" s="982"/>
      <c r="I3" s="982"/>
      <c r="J3" s="982"/>
      <c r="K3" s="982"/>
      <c r="L3" s="982"/>
      <c r="M3" s="982"/>
      <c r="N3" s="982"/>
      <c r="O3" s="982"/>
      <c r="P3" s="982"/>
      <c r="Q3" s="982"/>
      <c r="R3" s="982"/>
    </row>
    <row r="4" spans="1:18" ht="18.75" customHeight="1">
      <c r="A4" s="1052" t="s">
        <v>61</v>
      </c>
      <c r="B4" s="236" t="s">
        <v>357</v>
      </c>
      <c r="C4" s="1052" t="s">
        <v>778</v>
      </c>
      <c r="D4" s="1052" t="s">
        <v>359</v>
      </c>
      <c r="E4" s="1052" t="s">
        <v>17</v>
      </c>
      <c r="F4" s="1052" t="str">
        <f>"Đơn giá "&amp;'Công trình'!AL1</f>
        <v>Đơn giá (đ)</v>
      </c>
      <c r="G4" s="1052"/>
      <c r="H4" s="1052"/>
      <c r="I4" s="1052"/>
      <c r="J4" s="1052"/>
      <c r="K4" s="1052" t="str">
        <f>"Thành tiền "&amp;'Công trình'!AL1</f>
        <v>Thành tiền (đ)</v>
      </c>
      <c r="L4" s="1052"/>
      <c r="M4" s="1052"/>
      <c r="N4" s="1052"/>
      <c r="O4" s="1052"/>
      <c r="P4" s="1052" t="s">
        <v>18</v>
      </c>
      <c r="Q4" s="1052"/>
      <c r="R4" s="1052"/>
    </row>
    <row r="5" spans="1:18" ht="18.75" customHeight="1">
      <c r="A5" s="1052"/>
      <c r="B5" s="236" t="s">
        <v>35</v>
      </c>
      <c r="C5" s="1052"/>
      <c r="D5" s="1052"/>
      <c r="E5" s="1052"/>
      <c r="F5" s="236" t="s">
        <v>27</v>
      </c>
      <c r="G5" s="236" t="s">
        <v>1080</v>
      </c>
      <c r="H5" s="236" t="s">
        <v>1081</v>
      </c>
      <c r="I5" s="236" t="s">
        <v>1082</v>
      </c>
      <c r="J5" s="236" t="s">
        <v>1083</v>
      </c>
      <c r="K5" s="236" t="s">
        <v>27</v>
      </c>
      <c r="L5" s="236" t="s">
        <v>1080</v>
      </c>
      <c r="M5" s="236" t="s">
        <v>1081</v>
      </c>
      <c r="N5" s="236" t="s">
        <v>1082</v>
      </c>
      <c r="O5" s="236" t="s">
        <v>1083</v>
      </c>
      <c r="P5" s="236" t="s">
        <v>32</v>
      </c>
      <c r="Q5" s="236" t="s">
        <v>33</v>
      </c>
      <c r="R5" s="236" t="s">
        <v>34</v>
      </c>
    </row>
  </sheetData>
  <mergeCells count="10">
    <mergeCell ref="P4:R4"/>
    <mergeCell ref="A1:R1"/>
    <mergeCell ref="A2:R2"/>
    <mergeCell ref="A3:R3"/>
    <mergeCell ref="A4:A5"/>
    <mergeCell ref="C4:C5"/>
    <mergeCell ref="D4:D5"/>
    <mergeCell ref="E4:E5"/>
    <mergeCell ref="F4:J4"/>
    <mergeCell ref="K4:O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H1339"/>
  <sheetViews>
    <sheetView workbookViewId="0"/>
  </sheetViews>
  <sheetFormatPr defaultColWidth="10" defaultRowHeight="15" customHeight="1"/>
  <cols>
    <col min="1" max="1" width="6.5" style="34" customWidth="1"/>
    <col min="2" max="2" width="10.83203125" style="34" customWidth="1"/>
    <col min="3" max="3" width="39.1640625" style="34" customWidth="1"/>
    <col min="4" max="4" width="9" style="34" customWidth="1"/>
    <col min="5" max="5" width="12.5" style="34" customWidth="1"/>
    <col min="6" max="6" width="15" style="34" customWidth="1"/>
    <col min="7" max="7" width="7.1640625" style="34" customWidth="1"/>
    <col min="8" max="8" width="15" style="34" customWidth="1"/>
    <col min="9" max="16384" width="10" style="34"/>
  </cols>
  <sheetData>
    <row r="1" spans="1:8" ht="26.25" customHeight="1">
      <c r="A1" s="981" t="s">
        <v>1084</v>
      </c>
      <c r="B1" s="985"/>
      <c r="C1" s="985"/>
      <c r="D1" s="985"/>
      <c r="E1" s="985"/>
      <c r="F1" s="985"/>
      <c r="G1" s="985"/>
      <c r="H1" s="985"/>
    </row>
    <row r="2" spans="1:8" ht="32.25" customHeight="1">
      <c r="A2" s="983" t="str">
        <f>'Công trình'!A2</f>
        <v>CÔNG TRÌNH : SỬA CHỮA TUYẾN ĐƯỜNG TỪ NHÀ BÀ TRƯỜNG, TỔ 5 PHƯỜNG VẠN HƯƠNG ĐẾN NHÀ BÀ KIM, TỔ DÂN PHỐ BẮC HẢI PHƯỜNG BÀNG LA</v>
      </c>
      <c r="B2" s="985"/>
      <c r="C2" s="985"/>
      <c r="D2" s="985"/>
      <c r="E2" s="985"/>
      <c r="F2" s="985"/>
      <c r="G2" s="985"/>
      <c r="H2" s="985"/>
    </row>
    <row r="3" spans="1:8" ht="37.5" customHeight="1">
      <c r="A3" s="1007" t="str">
        <f>'Công trình'!F6</f>
        <v>SỬA CHỮA NỀN MẶT ĐƯỜNG, HỆ THỐNG THOÁT NƯỚC</v>
      </c>
      <c r="B3" s="985"/>
      <c r="C3" s="985"/>
      <c r="D3" s="985"/>
      <c r="E3" s="985"/>
      <c r="F3" s="985"/>
      <c r="G3" s="985"/>
      <c r="H3" s="985"/>
    </row>
    <row r="4" spans="1:8" ht="30" customHeight="1">
      <c r="A4" s="4" t="s">
        <v>4</v>
      </c>
      <c r="B4" s="1" t="s">
        <v>357</v>
      </c>
      <c r="C4" s="1" t="s">
        <v>775</v>
      </c>
      <c r="D4" s="1" t="s">
        <v>359</v>
      </c>
      <c r="E4" s="1" t="s">
        <v>649</v>
      </c>
      <c r="F4" s="1" t="str">
        <f>"Đơn giá_x000D_
"&amp;'Công trình'!AL1</f>
        <v>Đơn giá_x000D_
(đ)</v>
      </c>
      <c r="G4" s="1" t="s">
        <v>360</v>
      </c>
      <c r="H4" s="1" t="str">
        <f>"Thành tiền_x000D_
"&amp;'Công trình'!AL1</f>
        <v>Thành tiền_x000D_
(đ)</v>
      </c>
    </row>
    <row r="5" spans="1:8" ht="25.5" customHeight="1">
      <c r="A5" s="127"/>
      <c r="B5" s="13"/>
      <c r="C5" s="3" t="str">
        <f>'Công trình'!F7</f>
        <v>SỬA CHỮA NỀN MẶT ĐƯỜNG:</v>
      </c>
      <c r="D5" s="13"/>
      <c r="E5" s="19"/>
      <c r="F5" s="15"/>
      <c r="G5" s="18"/>
      <c r="H5" s="15"/>
    </row>
    <row r="6" spans="1:8" ht="27.75" customHeight="1">
      <c r="A6" s="128">
        <f>'Công trình'!A9</f>
        <v>1</v>
      </c>
      <c r="B6" s="129" t="str">
        <f>'Công trình'!E9</f>
        <v>AA.22310</v>
      </c>
      <c r="C6" s="130" t="str">
        <f>'Công trình'!F9</f>
        <v>Phá dỡ kết cấu bê tông bằng máy đào 1,25m3 gắn đầu búa thủy lực</v>
      </c>
      <c r="D6" s="129" t="str">
        <f>'Công trình'!G9</f>
        <v>m3</v>
      </c>
      <c r="E6" s="237">
        <v>1</v>
      </c>
      <c r="F6" s="69"/>
      <c r="G6" s="68"/>
      <c r="H6" s="69"/>
    </row>
    <row r="7" spans="1:8" ht="16.5" customHeight="1">
      <c r="A7" s="131"/>
      <c r="B7" s="91"/>
      <c r="C7" s="90" t="s">
        <v>678</v>
      </c>
      <c r="D7" s="91"/>
      <c r="E7" s="93"/>
      <c r="F7" s="132"/>
      <c r="G7" s="94"/>
      <c r="H7" s="132">
        <f>ROUND(H8,1)</f>
        <v>2876.9</v>
      </c>
    </row>
    <row r="8" spans="1:8" ht="16.5" customHeight="1">
      <c r="A8" s="127"/>
      <c r="B8" s="13" t="str">
        <f>'Giá tháng'!B$48</f>
        <v>N1.30</v>
      </c>
      <c r="C8" s="14" t="str">
        <f>'Giá tháng'!C$48</f>
        <v>Nhân công 3,0/7 - Nhóm 1</v>
      </c>
      <c r="D8" s="13" t="str">
        <f>'Giá tháng'!D$48</f>
        <v>công</v>
      </c>
      <c r="E8" s="80">
        <f>HaoPhiVatTu!G$9</f>
        <v>1.2999999999999999E-2</v>
      </c>
      <c r="F8" s="15">
        <f>ROUND('Tổng hợp VT'!O$56,1)</f>
        <v>221303</v>
      </c>
      <c r="G8" s="81">
        <f>'Giá tháng'!G$48</f>
        <v>1</v>
      </c>
      <c r="H8" s="15">
        <f>ROUND(E8*F8*G8,1)</f>
        <v>2876.9</v>
      </c>
    </row>
    <row r="9" spans="1:8" ht="16.5" customHeight="1">
      <c r="A9" s="131"/>
      <c r="B9" s="91"/>
      <c r="C9" s="90" t="s">
        <v>679</v>
      </c>
      <c r="D9" s="91"/>
      <c r="E9" s="93"/>
      <c r="F9" s="132"/>
      <c r="G9" s="94"/>
      <c r="H9" s="132">
        <f>ROUND(H10,1)</f>
        <v>94446</v>
      </c>
    </row>
    <row r="10" spans="1:8" ht="27.75" customHeight="1">
      <c r="A10" s="127"/>
      <c r="B10" s="13" t="str">
        <f>'Giá tháng'!B$57</f>
        <v>M101.0115</v>
      </c>
      <c r="C10" s="14" t="str">
        <f>'Giá tháng'!C$57</f>
        <v>Máy đào 1,25 m3 gắn đầu búa thủy lực / hàm kẹp</v>
      </c>
      <c r="D10" s="13" t="str">
        <f>'Giá tháng'!D$57</f>
        <v>ca</v>
      </c>
      <c r="E10" s="80">
        <f>HaoPhiVatTu!H$11</f>
        <v>2.1999999999999999E-2</v>
      </c>
      <c r="F10" s="15">
        <f>ROUND('Tổng hợp VT'!O$66,1)</f>
        <v>4293002</v>
      </c>
      <c r="G10" s="81">
        <f>'Giá tháng'!G$57</f>
        <v>1</v>
      </c>
      <c r="H10" s="15">
        <f>ROUND(E10*F10*G10,1)</f>
        <v>94446</v>
      </c>
    </row>
    <row r="11" spans="1:8" ht="27.75" customHeight="1">
      <c r="A11" s="238"/>
      <c r="B11" s="159"/>
      <c r="C11" s="158" t="s">
        <v>1085</v>
      </c>
      <c r="D11" s="159" t="s">
        <v>810</v>
      </c>
      <c r="E11" s="239"/>
      <c r="F11" s="162"/>
      <c r="G11" s="240"/>
      <c r="H11" s="162">
        <f>ROUND(+H7+H9,1)</f>
        <v>97322.9</v>
      </c>
    </row>
    <row r="12" spans="1:8" ht="16.5" customHeight="1">
      <c r="A12" s="241"/>
      <c r="B12" s="147"/>
      <c r="C12" s="146" t="s">
        <v>812</v>
      </c>
      <c r="D12" s="147" t="str">
        <f>""</f>
        <v/>
      </c>
      <c r="E12" s="242"/>
      <c r="F12" s="150"/>
      <c r="G12" s="149"/>
      <c r="H12" s="150"/>
    </row>
    <row r="13" spans="1:8" ht="16.5" customHeight="1">
      <c r="A13" s="241"/>
      <c r="B13" s="147"/>
      <c r="C13" s="146" t="str">
        <f>"Chi phí chung ( T x "&amp;HSXL!C$14&amp;" )"</f>
        <v>Chi phí chung ( T x 6,2% )</v>
      </c>
      <c r="D13" s="147" t="s">
        <v>807</v>
      </c>
      <c r="E13" s="242" t="str">
        <f>HSXL!C$14</f>
        <v>6,2%</v>
      </c>
      <c r="F13" s="150"/>
      <c r="G13" s="149"/>
      <c r="H13" s="150">
        <f>ROUND(H11*HSXL!D$14,1)</f>
        <v>6034</v>
      </c>
    </row>
    <row r="14" spans="1:8" ht="27.75" customHeight="1">
      <c r="A14" s="241"/>
      <c r="B14" s="147"/>
      <c r="C14" s="146" t="str">
        <f>"Chi phí nhà tạm để ở và điều hành thi công ( T x "&amp;HSXL!C$18&amp;" )"</f>
        <v>Chi phí nhà tạm để ở và điều hành thi công ( T x 2,2% )</v>
      </c>
      <c r="D14" s="147" t="s">
        <v>815</v>
      </c>
      <c r="E14" s="242" t="str">
        <f>HSXL!C$18</f>
        <v>2,2%</v>
      </c>
      <c r="F14" s="150"/>
      <c r="G14" s="149"/>
      <c r="H14" s="150">
        <f>ROUND(H11*HSXL!D$18,1)</f>
        <v>2141.1</v>
      </c>
    </row>
    <row r="15" spans="1:8" ht="39.75" customHeight="1">
      <c r="A15" s="241"/>
      <c r="B15" s="147"/>
      <c r="C15" s="146" t="str">
        <f>"Chi phí một số công việc không xác định được khối lượng từ thiết kế ( T x "&amp;HSXL!C$13&amp;" )"</f>
        <v>Chi phí một số công việc không xác định được khối lượng từ thiết kế ( T x 2% )</v>
      </c>
      <c r="D15" s="147" t="s">
        <v>61</v>
      </c>
      <c r="E15" s="242" t="str">
        <f>HSXL!C$13</f>
        <v>2%</v>
      </c>
      <c r="F15" s="150"/>
      <c r="G15" s="149"/>
      <c r="H15" s="150">
        <f>ROUND(H11*HSXL!D$13,1)</f>
        <v>1946.5</v>
      </c>
    </row>
    <row r="16" spans="1:8" ht="27.75" customHeight="1">
      <c r="A16" s="238"/>
      <c r="B16" s="159"/>
      <c r="C16" s="158" t="s">
        <v>1086</v>
      </c>
      <c r="D16" s="159" t="s">
        <v>818</v>
      </c>
      <c r="E16" s="239"/>
      <c r="F16" s="162"/>
      <c r="G16" s="240"/>
      <c r="H16" s="162">
        <f>ROUND(SUM(H13:H15),1)</f>
        <v>10121.6</v>
      </c>
    </row>
    <row r="17" spans="1:8" ht="27.75" customHeight="1">
      <c r="A17" s="241"/>
      <c r="B17" s="147"/>
      <c r="C17" s="146" t="str">
        <f>"THU NHẬP CHỊU THUẾ TÍNH TRƯỚC (T+GT) x "&amp;HSXL!C$16</f>
        <v>THU NHẬP CHỊU THUẾ TÍNH TRƯỚC (T+GT) x 6%</v>
      </c>
      <c r="D17" s="147" t="s">
        <v>821</v>
      </c>
      <c r="E17" s="242" t="str">
        <f>HSXL!C$16</f>
        <v>6%</v>
      </c>
      <c r="F17" s="150"/>
      <c r="G17" s="149"/>
      <c r="H17" s="150">
        <f>ROUND((H11+H16)*HSXL!D$16,1)</f>
        <v>6446.7</v>
      </c>
    </row>
    <row r="18" spans="1:8" ht="27.75" customHeight="1">
      <c r="A18" s="241"/>
      <c r="B18" s="147"/>
      <c r="C18" s="146" t="s">
        <v>1087</v>
      </c>
      <c r="D18" s="147" t="s">
        <v>823</v>
      </c>
      <c r="E18" s="242"/>
      <c r="F18" s="150"/>
      <c r="G18" s="149"/>
      <c r="H18" s="150">
        <f>ROUND(H11+H16+H17,0)</f>
        <v>113891</v>
      </c>
    </row>
    <row r="19" spans="1:8" ht="27.75" customHeight="1">
      <c r="A19" s="241"/>
      <c r="B19" s="147"/>
      <c r="C19" s="146" t="str">
        <f>"THUẾ GIÁ TRỊ GIA TĂNG ( G x "&amp;HSXL!C$17&amp;" )"</f>
        <v>THUẾ GIÁ TRỊ GIA TĂNG ( G x 10% )</v>
      </c>
      <c r="D19" s="147" t="s">
        <v>827</v>
      </c>
      <c r="E19" s="164">
        <f>HSXL!D$17</f>
        <v>0.1</v>
      </c>
      <c r="F19" s="150"/>
      <c r="G19" s="149"/>
      <c r="H19" s="150">
        <f>ROUND(E19*H18,1)</f>
        <v>11389.1</v>
      </c>
    </row>
    <row r="20" spans="1:8" ht="27.75" customHeight="1">
      <c r="A20" s="243"/>
      <c r="B20" s="244"/>
      <c r="C20" s="245" t="s">
        <v>1088</v>
      </c>
      <c r="D20" s="244" t="s">
        <v>830</v>
      </c>
      <c r="E20" s="246"/>
      <c r="F20" s="247"/>
      <c r="G20" s="248"/>
      <c r="H20" s="249">
        <f>ROUND(H18+H19,0)</f>
        <v>125280</v>
      </c>
    </row>
    <row r="21" spans="1:8" ht="16.5" customHeight="1">
      <c r="A21" s="128">
        <f>'Công trình'!A11</f>
        <v>2</v>
      </c>
      <c r="B21" s="129" t="str">
        <f>'Công trình'!E11</f>
        <v>AB.31122</v>
      </c>
      <c r="C21" s="130" t="str">
        <f>'Công trình'!F11</f>
        <v>Đào nền đường, đất cấp II</v>
      </c>
      <c r="D21" s="129" t="str">
        <f>'Công trình'!G11</f>
        <v>100m3</v>
      </c>
      <c r="E21" s="237">
        <v>1</v>
      </c>
      <c r="F21" s="69"/>
      <c r="G21" s="68"/>
      <c r="H21" s="69"/>
    </row>
    <row r="22" spans="1:8" ht="16.5" customHeight="1">
      <c r="A22" s="131"/>
      <c r="B22" s="91"/>
      <c r="C22" s="90" t="s">
        <v>678</v>
      </c>
      <c r="D22" s="91"/>
      <c r="E22" s="93"/>
      <c r="F22" s="132"/>
      <c r="G22" s="94"/>
      <c r="H22" s="132">
        <f>ROUND(H23,1)</f>
        <v>759069.3</v>
      </c>
    </row>
    <row r="23" spans="1:8" ht="16.5" customHeight="1">
      <c r="A23" s="127"/>
      <c r="B23" s="13" t="str">
        <f>'Giá tháng'!B$48</f>
        <v>N1.30</v>
      </c>
      <c r="C23" s="14" t="str">
        <f>'Giá tháng'!C$48</f>
        <v>Nhân công 3,0/7 - Nhóm 1</v>
      </c>
      <c r="D23" s="13" t="str">
        <f>'Giá tháng'!D$48</f>
        <v>công</v>
      </c>
      <c r="E23" s="80">
        <f>HaoPhiVatTu!G$14</f>
        <v>3.43</v>
      </c>
      <c r="F23" s="15">
        <f>ROUND('Tổng hợp VT'!O$56,1)</f>
        <v>221303</v>
      </c>
      <c r="G23" s="81">
        <f>'Giá tháng'!G$48</f>
        <v>1</v>
      </c>
      <c r="H23" s="15">
        <f>ROUND(E23*F23*G23,1)</f>
        <v>759069.3</v>
      </c>
    </row>
    <row r="24" spans="1:8" ht="16.5" customHeight="1">
      <c r="A24" s="131"/>
      <c r="B24" s="91"/>
      <c r="C24" s="90" t="s">
        <v>679</v>
      </c>
      <c r="D24" s="91"/>
      <c r="E24" s="93"/>
      <c r="F24" s="132"/>
      <c r="G24" s="94"/>
      <c r="H24" s="132">
        <f>ROUND(H27,1)</f>
        <v>1149661.3</v>
      </c>
    </row>
    <row r="25" spans="1:8" ht="27.75" customHeight="1">
      <c r="A25" s="127"/>
      <c r="B25" s="13" t="str">
        <f>'Giá tháng'!B$60</f>
        <v>M101.0104</v>
      </c>
      <c r="C25" s="14" t="str">
        <f>'Giá tháng'!C$60</f>
        <v>Máy đào một gầu, bánh xích - dung tích gầu : 0,80 m3</v>
      </c>
      <c r="D25" s="13" t="str">
        <f>'Giá tháng'!D$60</f>
        <v>ca</v>
      </c>
      <c r="E25" s="80">
        <f>HaoPhiVatTu!H$16</f>
        <v>0.35499999999999998</v>
      </c>
      <c r="F25" s="15">
        <f>ROUND('Tổng hợp VT'!O$69,1)</f>
        <v>2958984</v>
      </c>
      <c r="G25" s="81">
        <f>'Giá tháng'!G$60</f>
        <v>1</v>
      </c>
      <c r="H25" s="15">
        <f>ROUND(E25*F25*G25,1)</f>
        <v>1050439.3</v>
      </c>
    </row>
    <row r="26" spans="1:8" ht="27.75" customHeight="1">
      <c r="A26" s="127"/>
      <c r="B26" s="13" t="str">
        <f>'Giá tháng'!B$76</f>
        <v>M101.0503</v>
      </c>
      <c r="C26" s="14" t="str">
        <f>'Giá tháng'!C$76</f>
        <v>Máy ủi - công suất : 110,0 CV</v>
      </c>
      <c r="D26" s="13" t="str">
        <f>'Giá tháng'!D$76</f>
        <v>ca</v>
      </c>
      <c r="E26" s="80">
        <f>HaoPhiVatTu!H$17</f>
        <v>4.7E-2</v>
      </c>
      <c r="F26" s="15">
        <f>ROUND('Tổng hợp VT'!O$85,1)</f>
        <v>2111107</v>
      </c>
      <c r="G26" s="81">
        <f>'Giá tháng'!G$76</f>
        <v>1</v>
      </c>
      <c r="H26" s="15">
        <f>ROUND(E26*F26*G26,1)</f>
        <v>99222</v>
      </c>
    </row>
    <row r="27" spans="1:8" ht="16.5" customHeight="1">
      <c r="A27" s="127"/>
      <c r="B27" s="13"/>
      <c r="C27" s="14" t="s">
        <v>776</v>
      </c>
      <c r="D27" s="13"/>
      <c r="E27" s="19"/>
      <c r="F27" s="15"/>
      <c r="G27" s="18"/>
      <c r="H27" s="15">
        <f>ROUND(SUM(H25:H26),1)</f>
        <v>1149661.3</v>
      </c>
    </row>
    <row r="28" spans="1:8" ht="27.75" customHeight="1">
      <c r="A28" s="238"/>
      <c r="B28" s="159"/>
      <c r="C28" s="158" t="s">
        <v>1085</v>
      </c>
      <c r="D28" s="159" t="s">
        <v>810</v>
      </c>
      <c r="E28" s="239"/>
      <c r="F28" s="162"/>
      <c r="G28" s="240"/>
      <c r="H28" s="162">
        <f>ROUND(+H22+H24,1)</f>
        <v>1908730.6</v>
      </c>
    </row>
    <row r="29" spans="1:8" ht="16.5" customHeight="1">
      <c r="A29" s="241"/>
      <c r="B29" s="147"/>
      <c r="C29" s="146" t="s">
        <v>812</v>
      </c>
      <c r="D29" s="147" t="str">
        <f>""</f>
        <v/>
      </c>
      <c r="E29" s="242"/>
      <c r="F29" s="150"/>
      <c r="G29" s="149"/>
      <c r="H29" s="150"/>
    </row>
    <row r="30" spans="1:8" ht="16.5" customHeight="1">
      <c r="A30" s="241"/>
      <c r="B30" s="147"/>
      <c r="C30" s="146" t="str">
        <f>"Chi phí chung ( T x "&amp;HSXL!C$14&amp;" )"</f>
        <v>Chi phí chung ( T x 6,2% )</v>
      </c>
      <c r="D30" s="147" t="s">
        <v>807</v>
      </c>
      <c r="E30" s="242" t="str">
        <f>HSXL!C$14</f>
        <v>6,2%</v>
      </c>
      <c r="F30" s="150"/>
      <c r="G30" s="149"/>
      <c r="H30" s="150">
        <f>ROUND(H28*HSXL!D$14,1)</f>
        <v>118341.3</v>
      </c>
    </row>
    <row r="31" spans="1:8" ht="27.75" customHeight="1">
      <c r="A31" s="241"/>
      <c r="B31" s="147"/>
      <c r="C31" s="146" t="str">
        <f>"Chi phí nhà tạm để ở và điều hành thi công ( T x "&amp;HSXL!C$18&amp;" )"</f>
        <v>Chi phí nhà tạm để ở và điều hành thi công ( T x 2,2% )</v>
      </c>
      <c r="D31" s="147" t="s">
        <v>815</v>
      </c>
      <c r="E31" s="242" t="str">
        <f>HSXL!C$18</f>
        <v>2,2%</v>
      </c>
      <c r="F31" s="150"/>
      <c r="G31" s="149"/>
      <c r="H31" s="150">
        <f>ROUND(H28*HSXL!D$18,1)</f>
        <v>41992.1</v>
      </c>
    </row>
    <row r="32" spans="1:8" ht="39.75" customHeight="1">
      <c r="A32" s="241"/>
      <c r="B32" s="147"/>
      <c r="C32" s="146" t="str">
        <f>"Chi phí một số công việc không xác định được khối lượng từ thiết kế ( T x "&amp;HSXL!C$13&amp;" )"</f>
        <v>Chi phí một số công việc không xác định được khối lượng từ thiết kế ( T x 2% )</v>
      </c>
      <c r="D32" s="147" t="s">
        <v>61</v>
      </c>
      <c r="E32" s="242" t="str">
        <f>HSXL!C$13</f>
        <v>2%</v>
      </c>
      <c r="F32" s="150"/>
      <c r="G32" s="149"/>
      <c r="H32" s="150">
        <f>ROUND(H28*HSXL!D$13,1)</f>
        <v>38174.6</v>
      </c>
    </row>
    <row r="33" spans="1:8" ht="27.75" customHeight="1">
      <c r="A33" s="238"/>
      <c r="B33" s="159"/>
      <c r="C33" s="158" t="s">
        <v>1086</v>
      </c>
      <c r="D33" s="159" t="s">
        <v>818</v>
      </c>
      <c r="E33" s="239"/>
      <c r="F33" s="162"/>
      <c r="G33" s="240"/>
      <c r="H33" s="162">
        <f>ROUND(SUM(H30:H32),1)</f>
        <v>198508</v>
      </c>
    </row>
    <row r="34" spans="1:8" ht="27.75" customHeight="1">
      <c r="A34" s="241"/>
      <c r="B34" s="147"/>
      <c r="C34" s="146" t="str">
        <f>"THU NHẬP CHỊU THUẾ TÍNH TRƯỚC (T+GT) x "&amp;HSXL!C$16</f>
        <v>THU NHẬP CHỊU THUẾ TÍNH TRƯỚC (T+GT) x 6%</v>
      </c>
      <c r="D34" s="147" t="s">
        <v>821</v>
      </c>
      <c r="E34" s="242" t="str">
        <f>HSXL!C$16</f>
        <v>6%</v>
      </c>
      <c r="F34" s="150"/>
      <c r="G34" s="149"/>
      <c r="H34" s="150">
        <f>ROUND((H28+H33)*HSXL!D$16,1)</f>
        <v>126434.3</v>
      </c>
    </row>
    <row r="35" spans="1:8" ht="27.75" customHeight="1">
      <c r="A35" s="241"/>
      <c r="B35" s="147"/>
      <c r="C35" s="146" t="s">
        <v>1087</v>
      </c>
      <c r="D35" s="147" t="s">
        <v>823</v>
      </c>
      <c r="E35" s="242"/>
      <c r="F35" s="150"/>
      <c r="G35" s="149"/>
      <c r="H35" s="150">
        <f>ROUND(H28+H33+H34,0)</f>
        <v>2233673</v>
      </c>
    </row>
    <row r="36" spans="1:8" ht="27.75" customHeight="1">
      <c r="A36" s="241"/>
      <c r="B36" s="147"/>
      <c r="C36" s="146" t="str">
        <f>"THUẾ GIÁ TRỊ GIA TĂNG ( G x "&amp;HSXL!C$17&amp;" )"</f>
        <v>THUẾ GIÁ TRỊ GIA TĂNG ( G x 10% )</v>
      </c>
      <c r="D36" s="147" t="s">
        <v>827</v>
      </c>
      <c r="E36" s="164">
        <f>HSXL!D$17</f>
        <v>0.1</v>
      </c>
      <c r="F36" s="150"/>
      <c r="G36" s="149"/>
      <c r="H36" s="150">
        <f>ROUND(E36*H35,1)</f>
        <v>223367.3</v>
      </c>
    </row>
    <row r="37" spans="1:8" ht="27.75" customHeight="1">
      <c r="A37" s="243"/>
      <c r="B37" s="244"/>
      <c r="C37" s="245" t="s">
        <v>1088</v>
      </c>
      <c r="D37" s="244" t="s">
        <v>830</v>
      </c>
      <c r="E37" s="246"/>
      <c r="F37" s="247"/>
      <c r="G37" s="248"/>
      <c r="H37" s="249">
        <f>ROUND(H35+H36,0)</f>
        <v>2457040</v>
      </c>
    </row>
    <row r="38" spans="1:8" ht="27.75" customHeight="1">
      <c r="A38" s="128">
        <f>'Công trình'!A13</f>
        <v>3</v>
      </c>
      <c r="B38" s="129" t="str">
        <f>'Công trình'!E13</f>
        <v>AB.64113</v>
      </c>
      <c r="C38" s="130" t="str">
        <f>'Công trình'!F13</f>
        <v>Lớp đất núi đầm chặt K95, dày 30cm</v>
      </c>
      <c r="D38" s="129" t="str">
        <f>'Công trình'!G13</f>
        <v>100m3</v>
      </c>
      <c r="E38" s="237">
        <v>1</v>
      </c>
      <c r="F38" s="69"/>
      <c r="G38" s="68"/>
      <c r="H38" s="69"/>
    </row>
    <row r="39" spans="1:8" ht="16.5" customHeight="1">
      <c r="A39" s="131"/>
      <c r="B39" s="91"/>
      <c r="C39" s="90" t="s">
        <v>678</v>
      </c>
      <c r="D39" s="91"/>
      <c r="E39" s="93"/>
      <c r="F39" s="132"/>
      <c r="G39" s="94"/>
      <c r="H39" s="132">
        <f>ROUND(H40,1)</f>
        <v>365150</v>
      </c>
    </row>
    <row r="40" spans="1:8" ht="16.5" customHeight="1">
      <c r="A40" s="127"/>
      <c r="B40" s="13" t="str">
        <f>'Giá tháng'!B$48</f>
        <v>N1.30</v>
      </c>
      <c r="C40" s="14" t="str">
        <f>'Giá tháng'!C$48</f>
        <v>Nhân công 3,0/7 - Nhóm 1</v>
      </c>
      <c r="D40" s="13" t="str">
        <f>'Giá tháng'!D$48</f>
        <v>công</v>
      </c>
      <c r="E40" s="80">
        <f>HaoPhiVatTu!G$20</f>
        <v>1.65</v>
      </c>
      <c r="F40" s="15">
        <f>ROUND('Tổng hợp VT'!O$56,1)</f>
        <v>221303</v>
      </c>
      <c r="G40" s="81">
        <f>'Giá tháng'!G$48</f>
        <v>1</v>
      </c>
      <c r="H40" s="15">
        <f>ROUND(E40*F40*G40,1)</f>
        <v>365150</v>
      </c>
    </row>
    <row r="41" spans="1:8" ht="16.5" customHeight="1">
      <c r="A41" s="131"/>
      <c r="B41" s="91"/>
      <c r="C41" s="90" t="s">
        <v>679</v>
      </c>
      <c r="D41" s="91"/>
      <c r="E41" s="93"/>
      <c r="F41" s="132"/>
      <c r="G41" s="94"/>
      <c r="H41" s="132">
        <f>ROUND(H45,1)</f>
        <v>944559.5</v>
      </c>
    </row>
    <row r="42" spans="1:8" ht="27.75" customHeight="1">
      <c r="A42" s="127"/>
      <c r="B42" s="13" t="str">
        <f>'Giá tháng'!B$69</f>
        <v>M101.1102</v>
      </c>
      <c r="C42" s="14" t="str">
        <f>'Giá tháng'!C$69</f>
        <v>Máy lu bánh thép tự hành - trọng lượng tĩnh : 8,5 T - 9 T</v>
      </c>
      <c r="D42" s="13" t="str">
        <f>'Giá tháng'!D$69</f>
        <v>ca</v>
      </c>
      <c r="E42" s="80">
        <f>HaoPhiVatTu!H$22</f>
        <v>0.42</v>
      </c>
      <c r="F42" s="15">
        <f>ROUND('Tổng hợp VT'!O$78,1)</f>
        <v>1160162</v>
      </c>
      <c r="G42" s="81">
        <f>'Giá tháng'!G$69</f>
        <v>1</v>
      </c>
      <c r="H42" s="15">
        <f>ROUND(E42*F42*G42,1)</f>
        <v>487268</v>
      </c>
    </row>
    <row r="43" spans="1:8" ht="27.75" customHeight="1">
      <c r="A43" s="127"/>
      <c r="B43" s="13" t="str">
        <f>'Giá tháng'!B$76</f>
        <v>M101.0503</v>
      </c>
      <c r="C43" s="14" t="str">
        <f>'Giá tháng'!C$76</f>
        <v>Máy ủi - công suất : 110,0 CV</v>
      </c>
      <c r="D43" s="13" t="str">
        <f>'Giá tháng'!D$76</f>
        <v>ca</v>
      </c>
      <c r="E43" s="80">
        <f>HaoPhiVatTu!H$23</f>
        <v>0.21</v>
      </c>
      <c r="F43" s="15">
        <f>ROUND('Tổng hợp VT'!O$85,1)</f>
        <v>2111107</v>
      </c>
      <c r="G43" s="81">
        <f>'Giá tháng'!G$76</f>
        <v>1</v>
      </c>
      <c r="H43" s="15">
        <f>ROUND(E43*F43*G43,1)</f>
        <v>443332.5</v>
      </c>
    </row>
    <row r="44" spans="1:8" ht="16.5" customHeight="1">
      <c r="A44" s="127"/>
      <c r="B44" s="13" t="s">
        <v>680</v>
      </c>
      <c r="C44" s="14" t="s">
        <v>681</v>
      </c>
      <c r="D44" s="13" t="s">
        <v>682</v>
      </c>
      <c r="E44" s="80">
        <f>HaoPhiVatTu!H$24</f>
        <v>1.5</v>
      </c>
      <c r="F44" s="15">
        <f>ROUND(SUM(H42:H43),1)</f>
        <v>930600.5</v>
      </c>
      <c r="G44" s="81"/>
      <c r="H44" s="15">
        <f>ROUND(E44*F44/100,1)</f>
        <v>13959</v>
      </c>
    </row>
    <row r="45" spans="1:8" ht="16.5" customHeight="1">
      <c r="A45" s="127"/>
      <c r="B45" s="13"/>
      <c r="C45" s="14" t="s">
        <v>776</v>
      </c>
      <c r="D45" s="13"/>
      <c r="E45" s="19"/>
      <c r="F45" s="15"/>
      <c r="G45" s="18"/>
      <c r="H45" s="15">
        <f>ROUND(SUM(H42:H44),1)</f>
        <v>944559.5</v>
      </c>
    </row>
    <row r="46" spans="1:8" ht="27.75" customHeight="1">
      <c r="A46" s="238"/>
      <c r="B46" s="159"/>
      <c r="C46" s="158" t="s">
        <v>1085</v>
      </c>
      <c r="D46" s="159" t="s">
        <v>810</v>
      </c>
      <c r="E46" s="239"/>
      <c r="F46" s="162"/>
      <c r="G46" s="240"/>
      <c r="H46" s="162">
        <f>ROUND(+H39+H41,1)</f>
        <v>1309709.5</v>
      </c>
    </row>
    <row r="47" spans="1:8" ht="16.5" customHeight="1">
      <c r="A47" s="241"/>
      <c r="B47" s="147"/>
      <c r="C47" s="146" t="s">
        <v>812</v>
      </c>
      <c r="D47" s="147" t="str">
        <f>""</f>
        <v/>
      </c>
      <c r="E47" s="242"/>
      <c r="F47" s="150"/>
      <c r="G47" s="149"/>
      <c r="H47" s="150"/>
    </row>
    <row r="48" spans="1:8" ht="16.5" customHeight="1">
      <c r="A48" s="241"/>
      <c r="B48" s="147"/>
      <c r="C48" s="146" t="str">
        <f>"Chi phí chung ( T x "&amp;HSXL!C$14&amp;" )"</f>
        <v>Chi phí chung ( T x 6,2% )</v>
      </c>
      <c r="D48" s="147" t="s">
        <v>807</v>
      </c>
      <c r="E48" s="242" t="str">
        <f>HSXL!C$14</f>
        <v>6,2%</v>
      </c>
      <c r="F48" s="150"/>
      <c r="G48" s="149"/>
      <c r="H48" s="150">
        <f>ROUND(H46*HSXL!D$14,1)</f>
        <v>81202</v>
      </c>
    </row>
    <row r="49" spans="1:8" ht="27.75" customHeight="1">
      <c r="A49" s="241"/>
      <c r="B49" s="147"/>
      <c r="C49" s="146" t="str">
        <f>"Chi phí nhà tạm để ở và điều hành thi công ( T x "&amp;HSXL!C$18&amp;" )"</f>
        <v>Chi phí nhà tạm để ở và điều hành thi công ( T x 2,2% )</v>
      </c>
      <c r="D49" s="147" t="s">
        <v>815</v>
      </c>
      <c r="E49" s="242" t="str">
        <f>HSXL!C$18</f>
        <v>2,2%</v>
      </c>
      <c r="F49" s="150"/>
      <c r="G49" s="149"/>
      <c r="H49" s="150">
        <f>ROUND(H46*HSXL!D$18,1)</f>
        <v>28813.599999999999</v>
      </c>
    </row>
    <row r="50" spans="1:8" ht="39.75" customHeight="1">
      <c r="A50" s="241"/>
      <c r="B50" s="147"/>
      <c r="C50" s="146" t="str">
        <f>"Chi phí một số công việc không xác định được khối lượng từ thiết kế ( T x "&amp;HSXL!C$13&amp;" )"</f>
        <v>Chi phí một số công việc không xác định được khối lượng từ thiết kế ( T x 2% )</v>
      </c>
      <c r="D50" s="147" t="s">
        <v>61</v>
      </c>
      <c r="E50" s="242" t="str">
        <f>HSXL!C$13</f>
        <v>2%</v>
      </c>
      <c r="F50" s="150"/>
      <c r="G50" s="149"/>
      <c r="H50" s="150">
        <f>ROUND(H46*HSXL!D$13,1)</f>
        <v>26194.2</v>
      </c>
    </row>
    <row r="51" spans="1:8" ht="27.75" customHeight="1">
      <c r="A51" s="238"/>
      <c r="B51" s="159"/>
      <c r="C51" s="158" t="s">
        <v>1086</v>
      </c>
      <c r="D51" s="159" t="s">
        <v>818</v>
      </c>
      <c r="E51" s="239"/>
      <c r="F51" s="162"/>
      <c r="G51" s="240"/>
      <c r="H51" s="162">
        <f>ROUND(SUM(H48:H50),1)</f>
        <v>136209.79999999999</v>
      </c>
    </row>
    <row r="52" spans="1:8" ht="27.75" customHeight="1">
      <c r="A52" s="241"/>
      <c r="B52" s="147"/>
      <c r="C52" s="146" t="str">
        <f>"THU NHẬP CHỊU THUẾ TÍNH TRƯỚC (T+GT) x "&amp;HSXL!C$16</f>
        <v>THU NHẬP CHỊU THUẾ TÍNH TRƯỚC (T+GT) x 6%</v>
      </c>
      <c r="D52" s="147" t="s">
        <v>821</v>
      </c>
      <c r="E52" s="242" t="str">
        <f>HSXL!C$16</f>
        <v>6%</v>
      </c>
      <c r="F52" s="150"/>
      <c r="G52" s="149"/>
      <c r="H52" s="150">
        <f>ROUND((H46+H51)*HSXL!D$16,1)</f>
        <v>86755.199999999997</v>
      </c>
    </row>
    <row r="53" spans="1:8" ht="27.75" customHeight="1">
      <c r="A53" s="241"/>
      <c r="B53" s="147"/>
      <c r="C53" s="146" t="s">
        <v>1087</v>
      </c>
      <c r="D53" s="147" t="s">
        <v>823</v>
      </c>
      <c r="E53" s="242"/>
      <c r="F53" s="150"/>
      <c r="G53" s="149"/>
      <c r="H53" s="150">
        <f>ROUND(H46+H51+H52,0)</f>
        <v>1532675</v>
      </c>
    </row>
    <row r="54" spans="1:8" ht="27.75" customHeight="1">
      <c r="A54" s="241"/>
      <c r="B54" s="147"/>
      <c r="C54" s="146" t="str">
        <f>"THUẾ GIÁ TRỊ GIA TĂNG ( G x "&amp;HSXL!C$17&amp;" )"</f>
        <v>THUẾ GIÁ TRỊ GIA TĂNG ( G x 10% )</v>
      </c>
      <c r="D54" s="147" t="s">
        <v>827</v>
      </c>
      <c r="E54" s="164">
        <f>HSXL!D$17</f>
        <v>0.1</v>
      </c>
      <c r="F54" s="150"/>
      <c r="G54" s="149"/>
      <c r="H54" s="150">
        <f>ROUND(E54*H53,1)</f>
        <v>153267.5</v>
      </c>
    </row>
    <row r="55" spans="1:8" ht="27.75" customHeight="1">
      <c r="A55" s="243"/>
      <c r="B55" s="244"/>
      <c r="C55" s="245" t="s">
        <v>1088</v>
      </c>
      <c r="D55" s="244" t="s">
        <v>830</v>
      </c>
      <c r="E55" s="246"/>
      <c r="F55" s="247"/>
      <c r="G55" s="248"/>
      <c r="H55" s="249">
        <f>ROUND(H53+H54,0)</f>
        <v>1685943</v>
      </c>
    </row>
    <row r="56" spans="1:8" ht="16.5" customHeight="1">
      <c r="A56" s="128">
        <f>'Công trình'!A15</f>
        <v>4</v>
      </c>
      <c r="B56" s="129" t="str">
        <f>'Công trình'!E15</f>
        <v>TT</v>
      </c>
      <c r="C56" s="130" t="str">
        <f>'Công trình'!F15</f>
        <v>Tiền đất núi</v>
      </c>
      <c r="D56" s="129" t="str">
        <f>'Công trình'!G15</f>
        <v>m3</v>
      </c>
      <c r="E56" s="237">
        <v>1</v>
      </c>
      <c r="F56" s="69"/>
      <c r="G56" s="68"/>
      <c r="H56" s="69"/>
    </row>
    <row r="57" spans="1:8" ht="16.5" customHeight="1">
      <c r="A57" s="131"/>
      <c r="B57" s="91"/>
      <c r="C57" s="90" t="s">
        <v>683</v>
      </c>
      <c r="D57" s="91"/>
      <c r="E57" s="93"/>
      <c r="F57" s="132"/>
      <c r="G57" s="94"/>
      <c r="H57" s="132">
        <f>ROUND(H58,1)</f>
        <v>190000</v>
      </c>
    </row>
    <row r="58" spans="1:8" ht="16.5" customHeight="1">
      <c r="A58" s="127"/>
      <c r="B58" s="13" t="str">
        <f>""</f>
        <v/>
      </c>
      <c r="C58" s="14" t="s">
        <v>27</v>
      </c>
      <c r="D58" s="13" t="str">
        <f>""</f>
        <v/>
      </c>
      <c r="E58" s="80">
        <v>1</v>
      </c>
      <c r="F58" s="15">
        <f>ROUND('Tổng hợp VT'!O6,1)</f>
        <v>190000</v>
      </c>
      <c r="G58" s="81"/>
      <c r="H58" s="15">
        <f>ROUND(E58*F58,1)</f>
        <v>190000</v>
      </c>
    </row>
    <row r="59" spans="1:8" ht="27.75" customHeight="1">
      <c r="A59" s="238"/>
      <c r="B59" s="159"/>
      <c r="C59" s="158" t="s">
        <v>1085</v>
      </c>
      <c r="D59" s="159" t="s">
        <v>810</v>
      </c>
      <c r="E59" s="239"/>
      <c r="F59" s="162"/>
      <c r="G59" s="240"/>
      <c r="H59" s="162">
        <f>ROUND(H57,1)</f>
        <v>190000</v>
      </c>
    </row>
    <row r="60" spans="1:8" ht="16.5" customHeight="1">
      <c r="A60" s="241"/>
      <c r="B60" s="147"/>
      <c r="C60" s="146" t="s">
        <v>812</v>
      </c>
      <c r="D60" s="147" t="str">
        <f>""</f>
        <v/>
      </c>
      <c r="E60" s="242"/>
      <c r="F60" s="150"/>
      <c r="G60" s="149"/>
      <c r="H60" s="150"/>
    </row>
    <row r="61" spans="1:8" ht="16.5" customHeight="1">
      <c r="A61" s="241"/>
      <c r="B61" s="147"/>
      <c r="C61" s="146" t="str">
        <f>"Chi phí chung ( T x "&amp;HSXL!C$14&amp;" )"</f>
        <v>Chi phí chung ( T x 6,2% )</v>
      </c>
      <c r="D61" s="147" t="s">
        <v>807</v>
      </c>
      <c r="E61" s="242" t="str">
        <f>HSXL!C$14</f>
        <v>6,2%</v>
      </c>
      <c r="F61" s="150"/>
      <c r="G61" s="149"/>
      <c r="H61" s="150">
        <f>ROUND(H59*HSXL!D$14,1)</f>
        <v>11780</v>
      </c>
    </row>
    <row r="62" spans="1:8" ht="27.75" customHeight="1">
      <c r="A62" s="241"/>
      <c r="B62" s="147"/>
      <c r="C62" s="146" t="str">
        <f>"Chi phí nhà tạm để ở và điều hành thi công ( T x "&amp;HSXL!C$18&amp;" )"</f>
        <v>Chi phí nhà tạm để ở và điều hành thi công ( T x 2,2% )</v>
      </c>
      <c r="D62" s="147" t="s">
        <v>815</v>
      </c>
      <c r="E62" s="242" t="str">
        <f>HSXL!C$18</f>
        <v>2,2%</v>
      </c>
      <c r="F62" s="150"/>
      <c r="G62" s="149"/>
      <c r="H62" s="150">
        <f>ROUND(H59*HSXL!D$18,1)</f>
        <v>4180</v>
      </c>
    </row>
    <row r="63" spans="1:8" ht="39.75" customHeight="1">
      <c r="A63" s="241"/>
      <c r="B63" s="147"/>
      <c r="C63" s="146" t="str">
        <f>"Chi phí một số công việc không xác định được khối lượng từ thiết kế ( T x "&amp;HSXL!C$13&amp;" )"</f>
        <v>Chi phí một số công việc không xác định được khối lượng từ thiết kế ( T x 2% )</v>
      </c>
      <c r="D63" s="147" t="s">
        <v>61</v>
      </c>
      <c r="E63" s="242" t="str">
        <f>HSXL!C$13</f>
        <v>2%</v>
      </c>
      <c r="F63" s="150"/>
      <c r="G63" s="149"/>
      <c r="H63" s="150">
        <f>ROUND(H59*HSXL!D$13,1)</f>
        <v>3800</v>
      </c>
    </row>
    <row r="64" spans="1:8" ht="27.75" customHeight="1">
      <c r="A64" s="238"/>
      <c r="B64" s="159"/>
      <c r="C64" s="158" t="s">
        <v>1086</v>
      </c>
      <c r="D64" s="159" t="s">
        <v>818</v>
      </c>
      <c r="E64" s="239"/>
      <c r="F64" s="162"/>
      <c r="G64" s="240"/>
      <c r="H64" s="162">
        <f>ROUND(SUM(H61:H63),1)</f>
        <v>19760</v>
      </c>
    </row>
    <row r="65" spans="1:8" ht="27.75" customHeight="1">
      <c r="A65" s="241"/>
      <c r="B65" s="147"/>
      <c r="C65" s="146" t="str">
        <f>"THU NHẬP CHỊU THUẾ TÍNH TRƯỚC (T+GT) x "&amp;HSXL!C$16</f>
        <v>THU NHẬP CHỊU THUẾ TÍNH TRƯỚC (T+GT) x 6%</v>
      </c>
      <c r="D65" s="147" t="s">
        <v>821</v>
      </c>
      <c r="E65" s="242" t="str">
        <f>HSXL!C$16</f>
        <v>6%</v>
      </c>
      <c r="F65" s="150"/>
      <c r="G65" s="149"/>
      <c r="H65" s="150">
        <f>ROUND((H59+H64)*HSXL!D$16,1)</f>
        <v>12585.6</v>
      </c>
    </row>
    <row r="66" spans="1:8" ht="27.75" customHeight="1">
      <c r="A66" s="241"/>
      <c r="B66" s="147"/>
      <c r="C66" s="146" t="s">
        <v>1087</v>
      </c>
      <c r="D66" s="147" t="s">
        <v>823</v>
      </c>
      <c r="E66" s="242"/>
      <c r="F66" s="150"/>
      <c r="G66" s="149"/>
      <c r="H66" s="150">
        <f>ROUND(H59+H64+H65,0)</f>
        <v>222346</v>
      </c>
    </row>
    <row r="67" spans="1:8" ht="27.75" customHeight="1">
      <c r="A67" s="241"/>
      <c r="B67" s="147"/>
      <c r="C67" s="146" t="str">
        <f>"THUẾ GIÁ TRỊ GIA TĂNG ( G x "&amp;HSXL!C$17&amp;" )"</f>
        <v>THUẾ GIÁ TRỊ GIA TĂNG ( G x 10% )</v>
      </c>
      <c r="D67" s="147" t="s">
        <v>827</v>
      </c>
      <c r="E67" s="164">
        <f>HSXL!D$17</f>
        <v>0.1</v>
      </c>
      <c r="F67" s="150"/>
      <c r="G67" s="149"/>
      <c r="H67" s="150">
        <f>ROUND(E67*H66,1)</f>
        <v>22234.6</v>
      </c>
    </row>
    <row r="68" spans="1:8" ht="27.75" customHeight="1">
      <c r="A68" s="243"/>
      <c r="B68" s="244"/>
      <c r="C68" s="245" t="s">
        <v>1088</v>
      </c>
      <c r="D68" s="244" t="s">
        <v>830</v>
      </c>
      <c r="E68" s="246"/>
      <c r="F68" s="247"/>
      <c r="G68" s="248"/>
      <c r="H68" s="249">
        <f>ROUND(H66+H67,0)</f>
        <v>244581</v>
      </c>
    </row>
    <row r="69" spans="1:8" ht="27.75" customHeight="1">
      <c r="A69" s="128">
        <f>'Công trình'!A17</f>
        <v>5</v>
      </c>
      <c r="B69" s="129" t="str">
        <f>'Công trình'!E17</f>
        <v>AD.11222</v>
      </c>
      <c r="C69" s="130" t="str">
        <f>'Công trình'!F17</f>
        <v>Cấp phối đá dăm loại I, lớp trên dày 18 cm</v>
      </c>
      <c r="D69" s="129" t="str">
        <f>'Công trình'!G17</f>
        <v>100m3</v>
      </c>
      <c r="E69" s="237">
        <v>1</v>
      </c>
      <c r="F69" s="69"/>
      <c r="G69" s="68"/>
      <c r="H69" s="69"/>
    </row>
    <row r="70" spans="1:8" ht="16.5" customHeight="1">
      <c r="A70" s="131"/>
      <c r="B70" s="91"/>
      <c r="C70" s="90" t="s">
        <v>683</v>
      </c>
      <c r="D70" s="91"/>
      <c r="E70" s="93"/>
      <c r="F70" s="132"/>
      <c r="G70" s="94"/>
      <c r="H70" s="132">
        <f>ROUND(H71,1)</f>
        <v>36180000</v>
      </c>
    </row>
    <row r="71" spans="1:8" ht="16.5" customHeight="1">
      <c r="A71" s="127"/>
      <c r="B71" s="13" t="str">
        <f>'Giá tháng'!B$11</f>
        <v>A24.0251</v>
      </c>
      <c r="C71" s="14" t="str">
        <f>'Giá tháng'!C$11</f>
        <v>Cấp phối đá dăm loại I</v>
      </c>
      <c r="D71" s="13" t="str">
        <f>'Giá tháng'!D$11</f>
        <v>m3</v>
      </c>
      <c r="E71" s="80">
        <f>HaoPhiVatTu!F$27</f>
        <v>134</v>
      </c>
      <c r="F71" s="15">
        <f>ROUND('Tổng hợp VT'!O$16,1)</f>
        <v>270000</v>
      </c>
      <c r="G71" s="81">
        <f>'Giá tháng'!G$11</f>
        <v>1</v>
      </c>
      <c r="H71" s="15">
        <f>ROUND(E71*F71*G71,1)</f>
        <v>36180000</v>
      </c>
    </row>
    <row r="72" spans="1:8" ht="16.5" customHeight="1">
      <c r="A72" s="131"/>
      <c r="B72" s="91"/>
      <c r="C72" s="90" t="s">
        <v>678</v>
      </c>
      <c r="D72" s="91"/>
      <c r="E72" s="93"/>
      <c r="F72" s="132"/>
      <c r="G72" s="94"/>
      <c r="H72" s="132">
        <f>ROUND(H73,1)</f>
        <v>843363.8</v>
      </c>
    </row>
    <row r="73" spans="1:8" ht="16.5" customHeight="1">
      <c r="A73" s="127"/>
      <c r="B73" s="13" t="str">
        <f>'Giá tháng'!B$49</f>
        <v>N2.30</v>
      </c>
      <c r="C73" s="14" t="str">
        <f>'Giá tháng'!C$49</f>
        <v>Nhân công 3,0/7 - Nhóm 2</v>
      </c>
      <c r="D73" s="13" t="str">
        <f>'Giá tháng'!D$49</f>
        <v>công</v>
      </c>
      <c r="E73" s="80">
        <f>HaoPhiVatTu!G$29</f>
        <v>3.52</v>
      </c>
      <c r="F73" s="15">
        <f>ROUND('Tổng hợp VT'!O$57,1)</f>
        <v>239592</v>
      </c>
      <c r="G73" s="81">
        <f>'Giá tháng'!G$49</f>
        <v>1</v>
      </c>
      <c r="H73" s="15">
        <f>ROUND(E73*F73*G73,1)</f>
        <v>843363.8</v>
      </c>
    </row>
    <row r="74" spans="1:8" ht="16.5" customHeight="1">
      <c r="A74" s="131"/>
      <c r="B74" s="91"/>
      <c r="C74" s="90" t="s">
        <v>679</v>
      </c>
      <c r="D74" s="91"/>
      <c r="E74" s="93"/>
      <c r="F74" s="132"/>
      <c r="G74" s="94"/>
      <c r="H74" s="132">
        <f>ROUND(H81,1)</f>
        <v>2714101.5</v>
      </c>
    </row>
    <row r="75" spans="1:8" ht="27.75" customHeight="1">
      <c r="A75" s="127"/>
      <c r="B75" s="13" t="str">
        <f>'Giá tháng'!B$73</f>
        <v>M105.0401</v>
      </c>
      <c r="C75" s="14" t="str">
        <f>'Giá tháng'!C$73</f>
        <v>Máy rải cấp phối đá dăm - năng suất : 50 m3/h - 60 m3/h</v>
      </c>
      <c r="D75" s="13" t="str">
        <f>'Giá tháng'!D$73</f>
        <v>ca</v>
      </c>
      <c r="E75" s="80">
        <f>HaoPhiVatTu!H$31</f>
        <v>0.21</v>
      </c>
      <c r="F75" s="15">
        <f>ROUND('Tổng hợp VT'!O$82,1)</f>
        <v>3787695</v>
      </c>
      <c r="G75" s="81">
        <f>'Giá tháng'!G$73</f>
        <v>1</v>
      </c>
      <c r="H75" s="15">
        <f>ROUND(E75*F75*G75,1)</f>
        <v>795416</v>
      </c>
    </row>
    <row r="76" spans="1:8" ht="27.75" customHeight="1">
      <c r="A76" s="127"/>
      <c r="B76" s="13" t="str">
        <f>'Giá tháng'!B$70</f>
        <v>M101.1006</v>
      </c>
      <c r="C76" s="14" t="str">
        <f>'Giá tháng'!C$70</f>
        <v>Máy lu rung tự hành - trọng lượng tĩnh : 25T</v>
      </c>
      <c r="D76" s="13" t="str">
        <f>'Giá tháng'!D$70</f>
        <v>ca</v>
      </c>
      <c r="E76" s="80">
        <f>HaoPhiVatTu!H$32</f>
        <v>0.32</v>
      </c>
      <c r="F76" s="15">
        <f>ROUND('Tổng hợp VT'!O$79,1)</f>
        <v>3220793</v>
      </c>
      <c r="G76" s="81">
        <f>'Giá tháng'!G$70</f>
        <v>1</v>
      </c>
      <c r="H76" s="15">
        <f>ROUND(E76*F76*G76,1)</f>
        <v>1030653.8</v>
      </c>
    </row>
    <row r="77" spans="1:8" ht="27.75" customHeight="1">
      <c r="A77" s="127"/>
      <c r="B77" s="13" t="str">
        <f>'Giá tháng'!B$66</f>
        <v>M101.0902</v>
      </c>
      <c r="C77" s="14" t="str">
        <f>'Giá tháng'!C$66</f>
        <v>Máy lu bánh hơi tự hành - trọng lượng tĩnh : 16,0 T</v>
      </c>
      <c r="D77" s="13" t="str">
        <f>'Giá tháng'!D$66</f>
        <v>ca</v>
      </c>
      <c r="E77" s="80">
        <f>HaoPhiVatTu!H$33</f>
        <v>0.15</v>
      </c>
      <c r="F77" s="15">
        <f>ROUND('Tổng hợp VT'!O$75,1)</f>
        <v>1793732</v>
      </c>
      <c r="G77" s="81">
        <f>'Giá tháng'!G$66</f>
        <v>1</v>
      </c>
      <c r="H77" s="15">
        <f>ROUND(E77*F77*G77,1)</f>
        <v>269059.8</v>
      </c>
    </row>
    <row r="78" spans="1:8" ht="27.75" customHeight="1">
      <c r="A78" s="127"/>
      <c r="B78" s="13" t="str">
        <f>'Giá tháng'!B$67</f>
        <v>M101.1103</v>
      </c>
      <c r="C78" s="14" t="str">
        <f>'Giá tháng'!C$67</f>
        <v>Máy lu bánh thép tự hành - trọng lượng tĩnh : 10,0 T</v>
      </c>
      <c r="D78" s="13" t="str">
        <f>'Giá tháng'!D$67</f>
        <v>ca</v>
      </c>
      <c r="E78" s="80">
        <f>HaoPhiVatTu!H$34</f>
        <v>0.26</v>
      </c>
      <c r="F78" s="15">
        <f>ROUND('Tổng hợp VT'!O$76,1)</f>
        <v>1295671</v>
      </c>
      <c r="G78" s="81">
        <f>'Giá tháng'!G$67</f>
        <v>1</v>
      </c>
      <c r="H78" s="15">
        <f>ROUND(E78*F78*G78,1)</f>
        <v>336874.5</v>
      </c>
    </row>
    <row r="79" spans="1:8" ht="27.75" customHeight="1">
      <c r="A79" s="127"/>
      <c r="B79" s="13" t="str">
        <f>'Giá tháng'!B$80</f>
        <v>M106.0502</v>
      </c>
      <c r="C79" s="14" t="str">
        <f>'Giá tháng'!C$80</f>
        <v>Ô tô tưới nước - dung tích : 5,0 m3</v>
      </c>
      <c r="D79" s="13" t="str">
        <f>'Giá tháng'!D$80</f>
        <v>ca</v>
      </c>
      <c r="E79" s="80">
        <f>HaoPhiVatTu!H$35</f>
        <v>0.21</v>
      </c>
      <c r="F79" s="15">
        <f>ROUND('Tổng hợp VT'!O$88,1)</f>
        <v>1279021</v>
      </c>
      <c r="G79" s="81">
        <f>'Giá tháng'!G$80</f>
        <v>1</v>
      </c>
      <c r="H79" s="15">
        <f>ROUND(E79*F79*G79,1)</f>
        <v>268594.40000000002</v>
      </c>
    </row>
    <row r="80" spans="1:8" ht="16.5" customHeight="1">
      <c r="A80" s="127"/>
      <c r="B80" s="13" t="s">
        <v>680</v>
      </c>
      <c r="C80" s="14" t="s">
        <v>681</v>
      </c>
      <c r="D80" s="13" t="s">
        <v>682</v>
      </c>
      <c r="E80" s="80">
        <f>HaoPhiVatTu!H$36</f>
        <v>0.5</v>
      </c>
      <c r="F80" s="15">
        <f>ROUND(SUM(H75:H79),1)</f>
        <v>2700598.5</v>
      </c>
      <c r="G80" s="81"/>
      <c r="H80" s="15">
        <f>ROUND(E80*F80/100,1)</f>
        <v>13503</v>
      </c>
    </row>
    <row r="81" spans="1:8" ht="16.5" customHeight="1">
      <c r="A81" s="127"/>
      <c r="B81" s="13"/>
      <c r="C81" s="14" t="s">
        <v>776</v>
      </c>
      <c r="D81" s="13"/>
      <c r="E81" s="19"/>
      <c r="F81" s="15"/>
      <c r="G81" s="18"/>
      <c r="H81" s="15">
        <f>ROUND(SUM(H75:H80),1)</f>
        <v>2714101.5</v>
      </c>
    </row>
    <row r="82" spans="1:8" ht="27.75" customHeight="1">
      <c r="A82" s="238"/>
      <c r="B82" s="159"/>
      <c r="C82" s="158" t="s">
        <v>1085</v>
      </c>
      <c r="D82" s="159" t="s">
        <v>810</v>
      </c>
      <c r="E82" s="239"/>
      <c r="F82" s="162"/>
      <c r="G82" s="240"/>
      <c r="H82" s="162">
        <f>ROUND(H70+H72+H74,1)</f>
        <v>39737465.299999997</v>
      </c>
    </row>
    <row r="83" spans="1:8" ht="16.5" customHeight="1">
      <c r="A83" s="241"/>
      <c r="B83" s="147"/>
      <c r="C83" s="146" t="s">
        <v>812</v>
      </c>
      <c r="D83" s="147" t="str">
        <f>""</f>
        <v/>
      </c>
      <c r="E83" s="242"/>
      <c r="F83" s="150"/>
      <c r="G83" s="149"/>
      <c r="H83" s="150"/>
    </row>
    <row r="84" spans="1:8" ht="16.5" customHeight="1">
      <c r="A84" s="241"/>
      <c r="B84" s="147"/>
      <c r="C84" s="146" t="str">
        <f>"Chi phí chung ( T x "&amp;HSXL!C$14&amp;" )"</f>
        <v>Chi phí chung ( T x 6,2% )</v>
      </c>
      <c r="D84" s="147" t="s">
        <v>807</v>
      </c>
      <c r="E84" s="242" t="str">
        <f>HSXL!C$14</f>
        <v>6,2%</v>
      </c>
      <c r="F84" s="150"/>
      <c r="G84" s="149"/>
      <c r="H84" s="150">
        <f>ROUND(H82*HSXL!D$14,1)</f>
        <v>2463722.7999999998</v>
      </c>
    </row>
    <row r="85" spans="1:8" ht="27.75" customHeight="1">
      <c r="A85" s="241"/>
      <c r="B85" s="147"/>
      <c r="C85" s="146" t="str">
        <f>"Chi phí nhà tạm để ở và điều hành thi công ( T x "&amp;HSXL!C$18&amp;" )"</f>
        <v>Chi phí nhà tạm để ở và điều hành thi công ( T x 2,2% )</v>
      </c>
      <c r="D85" s="147" t="s">
        <v>815</v>
      </c>
      <c r="E85" s="242" t="str">
        <f>HSXL!C$18</f>
        <v>2,2%</v>
      </c>
      <c r="F85" s="150"/>
      <c r="G85" s="149"/>
      <c r="H85" s="150">
        <f>ROUND(H82*HSXL!D$18,1)</f>
        <v>874224.2</v>
      </c>
    </row>
    <row r="86" spans="1:8" ht="39.75" customHeight="1">
      <c r="A86" s="241"/>
      <c r="B86" s="147"/>
      <c r="C86" s="146" t="str">
        <f>"Chi phí một số công việc không xác định được khối lượng từ thiết kế ( T x "&amp;HSXL!C$13&amp;" )"</f>
        <v>Chi phí một số công việc không xác định được khối lượng từ thiết kế ( T x 2% )</v>
      </c>
      <c r="D86" s="147" t="s">
        <v>61</v>
      </c>
      <c r="E86" s="242" t="str">
        <f>HSXL!C$13</f>
        <v>2%</v>
      </c>
      <c r="F86" s="150"/>
      <c r="G86" s="149"/>
      <c r="H86" s="150">
        <f>ROUND(H82*HSXL!D$13,1)</f>
        <v>794749.3</v>
      </c>
    </row>
    <row r="87" spans="1:8" ht="27.75" customHeight="1">
      <c r="A87" s="238"/>
      <c r="B87" s="159"/>
      <c r="C87" s="158" t="s">
        <v>1086</v>
      </c>
      <c r="D87" s="159" t="s">
        <v>818</v>
      </c>
      <c r="E87" s="239"/>
      <c r="F87" s="162"/>
      <c r="G87" s="240"/>
      <c r="H87" s="162">
        <f>ROUND(SUM(H84:H86),1)</f>
        <v>4132696.3</v>
      </c>
    </row>
    <row r="88" spans="1:8" ht="27.75" customHeight="1">
      <c r="A88" s="241"/>
      <c r="B88" s="147"/>
      <c r="C88" s="146" t="str">
        <f>"THU NHẬP CHỊU THUẾ TÍNH TRƯỚC (T+GT) x "&amp;HSXL!C$16</f>
        <v>THU NHẬP CHỊU THUẾ TÍNH TRƯỚC (T+GT) x 6%</v>
      </c>
      <c r="D88" s="147" t="s">
        <v>821</v>
      </c>
      <c r="E88" s="242" t="str">
        <f>HSXL!C$16</f>
        <v>6%</v>
      </c>
      <c r="F88" s="150"/>
      <c r="G88" s="149"/>
      <c r="H88" s="150">
        <f>ROUND((H82+H87)*HSXL!D$16,1)</f>
        <v>2632209.7000000002</v>
      </c>
    </row>
    <row r="89" spans="1:8" ht="27.75" customHeight="1">
      <c r="A89" s="241"/>
      <c r="B89" s="147"/>
      <c r="C89" s="146" t="s">
        <v>1087</v>
      </c>
      <c r="D89" s="147" t="s">
        <v>823</v>
      </c>
      <c r="E89" s="242"/>
      <c r="F89" s="150"/>
      <c r="G89" s="149"/>
      <c r="H89" s="150">
        <f>ROUND(H82+H87+H88,0)</f>
        <v>46502371</v>
      </c>
    </row>
    <row r="90" spans="1:8" ht="27.75" customHeight="1">
      <c r="A90" s="241"/>
      <c r="B90" s="147"/>
      <c r="C90" s="146" t="str">
        <f>"THUẾ GIÁ TRỊ GIA TĂNG ( G x "&amp;HSXL!C$17&amp;" )"</f>
        <v>THUẾ GIÁ TRỊ GIA TĂNG ( G x 10% )</v>
      </c>
      <c r="D90" s="147" t="s">
        <v>827</v>
      </c>
      <c r="E90" s="164">
        <f>HSXL!D$17</f>
        <v>0.1</v>
      </c>
      <c r="F90" s="150"/>
      <c r="G90" s="149"/>
      <c r="H90" s="150">
        <f>ROUND(E90*H89,1)</f>
        <v>4650237.0999999996</v>
      </c>
    </row>
    <row r="91" spans="1:8" ht="27.75" customHeight="1">
      <c r="A91" s="243"/>
      <c r="B91" s="244"/>
      <c r="C91" s="245" t="s">
        <v>1088</v>
      </c>
      <c r="D91" s="244" t="s">
        <v>830</v>
      </c>
      <c r="E91" s="246"/>
      <c r="F91" s="247"/>
      <c r="G91" s="248"/>
      <c r="H91" s="249">
        <f>ROUND(H89+H90,0)</f>
        <v>51152608</v>
      </c>
    </row>
    <row r="92" spans="1:8" ht="40.5" customHeight="1">
      <c r="A92" s="128">
        <f>'Công trình'!A19</f>
        <v>6</v>
      </c>
      <c r="B92" s="129" t="str">
        <f>'Công trình'!E19</f>
        <v>AB.41413</v>
      </c>
      <c r="C92" s="130" t="str">
        <f>'Công trình'!F19</f>
        <v xml:space="preserve">Vận chuyển đất bằng ôtô tự đổ 5 tấn </v>
      </c>
      <c r="D92" s="129" t="str">
        <f>'Công trình'!G19</f>
        <v>100m3</v>
      </c>
      <c r="E92" s="237">
        <v>1</v>
      </c>
      <c r="F92" s="69"/>
      <c r="G92" s="68"/>
      <c r="H92" s="69"/>
    </row>
    <row r="93" spans="1:8" ht="16.5" customHeight="1">
      <c r="A93" s="131"/>
      <c r="B93" s="91"/>
      <c r="C93" s="90" t="s">
        <v>679</v>
      </c>
      <c r="D93" s="91"/>
      <c r="E93" s="93"/>
      <c r="F93" s="132"/>
      <c r="G93" s="94"/>
      <c r="H93" s="132">
        <f>ROUND(H94,1)</f>
        <v>2978096.4</v>
      </c>
    </row>
    <row r="94" spans="1:8" ht="27.75" customHeight="1">
      <c r="A94" s="127"/>
      <c r="B94" s="13" t="str">
        <f>'Giá tháng'!B$78</f>
        <v>M106.0202</v>
      </c>
      <c r="C94" s="14" t="str">
        <f>'Giá tháng'!C$78</f>
        <v>Ô tô tự đổ - trọng tải : 5,0 T</v>
      </c>
      <c r="D94" s="13" t="str">
        <f>'Giá tháng'!D$78</f>
        <v>ca</v>
      </c>
      <c r="E94" s="80">
        <f>HaoPhiVatTu!H$39</f>
        <v>1.7110000000000001</v>
      </c>
      <c r="F94" s="15">
        <f>ROUND('Tổng hợp VT'!O$87,1)</f>
        <v>1740559</v>
      </c>
      <c r="G94" s="81">
        <f>'Giá tháng'!G$78</f>
        <v>1</v>
      </c>
      <c r="H94" s="15">
        <f>ROUND(E94*F94*G94,1)</f>
        <v>2978096.4</v>
      </c>
    </row>
    <row r="95" spans="1:8" ht="27.75" customHeight="1">
      <c r="A95" s="238"/>
      <c r="B95" s="159"/>
      <c r="C95" s="158" t="s">
        <v>1085</v>
      </c>
      <c r="D95" s="159" t="s">
        <v>810</v>
      </c>
      <c r="E95" s="239"/>
      <c r="F95" s="162"/>
      <c r="G95" s="240"/>
      <c r="H95" s="162">
        <f>ROUND(+H93,1)</f>
        <v>2978096.4</v>
      </c>
    </row>
    <row r="96" spans="1:8" ht="16.5" customHeight="1">
      <c r="A96" s="241"/>
      <c r="B96" s="147"/>
      <c r="C96" s="146" t="s">
        <v>812</v>
      </c>
      <c r="D96" s="147" t="str">
        <f>""</f>
        <v/>
      </c>
      <c r="E96" s="242"/>
      <c r="F96" s="150"/>
      <c r="G96" s="149"/>
      <c r="H96" s="150"/>
    </row>
    <row r="97" spans="1:8" ht="16.5" customHeight="1">
      <c r="A97" s="241"/>
      <c r="B97" s="147"/>
      <c r="C97" s="146" t="str">
        <f>"Chi phí chung ( T x "&amp;HSXL!C$14&amp;" )"</f>
        <v>Chi phí chung ( T x 6,2% )</v>
      </c>
      <c r="D97" s="147" t="s">
        <v>807</v>
      </c>
      <c r="E97" s="242" t="str">
        <f>HSXL!C$14</f>
        <v>6,2%</v>
      </c>
      <c r="F97" s="150"/>
      <c r="G97" s="149"/>
      <c r="H97" s="150">
        <f>ROUND(H95*HSXL!D$14,1)</f>
        <v>184642</v>
      </c>
    </row>
    <row r="98" spans="1:8" ht="27.75" customHeight="1">
      <c r="A98" s="241"/>
      <c r="B98" s="147"/>
      <c r="C98" s="146" t="str">
        <f>"Chi phí nhà tạm để ở và điều hành thi công ( T x "&amp;HSXL!C$18&amp;" )"</f>
        <v>Chi phí nhà tạm để ở và điều hành thi công ( T x 2,2% )</v>
      </c>
      <c r="D98" s="147" t="s">
        <v>815</v>
      </c>
      <c r="E98" s="242" t="str">
        <f>HSXL!C$18</f>
        <v>2,2%</v>
      </c>
      <c r="F98" s="150"/>
      <c r="G98" s="149"/>
      <c r="H98" s="150">
        <f>ROUND(H95*HSXL!D$18,1)</f>
        <v>65518.1</v>
      </c>
    </row>
    <row r="99" spans="1:8" ht="39.75" customHeight="1">
      <c r="A99" s="241"/>
      <c r="B99" s="147"/>
      <c r="C99" s="146" t="str">
        <f>"Chi phí một số công việc không xác định được khối lượng từ thiết kế ( T x "&amp;HSXL!C$13&amp;" )"</f>
        <v>Chi phí một số công việc không xác định được khối lượng từ thiết kế ( T x 2% )</v>
      </c>
      <c r="D99" s="147" t="s">
        <v>61</v>
      </c>
      <c r="E99" s="242" t="str">
        <f>HSXL!C$13</f>
        <v>2%</v>
      </c>
      <c r="F99" s="150"/>
      <c r="G99" s="149"/>
      <c r="H99" s="150">
        <f>ROUND(H95*HSXL!D$13,1)</f>
        <v>59561.9</v>
      </c>
    </row>
    <row r="100" spans="1:8" ht="27.75" customHeight="1">
      <c r="A100" s="238"/>
      <c r="B100" s="159"/>
      <c r="C100" s="158" t="s">
        <v>1086</v>
      </c>
      <c r="D100" s="159" t="s">
        <v>818</v>
      </c>
      <c r="E100" s="239"/>
      <c r="F100" s="162"/>
      <c r="G100" s="240"/>
      <c r="H100" s="162">
        <f>ROUND(SUM(H97:H99),1)</f>
        <v>309722</v>
      </c>
    </row>
    <row r="101" spans="1:8" ht="27.75" customHeight="1">
      <c r="A101" s="241"/>
      <c r="B101" s="147"/>
      <c r="C101" s="146" t="str">
        <f>"THU NHẬP CHỊU THUẾ TÍNH TRƯỚC (T+GT) x "&amp;HSXL!C$16</f>
        <v>THU NHẬP CHỊU THUẾ TÍNH TRƯỚC (T+GT) x 6%</v>
      </c>
      <c r="D101" s="147" t="s">
        <v>821</v>
      </c>
      <c r="E101" s="242" t="str">
        <f>HSXL!C$16</f>
        <v>6%</v>
      </c>
      <c r="F101" s="150"/>
      <c r="G101" s="149"/>
      <c r="H101" s="150">
        <f>ROUND((H95+H100)*HSXL!D$16,1)</f>
        <v>197269.1</v>
      </c>
    </row>
    <row r="102" spans="1:8" ht="27.75" customHeight="1">
      <c r="A102" s="241"/>
      <c r="B102" s="147"/>
      <c r="C102" s="146" t="s">
        <v>1087</v>
      </c>
      <c r="D102" s="147" t="s">
        <v>823</v>
      </c>
      <c r="E102" s="242"/>
      <c r="F102" s="150"/>
      <c r="G102" s="149"/>
      <c r="H102" s="150">
        <f>ROUND(H95+H100+H101,0)</f>
        <v>3485088</v>
      </c>
    </row>
    <row r="103" spans="1:8" ht="27.75" customHeight="1">
      <c r="A103" s="241"/>
      <c r="B103" s="147"/>
      <c r="C103" s="146" t="str">
        <f>"THUẾ GIÁ TRỊ GIA TĂNG ( G x "&amp;HSXL!C$17&amp;" )"</f>
        <v>THUẾ GIÁ TRỊ GIA TĂNG ( G x 10% )</v>
      </c>
      <c r="D103" s="147" t="s">
        <v>827</v>
      </c>
      <c r="E103" s="164">
        <f>HSXL!D$17</f>
        <v>0.1</v>
      </c>
      <c r="F103" s="150"/>
      <c r="G103" s="149"/>
      <c r="H103" s="150">
        <f>ROUND(E103*H102,1)</f>
        <v>348508.8</v>
      </c>
    </row>
    <row r="104" spans="1:8" ht="27.75" customHeight="1">
      <c r="A104" s="243"/>
      <c r="B104" s="244"/>
      <c r="C104" s="245" t="s">
        <v>1088</v>
      </c>
      <c r="D104" s="244" t="s">
        <v>830</v>
      </c>
      <c r="E104" s="246"/>
      <c r="F104" s="247"/>
      <c r="G104" s="248"/>
      <c r="H104" s="249">
        <f>ROUND(H102+H103,0)</f>
        <v>3833597</v>
      </c>
    </row>
    <row r="105" spans="1:8" ht="40.5" customHeight="1">
      <c r="A105" s="128">
        <f>'Công trình'!A22</f>
        <v>7</v>
      </c>
      <c r="B105" s="129" t="str">
        <f>'Công trình'!E22</f>
        <v>AB.42213</v>
      </c>
      <c r="C105" s="130" t="str">
        <f>'Công trình'!F22</f>
        <v>Vận chuyển đất bằng ô tô tự đổ 5T 1km tiếp theo ngoài phạm vi 5km, đất cấp III</v>
      </c>
      <c r="D105" s="129" t="str">
        <f>'Công trình'!G22</f>
        <v>100m3</v>
      </c>
      <c r="E105" s="237">
        <v>1</v>
      </c>
      <c r="F105" s="69"/>
      <c r="G105" s="68"/>
      <c r="H105" s="69"/>
    </row>
    <row r="106" spans="1:8" ht="16.5" customHeight="1">
      <c r="A106" s="131"/>
      <c r="B106" s="91"/>
      <c r="C106" s="90" t="s">
        <v>679</v>
      </c>
      <c r="D106" s="91"/>
      <c r="E106" s="93"/>
      <c r="F106" s="132"/>
      <c r="G106" s="94"/>
      <c r="H106" s="132">
        <f>ROUND(H107,1)</f>
        <v>3975436.8</v>
      </c>
    </row>
    <row r="107" spans="1:8" ht="27.75" customHeight="1">
      <c r="A107" s="127"/>
      <c r="B107" s="13" t="str">
        <f>'Giá tháng'!B$79</f>
        <v>M106.0202</v>
      </c>
      <c r="C107" s="14" t="str">
        <f>'Giá tháng'!C$79</f>
        <v>Ô tô tự đổ - trọng tải : 5,0 T</v>
      </c>
      <c r="D107" s="13" t="str">
        <f>'Giá tháng'!D$79</f>
        <v>ca</v>
      </c>
      <c r="E107" s="80">
        <f>HaoPhiVatTu!H$42</f>
        <v>0.57099999999999995</v>
      </c>
      <c r="F107" s="15">
        <f>ROUND('Tổng hợp VT'!O$87,1)</f>
        <v>1740559</v>
      </c>
      <c r="G107" s="81">
        <f>'Giá tháng'!G$79</f>
        <v>4</v>
      </c>
      <c r="H107" s="15">
        <f>ROUND(E107*F107*G107,1)</f>
        <v>3975436.8</v>
      </c>
    </row>
    <row r="108" spans="1:8" ht="27.75" customHeight="1">
      <c r="A108" s="238"/>
      <c r="B108" s="159"/>
      <c r="C108" s="158" t="s">
        <v>1085</v>
      </c>
      <c r="D108" s="159" t="s">
        <v>810</v>
      </c>
      <c r="E108" s="239"/>
      <c r="F108" s="162"/>
      <c r="G108" s="240"/>
      <c r="H108" s="162">
        <f>ROUND(+H106,1)</f>
        <v>3975436.8</v>
      </c>
    </row>
    <row r="109" spans="1:8" ht="16.5" customHeight="1">
      <c r="A109" s="241"/>
      <c r="B109" s="147"/>
      <c r="C109" s="146" t="s">
        <v>812</v>
      </c>
      <c r="D109" s="147" t="str">
        <f>""</f>
        <v/>
      </c>
      <c r="E109" s="242"/>
      <c r="F109" s="150"/>
      <c r="G109" s="149"/>
      <c r="H109" s="150"/>
    </row>
    <row r="110" spans="1:8" ht="16.5" customHeight="1">
      <c r="A110" s="241"/>
      <c r="B110" s="147"/>
      <c r="C110" s="146" t="str">
        <f>"Chi phí chung ( T x "&amp;HSXL!C$14&amp;" )"</f>
        <v>Chi phí chung ( T x 6,2% )</v>
      </c>
      <c r="D110" s="147" t="s">
        <v>807</v>
      </c>
      <c r="E110" s="242" t="str">
        <f>HSXL!C$14</f>
        <v>6,2%</v>
      </c>
      <c r="F110" s="150"/>
      <c r="G110" s="149"/>
      <c r="H110" s="150">
        <f>ROUND(H108*HSXL!D$14,1)</f>
        <v>246477.1</v>
      </c>
    </row>
    <row r="111" spans="1:8" ht="27.75" customHeight="1">
      <c r="A111" s="241"/>
      <c r="B111" s="147"/>
      <c r="C111" s="146" t="str">
        <f>"Chi phí nhà tạm để ở và điều hành thi công ( T x "&amp;HSXL!C$18&amp;" )"</f>
        <v>Chi phí nhà tạm để ở và điều hành thi công ( T x 2,2% )</v>
      </c>
      <c r="D111" s="147" t="s">
        <v>815</v>
      </c>
      <c r="E111" s="242" t="str">
        <f>HSXL!C$18</f>
        <v>2,2%</v>
      </c>
      <c r="F111" s="150"/>
      <c r="G111" s="149"/>
      <c r="H111" s="150">
        <f>ROUND(H108*HSXL!D$18,1)</f>
        <v>87459.6</v>
      </c>
    </row>
    <row r="112" spans="1:8" ht="39.75" customHeight="1">
      <c r="A112" s="241"/>
      <c r="B112" s="147"/>
      <c r="C112" s="146" t="str">
        <f>"Chi phí một số công việc không xác định được khối lượng từ thiết kế ( T x "&amp;HSXL!C$13&amp;" )"</f>
        <v>Chi phí một số công việc không xác định được khối lượng từ thiết kế ( T x 2% )</v>
      </c>
      <c r="D112" s="147" t="s">
        <v>61</v>
      </c>
      <c r="E112" s="242" t="str">
        <f>HSXL!C$13</f>
        <v>2%</v>
      </c>
      <c r="F112" s="150"/>
      <c r="G112" s="149"/>
      <c r="H112" s="150">
        <f>ROUND(H108*HSXL!D$13,1)</f>
        <v>79508.7</v>
      </c>
    </row>
    <row r="113" spans="1:8" ht="27.75" customHeight="1">
      <c r="A113" s="238"/>
      <c r="B113" s="159"/>
      <c r="C113" s="158" t="s">
        <v>1086</v>
      </c>
      <c r="D113" s="159" t="s">
        <v>818</v>
      </c>
      <c r="E113" s="239"/>
      <c r="F113" s="162"/>
      <c r="G113" s="240"/>
      <c r="H113" s="162">
        <f>ROUND(SUM(H110:H112),1)</f>
        <v>413445.4</v>
      </c>
    </row>
    <row r="114" spans="1:8" ht="27.75" customHeight="1">
      <c r="A114" s="241"/>
      <c r="B114" s="147"/>
      <c r="C114" s="146" t="str">
        <f>"THU NHẬP CHỊU THUẾ TÍNH TRƯỚC (T+GT) x "&amp;HSXL!C$16</f>
        <v>THU NHẬP CHỊU THUẾ TÍNH TRƯỚC (T+GT) x 6%</v>
      </c>
      <c r="D114" s="147" t="s">
        <v>821</v>
      </c>
      <c r="E114" s="242" t="str">
        <f>HSXL!C$16</f>
        <v>6%</v>
      </c>
      <c r="F114" s="150"/>
      <c r="G114" s="149"/>
      <c r="H114" s="150">
        <f>ROUND((H108+H113)*HSXL!D$16,1)</f>
        <v>263332.90000000002</v>
      </c>
    </row>
    <row r="115" spans="1:8" ht="27.75" customHeight="1">
      <c r="A115" s="241"/>
      <c r="B115" s="147"/>
      <c r="C115" s="146" t="s">
        <v>1087</v>
      </c>
      <c r="D115" s="147" t="s">
        <v>823</v>
      </c>
      <c r="E115" s="242"/>
      <c r="F115" s="150"/>
      <c r="G115" s="149"/>
      <c r="H115" s="150">
        <f>ROUND(H108+H113+H114,0)</f>
        <v>4652215</v>
      </c>
    </row>
    <row r="116" spans="1:8" ht="27.75" customHeight="1">
      <c r="A116" s="241"/>
      <c r="B116" s="147"/>
      <c r="C116" s="146" t="str">
        <f>"THUẾ GIÁ TRỊ GIA TĂNG ( G x "&amp;HSXL!C$17&amp;" )"</f>
        <v>THUẾ GIÁ TRỊ GIA TĂNG ( G x 10% )</v>
      </c>
      <c r="D116" s="147" t="s">
        <v>827</v>
      </c>
      <c r="E116" s="164">
        <f>HSXL!D$17</f>
        <v>0.1</v>
      </c>
      <c r="F116" s="150"/>
      <c r="G116" s="149"/>
      <c r="H116" s="150">
        <f>ROUND(E116*H115,1)</f>
        <v>465221.5</v>
      </c>
    </row>
    <row r="117" spans="1:8" ht="27.75" customHeight="1">
      <c r="A117" s="243"/>
      <c r="B117" s="244"/>
      <c r="C117" s="245" t="s">
        <v>1088</v>
      </c>
      <c r="D117" s="244" t="s">
        <v>830</v>
      </c>
      <c r="E117" s="246"/>
      <c r="F117" s="247"/>
      <c r="G117" s="248"/>
      <c r="H117" s="249">
        <f>ROUND(H115+H116,0)</f>
        <v>5117437</v>
      </c>
    </row>
    <row r="118" spans="1:8" ht="40.5" customHeight="1">
      <c r="A118" s="128">
        <f>'Công trình'!A24</f>
        <v>7</v>
      </c>
      <c r="B118" s="129" t="str">
        <f>'Công trình'!E24</f>
        <v>AB.41412</v>
      </c>
      <c r="C118" s="130" t="str">
        <f>'Công trình'!F24</f>
        <v>Vận chuyển đất bằng ôtô tự đổ 5 tấn trong phạm vi &lt;= 1000m, đất cấp II</v>
      </c>
      <c r="D118" s="129" t="str">
        <f>'Công trình'!G24</f>
        <v>100m3</v>
      </c>
      <c r="E118" s="237">
        <v>1</v>
      </c>
      <c r="F118" s="69"/>
      <c r="G118" s="68"/>
      <c r="H118" s="69"/>
    </row>
    <row r="119" spans="1:8" ht="16.5" customHeight="1">
      <c r="A119" s="131"/>
      <c r="B119" s="91"/>
      <c r="C119" s="90" t="s">
        <v>679</v>
      </c>
      <c r="D119" s="91"/>
      <c r="E119" s="93"/>
      <c r="F119" s="132"/>
      <c r="G119" s="94"/>
      <c r="H119" s="132">
        <f>ROUND(H120,1)</f>
        <v>2313202.9</v>
      </c>
    </row>
    <row r="120" spans="1:8" ht="27.75" customHeight="1">
      <c r="A120" s="127"/>
      <c r="B120" s="13" t="str">
        <f>'Giá tháng'!B$78</f>
        <v>M106.0202</v>
      </c>
      <c r="C120" s="14" t="str">
        <f>'Giá tháng'!C$78</f>
        <v>Ô tô tự đổ - trọng tải : 5,0 T</v>
      </c>
      <c r="D120" s="13" t="str">
        <f>'Giá tháng'!D$78</f>
        <v>ca</v>
      </c>
      <c r="E120" s="80">
        <f>HaoPhiVatTu!H$45</f>
        <v>1.329</v>
      </c>
      <c r="F120" s="15">
        <f>ROUND('Tổng hợp VT'!O$87,1)</f>
        <v>1740559</v>
      </c>
      <c r="G120" s="81">
        <f>'Giá tháng'!G$78</f>
        <v>1</v>
      </c>
      <c r="H120" s="15">
        <f>ROUND(E120*F120*G120,1)</f>
        <v>2313202.9</v>
      </c>
    </row>
    <row r="121" spans="1:8" ht="27.75" customHeight="1">
      <c r="A121" s="238"/>
      <c r="B121" s="159"/>
      <c r="C121" s="158" t="s">
        <v>1085</v>
      </c>
      <c r="D121" s="159" t="s">
        <v>810</v>
      </c>
      <c r="E121" s="239"/>
      <c r="F121" s="162"/>
      <c r="G121" s="240"/>
      <c r="H121" s="162">
        <f>ROUND(+H119,1)</f>
        <v>2313202.9</v>
      </c>
    </row>
    <row r="122" spans="1:8" ht="16.5" customHeight="1">
      <c r="A122" s="241"/>
      <c r="B122" s="147"/>
      <c r="C122" s="146" t="s">
        <v>812</v>
      </c>
      <c r="D122" s="147" t="str">
        <f>""</f>
        <v/>
      </c>
      <c r="E122" s="242"/>
      <c r="F122" s="150"/>
      <c r="G122" s="149"/>
      <c r="H122" s="150"/>
    </row>
    <row r="123" spans="1:8" ht="16.5" customHeight="1">
      <c r="A123" s="241"/>
      <c r="B123" s="147"/>
      <c r="C123" s="146" t="str">
        <f>"Chi phí chung ( T x "&amp;HSXL!C$14&amp;" )"</f>
        <v>Chi phí chung ( T x 6,2% )</v>
      </c>
      <c r="D123" s="147" t="s">
        <v>807</v>
      </c>
      <c r="E123" s="242" t="str">
        <f>HSXL!C$14</f>
        <v>6,2%</v>
      </c>
      <c r="F123" s="150"/>
      <c r="G123" s="149"/>
      <c r="H123" s="150">
        <f>ROUND(H121*HSXL!D$14,1)</f>
        <v>143418.6</v>
      </c>
    </row>
    <row r="124" spans="1:8" ht="27.75" customHeight="1">
      <c r="A124" s="241"/>
      <c r="B124" s="147"/>
      <c r="C124" s="146" t="str">
        <f>"Chi phí nhà tạm để ở và điều hành thi công ( T x "&amp;HSXL!C$18&amp;" )"</f>
        <v>Chi phí nhà tạm để ở và điều hành thi công ( T x 2,2% )</v>
      </c>
      <c r="D124" s="147" t="s">
        <v>815</v>
      </c>
      <c r="E124" s="242" t="str">
        <f>HSXL!C$18</f>
        <v>2,2%</v>
      </c>
      <c r="F124" s="150"/>
      <c r="G124" s="149"/>
      <c r="H124" s="150">
        <f>ROUND(H121*HSXL!D$18,1)</f>
        <v>50890.5</v>
      </c>
    </row>
    <row r="125" spans="1:8" ht="39.75" customHeight="1">
      <c r="A125" s="241"/>
      <c r="B125" s="147"/>
      <c r="C125" s="146" t="str">
        <f>"Chi phí một số công việc không xác định được khối lượng từ thiết kế ( T x "&amp;HSXL!C$13&amp;" )"</f>
        <v>Chi phí một số công việc không xác định được khối lượng từ thiết kế ( T x 2% )</v>
      </c>
      <c r="D125" s="147" t="s">
        <v>61</v>
      </c>
      <c r="E125" s="242" t="str">
        <f>HSXL!C$13</f>
        <v>2%</v>
      </c>
      <c r="F125" s="150"/>
      <c r="G125" s="149"/>
      <c r="H125" s="150">
        <f>ROUND(H121*HSXL!D$13,1)</f>
        <v>46264.1</v>
      </c>
    </row>
    <row r="126" spans="1:8" ht="27.75" customHeight="1">
      <c r="A126" s="238"/>
      <c r="B126" s="159"/>
      <c r="C126" s="158" t="s">
        <v>1086</v>
      </c>
      <c r="D126" s="159" t="s">
        <v>818</v>
      </c>
      <c r="E126" s="239"/>
      <c r="F126" s="162"/>
      <c r="G126" s="240"/>
      <c r="H126" s="162">
        <f>ROUND(SUM(H123:H125),1)</f>
        <v>240573.2</v>
      </c>
    </row>
    <row r="127" spans="1:8" ht="27.75" customHeight="1">
      <c r="A127" s="241"/>
      <c r="B127" s="147"/>
      <c r="C127" s="146" t="str">
        <f>"THU NHẬP CHỊU THUẾ TÍNH TRƯỚC (T+GT) x "&amp;HSXL!C$16</f>
        <v>THU NHẬP CHỊU THUẾ TÍNH TRƯỚC (T+GT) x 6%</v>
      </c>
      <c r="D127" s="147" t="s">
        <v>821</v>
      </c>
      <c r="E127" s="242" t="str">
        <f>HSXL!C$16</f>
        <v>6%</v>
      </c>
      <c r="F127" s="150"/>
      <c r="G127" s="149"/>
      <c r="H127" s="150">
        <f>ROUND((H121+H126)*HSXL!D$16,1)</f>
        <v>153226.6</v>
      </c>
    </row>
    <row r="128" spans="1:8" ht="27.75" customHeight="1">
      <c r="A128" s="241"/>
      <c r="B128" s="147"/>
      <c r="C128" s="146" t="s">
        <v>1087</v>
      </c>
      <c r="D128" s="147" t="s">
        <v>823</v>
      </c>
      <c r="E128" s="242"/>
      <c r="F128" s="150"/>
      <c r="G128" s="149"/>
      <c r="H128" s="150">
        <f>ROUND(H121+H126+H127,0)</f>
        <v>2707003</v>
      </c>
    </row>
    <row r="129" spans="1:8" ht="27.75" customHeight="1">
      <c r="A129" s="241"/>
      <c r="B129" s="147"/>
      <c r="C129" s="146" t="str">
        <f>"THUẾ GIÁ TRỊ GIA TĂNG ( G x "&amp;HSXL!C$17&amp;" )"</f>
        <v>THUẾ GIÁ TRỊ GIA TĂNG ( G x 10% )</v>
      </c>
      <c r="D129" s="147" t="s">
        <v>827</v>
      </c>
      <c r="E129" s="164">
        <f>HSXL!D$17</f>
        <v>0.1</v>
      </c>
      <c r="F129" s="150"/>
      <c r="G129" s="149"/>
      <c r="H129" s="150">
        <f>ROUND(E129*H128,1)</f>
        <v>270700.3</v>
      </c>
    </row>
    <row r="130" spans="1:8" ht="27.75" customHeight="1">
      <c r="A130" s="243"/>
      <c r="B130" s="244"/>
      <c r="C130" s="245" t="s">
        <v>1088</v>
      </c>
      <c r="D130" s="244" t="s">
        <v>830</v>
      </c>
      <c r="E130" s="246"/>
      <c r="F130" s="247"/>
      <c r="G130" s="248"/>
      <c r="H130" s="249">
        <f>ROUND(H128+H129,0)</f>
        <v>2977703</v>
      </c>
    </row>
    <row r="131" spans="1:8" ht="40.5" customHeight="1">
      <c r="A131" s="128">
        <f>'Công trình'!A27</f>
        <v>9</v>
      </c>
      <c r="B131" s="129" t="str">
        <f>'Công trình'!E27</f>
        <v>AB.42212</v>
      </c>
      <c r="C131" s="130" t="str">
        <f>'Công trình'!F27</f>
        <v>Vận chuyển đất bằng ô tô tự đổ 5T 1km tiếp theo ngoài phạm vi 5km, đất cấp II</v>
      </c>
      <c r="D131" s="129" t="str">
        <f>'Công trình'!G27</f>
        <v>100m3</v>
      </c>
      <c r="E131" s="237">
        <v>1</v>
      </c>
      <c r="F131" s="69"/>
      <c r="G131" s="68"/>
      <c r="H131" s="69"/>
    </row>
    <row r="132" spans="1:8" ht="16.5" customHeight="1">
      <c r="A132" s="131"/>
      <c r="B132" s="91"/>
      <c r="C132" s="90" t="s">
        <v>679</v>
      </c>
      <c r="D132" s="91"/>
      <c r="E132" s="93"/>
      <c r="F132" s="132"/>
      <c r="G132" s="94"/>
      <c r="H132" s="132">
        <f>ROUND(H133,1)</f>
        <v>3550740.4</v>
      </c>
    </row>
    <row r="133" spans="1:8" ht="27.75" customHeight="1">
      <c r="A133" s="127"/>
      <c r="B133" s="13" t="str">
        <f>'Giá tháng'!B$79</f>
        <v>M106.0202</v>
      </c>
      <c r="C133" s="14" t="str">
        <f>'Giá tháng'!C$79</f>
        <v>Ô tô tự đổ - trọng tải : 5,0 T</v>
      </c>
      <c r="D133" s="13" t="str">
        <f>'Giá tháng'!D$79</f>
        <v>ca</v>
      </c>
      <c r="E133" s="80">
        <f>HaoPhiVatTu!H$48</f>
        <v>0.51</v>
      </c>
      <c r="F133" s="15">
        <f>ROUND('Tổng hợp VT'!O$87,1)</f>
        <v>1740559</v>
      </c>
      <c r="G133" s="81">
        <f>'Giá tháng'!G$79</f>
        <v>4</v>
      </c>
      <c r="H133" s="15">
        <f>ROUND(E133*F133*G133,1)</f>
        <v>3550740.4</v>
      </c>
    </row>
    <row r="134" spans="1:8" ht="27.75" customHeight="1">
      <c r="A134" s="238"/>
      <c r="B134" s="159"/>
      <c r="C134" s="158" t="s">
        <v>1085</v>
      </c>
      <c r="D134" s="159" t="s">
        <v>810</v>
      </c>
      <c r="E134" s="239"/>
      <c r="F134" s="162"/>
      <c r="G134" s="240"/>
      <c r="H134" s="162">
        <f>ROUND(+H132,1)</f>
        <v>3550740.4</v>
      </c>
    </row>
    <row r="135" spans="1:8" ht="16.5" customHeight="1">
      <c r="A135" s="241"/>
      <c r="B135" s="147"/>
      <c r="C135" s="146" t="s">
        <v>812</v>
      </c>
      <c r="D135" s="147" t="str">
        <f>""</f>
        <v/>
      </c>
      <c r="E135" s="242"/>
      <c r="F135" s="150"/>
      <c r="G135" s="149"/>
      <c r="H135" s="150"/>
    </row>
    <row r="136" spans="1:8" ht="16.5" customHeight="1">
      <c r="A136" s="241"/>
      <c r="B136" s="147"/>
      <c r="C136" s="146" t="str">
        <f>"Chi phí chung ( T x "&amp;HSXL!C$14&amp;" )"</f>
        <v>Chi phí chung ( T x 6,2% )</v>
      </c>
      <c r="D136" s="147" t="s">
        <v>807</v>
      </c>
      <c r="E136" s="242" t="str">
        <f>HSXL!C$14</f>
        <v>6,2%</v>
      </c>
      <c r="F136" s="150"/>
      <c r="G136" s="149"/>
      <c r="H136" s="150">
        <f>ROUND(H134*HSXL!D$14,1)</f>
        <v>220145.9</v>
      </c>
    </row>
    <row r="137" spans="1:8" ht="27.75" customHeight="1">
      <c r="A137" s="241"/>
      <c r="B137" s="147"/>
      <c r="C137" s="146" t="str">
        <f>"Chi phí nhà tạm để ở và điều hành thi công ( T x "&amp;HSXL!C$18&amp;" )"</f>
        <v>Chi phí nhà tạm để ở và điều hành thi công ( T x 2,2% )</v>
      </c>
      <c r="D137" s="147" t="s">
        <v>815</v>
      </c>
      <c r="E137" s="242" t="str">
        <f>HSXL!C$18</f>
        <v>2,2%</v>
      </c>
      <c r="F137" s="150"/>
      <c r="G137" s="149"/>
      <c r="H137" s="150">
        <f>ROUND(H134*HSXL!D$18,1)</f>
        <v>78116.3</v>
      </c>
    </row>
    <row r="138" spans="1:8" ht="39.75" customHeight="1">
      <c r="A138" s="241"/>
      <c r="B138" s="147"/>
      <c r="C138" s="146" t="str">
        <f>"Chi phí một số công việc không xác định được khối lượng từ thiết kế ( T x "&amp;HSXL!C$13&amp;" )"</f>
        <v>Chi phí một số công việc không xác định được khối lượng từ thiết kế ( T x 2% )</v>
      </c>
      <c r="D138" s="147" t="s">
        <v>61</v>
      </c>
      <c r="E138" s="242" t="str">
        <f>HSXL!C$13</f>
        <v>2%</v>
      </c>
      <c r="F138" s="150"/>
      <c r="G138" s="149"/>
      <c r="H138" s="150">
        <f>ROUND(H134*HSXL!D$13,1)</f>
        <v>71014.8</v>
      </c>
    </row>
    <row r="139" spans="1:8" ht="27.75" customHeight="1">
      <c r="A139" s="238"/>
      <c r="B139" s="159"/>
      <c r="C139" s="158" t="s">
        <v>1086</v>
      </c>
      <c r="D139" s="159" t="s">
        <v>818</v>
      </c>
      <c r="E139" s="239"/>
      <c r="F139" s="162"/>
      <c r="G139" s="240"/>
      <c r="H139" s="162">
        <f>ROUND(SUM(H136:H138),1)</f>
        <v>369277</v>
      </c>
    </row>
    <row r="140" spans="1:8" ht="27.75" customHeight="1">
      <c r="A140" s="241"/>
      <c r="B140" s="147"/>
      <c r="C140" s="146" t="str">
        <f>"THU NHẬP CHỊU THUẾ TÍNH TRƯỚC (T+GT) x "&amp;HSXL!C$16</f>
        <v>THU NHẬP CHỊU THUẾ TÍNH TRƯỚC (T+GT) x 6%</v>
      </c>
      <c r="D140" s="147" t="s">
        <v>821</v>
      </c>
      <c r="E140" s="242" t="str">
        <f>HSXL!C$16</f>
        <v>6%</v>
      </c>
      <c r="F140" s="150"/>
      <c r="G140" s="149"/>
      <c r="H140" s="150">
        <f>ROUND((H134+H139)*HSXL!D$16,1)</f>
        <v>235201</v>
      </c>
    </row>
    <row r="141" spans="1:8" ht="27.75" customHeight="1">
      <c r="A141" s="241"/>
      <c r="B141" s="147"/>
      <c r="C141" s="146" t="s">
        <v>1087</v>
      </c>
      <c r="D141" s="147" t="s">
        <v>823</v>
      </c>
      <c r="E141" s="242"/>
      <c r="F141" s="150"/>
      <c r="G141" s="149"/>
      <c r="H141" s="150">
        <f>ROUND(H134+H139+H140,0)</f>
        <v>4155218</v>
      </c>
    </row>
    <row r="142" spans="1:8" ht="27.75" customHeight="1">
      <c r="A142" s="241"/>
      <c r="B142" s="147"/>
      <c r="C142" s="146" t="str">
        <f>"THUẾ GIÁ TRỊ GIA TĂNG ( G x "&amp;HSXL!C$17&amp;" )"</f>
        <v>THUẾ GIÁ TRỊ GIA TĂNG ( G x 10% )</v>
      </c>
      <c r="D142" s="147" t="s">
        <v>827</v>
      </c>
      <c r="E142" s="164">
        <f>HSXL!D$17</f>
        <v>0.1</v>
      </c>
      <c r="F142" s="150"/>
      <c r="G142" s="149"/>
      <c r="H142" s="150">
        <f>ROUND(E142*H141,1)</f>
        <v>415521.8</v>
      </c>
    </row>
    <row r="143" spans="1:8" ht="27.75" customHeight="1">
      <c r="A143" s="243"/>
      <c r="B143" s="244"/>
      <c r="C143" s="245" t="s">
        <v>1088</v>
      </c>
      <c r="D143" s="244" t="s">
        <v>830</v>
      </c>
      <c r="E143" s="246"/>
      <c r="F143" s="247"/>
      <c r="G143" s="248"/>
      <c r="H143" s="249">
        <f>ROUND(H141+H142,0)</f>
        <v>4570740</v>
      </c>
    </row>
    <row r="144" spans="1:8" ht="16.5" customHeight="1">
      <c r="A144" s="128">
        <f>'Công trình'!A30</f>
        <v>8</v>
      </c>
      <c r="B144" s="129" t="str">
        <f>'Công trình'!E30</f>
        <v>AL.16122</v>
      </c>
      <c r="C144" s="130" t="str">
        <f>'Công trình'!F30</f>
        <v>Nilon chống mất nước xi măng</v>
      </c>
      <c r="D144" s="129" t="str">
        <f>'Công trình'!G30</f>
        <v>100m2</v>
      </c>
      <c r="E144" s="237">
        <v>1</v>
      </c>
      <c r="F144" s="69"/>
      <c r="G144" s="68"/>
      <c r="H144" s="69"/>
    </row>
    <row r="145" spans="1:8" ht="16.5" customHeight="1">
      <c r="A145" s="131"/>
      <c r="B145" s="91"/>
      <c r="C145" s="90" t="s">
        <v>683</v>
      </c>
      <c r="D145" s="91"/>
      <c r="E145" s="93"/>
      <c r="F145" s="132"/>
      <c r="G145" s="94"/>
      <c r="H145" s="132">
        <f>ROUND(H148,1)</f>
        <v>1104705</v>
      </c>
    </row>
    <row r="146" spans="1:8" ht="16.5" customHeight="1">
      <c r="A146" s="127"/>
      <c r="B146" s="13" t="str">
        <f>'Giá tháng'!B$30</f>
        <v>A24.0782</v>
      </c>
      <c r="C146" s="14" t="str">
        <f>'Giá tháng'!C$30</f>
        <v>Nilon chống mất nước XM</v>
      </c>
      <c r="D146" s="13" t="str">
        <f>'Giá tháng'!D$30</f>
        <v>m2</v>
      </c>
      <c r="E146" s="80">
        <f>HaoPhiVatTu!F$51</f>
        <v>105</v>
      </c>
      <c r="F146" s="15">
        <f>ROUND('Tổng hợp VT'!O$35,1)</f>
        <v>10500</v>
      </c>
      <c r="G146" s="81">
        <f>'Giá tháng'!G$30</f>
        <v>1</v>
      </c>
      <c r="H146" s="15">
        <f>ROUND(E146*F146*G146,1)</f>
        <v>1102500</v>
      </c>
    </row>
    <row r="147" spans="1:8" ht="16.5" customHeight="1">
      <c r="A147" s="127"/>
      <c r="B147" s="13" t="s">
        <v>684</v>
      </c>
      <c r="C147" s="14" t="s">
        <v>685</v>
      </c>
      <c r="D147" s="13" t="s">
        <v>682</v>
      </c>
      <c r="E147" s="80">
        <f>HaoPhiVatTu!F$52</f>
        <v>0.2</v>
      </c>
      <c r="F147" s="15">
        <f>ROUND(SUM(H146:H146),1)</f>
        <v>1102500</v>
      </c>
      <c r="G147" s="81"/>
      <c r="H147" s="15">
        <f>ROUND(E147*F147/100,1)</f>
        <v>2205</v>
      </c>
    </row>
    <row r="148" spans="1:8" ht="16.5" customHeight="1">
      <c r="A148" s="127"/>
      <c r="B148" s="13"/>
      <c r="C148" s="14" t="s">
        <v>776</v>
      </c>
      <c r="D148" s="13"/>
      <c r="E148" s="80"/>
      <c r="F148" s="15"/>
      <c r="G148" s="81"/>
      <c r="H148" s="15">
        <f>ROUND(SUM(H146:H147),1)</f>
        <v>1104705</v>
      </c>
    </row>
    <row r="149" spans="1:8" ht="16.5" customHeight="1">
      <c r="A149" s="131"/>
      <c r="B149" s="91"/>
      <c r="C149" s="90" t="s">
        <v>678</v>
      </c>
      <c r="D149" s="91"/>
      <c r="E149" s="93"/>
      <c r="F149" s="132"/>
      <c r="G149" s="94"/>
      <c r="H149" s="132">
        <f>ROUND(H150,1)</f>
        <v>282960</v>
      </c>
    </row>
    <row r="150" spans="1:8" ht="16.5" customHeight="1">
      <c r="A150" s="127"/>
      <c r="B150" s="13" t="str">
        <f>'Giá tháng'!B$51</f>
        <v>N2.35</v>
      </c>
      <c r="C150" s="14" t="str">
        <f>'Giá tháng'!C$51</f>
        <v>Nhân công 3,5/7 - Nhóm 2</v>
      </c>
      <c r="D150" s="13" t="str">
        <f>'Giá tháng'!D$51</f>
        <v>công</v>
      </c>
      <c r="E150" s="80">
        <f>HaoPhiVatTu!G$54</f>
        <v>1.08</v>
      </c>
      <c r="F150" s="15">
        <f>ROUND('Tổng hợp VT'!O$59,1)</f>
        <v>262000</v>
      </c>
      <c r="G150" s="81">
        <f>'Giá tháng'!G$51</f>
        <v>1</v>
      </c>
      <c r="H150" s="15">
        <f>ROUND(E150*F150*G150,1)</f>
        <v>282960</v>
      </c>
    </row>
    <row r="151" spans="1:8" ht="27.75" customHeight="1">
      <c r="A151" s="238"/>
      <c r="B151" s="159"/>
      <c r="C151" s="158" t="s">
        <v>1085</v>
      </c>
      <c r="D151" s="159" t="s">
        <v>810</v>
      </c>
      <c r="E151" s="239"/>
      <c r="F151" s="162"/>
      <c r="G151" s="240"/>
      <c r="H151" s="162">
        <f>ROUND(H145+H149,1)</f>
        <v>1387665</v>
      </c>
    </row>
    <row r="152" spans="1:8" ht="16.5" customHeight="1">
      <c r="A152" s="241"/>
      <c r="B152" s="147"/>
      <c r="C152" s="146" t="s">
        <v>812</v>
      </c>
      <c r="D152" s="147" t="str">
        <f>""</f>
        <v/>
      </c>
      <c r="E152" s="242"/>
      <c r="F152" s="150"/>
      <c r="G152" s="149"/>
      <c r="H152" s="150"/>
    </row>
    <row r="153" spans="1:8" ht="16.5" customHeight="1">
      <c r="A153" s="241"/>
      <c r="B153" s="147"/>
      <c r="C153" s="146" t="str">
        <f>"Chi phí chung ( T x "&amp;HSXL!C$14&amp;" )"</f>
        <v>Chi phí chung ( T x 6,2% )</v>
      </c>
      <c r="D153" s="147" t="s">
        <v>807</v>
      </c>
      <c r="E153" s="242" t="str">
        <f>HSXL!C$14</f>
        <v>6,2%</v>
      </c>
      <c r="F153" s="150"/>
      <c r="G153" s="149"/>
      <c r="H153" s="150">
        <f>ROUND(H151*HSXL!D$14,1)</f>
        <v>86035.199999999997</v>
      </c>
    </row>
    <row r="154" spans="1:8" ht="27.75" customHeight="1">
      <c r="A154" s="241"/>
      <c r="B154" s="147"/>
      <c r="C154" s="146" t="str">
        <f>"Chi phí nhà tạm để ở và điều hành thi công ( T x "&amp;HSXL!C$18&amp;" )"</f>
        <v>Chi phí nhà tạm để ở và điều hành thi công ( T x 2,2% )</v>
      </c>
      <c r="D154" s="147" t="s">
        <v>815</v>
      </c>
      <c r="E154" s="242" t="str">
        <f>HSXL!C$18</f>
        <v>2,2%</v>
      </c>
      <c r="F154" s="150"/>
      <c r="G154" s="149"/>
      <c r="H154" s="150">
        <f>ROUND(H151*HSXL!D$18,1)</f>
        <v>30528.6</v>
      </c>
    </row>
    <row r="155" spans="1:8" ht="39.75" customHeight="1">
      <c r="A155" s="241"/>
      <c r="B155" s="147"/>
      <c r="C155" s="146" t="str">
        <f>"Chi phí một số công việc không xác định được khối lượng từ thiết kế ( T x "&amp;HSXL!C$13&amp;" )"</f>
        <v>Chi phí một số công việc không xác định được khối lượng từ thiết kế ( T x 2% )</v>
      </c>
      <c r="D155" s="147" t="s">
        <v>61</v>
      </c>
      <c r="E155" s="242" t="str">
        <f>HSXL!C$13</f>
        <v>2%</v>
      </c>
      <c r="F155" s="150"/>
      <c r="G155" s="149"/>
      <c r="H155" s="150">
        <f>ROUND(H151*HSXL!D$13,1)</f>
        <v>27753.3</v>
      </c>
    </row>
    <row r="156" spans="1:8" ht="27.75" customHeight="1">
      <c r="A156" s="238"/>
      <c r="B156" s="159"/>
      <c r="C156" s="158" t="s">
        <v>1086</v>
      </c>
      <c r="D156" s="159" t="s">
        <v>818</v>
      </c>
      <c r="E156" s="239"/>
      <c r="F156" s="162"/>
      <c r="G156" s="240"/>
      <c r="H156" s="162">
        <f>ROUND(SUM(H153:H155),1)</f>
        <v>144317.1</v>
      </c>
    </row>
    <row r="157" spans="1:8" ht="27.75" customHeight="1">
      <c r="A157" s="241"/>
      <c r="B157" s="147"/>
      <c r="C157" s="146" t="str">
        <f>"THU NHẬP CHỊU THUẾ TÍNH TRƯỚC (T+GT) x "&amp;HSXL!C$16</f>
        <v>THU NHẬP CHỊU THUẾ TÍNH TRƯỚC (T+GT) x 6%</v>
      </c>
      <c r="D157" s="147" t="s">
        <v>821</v>
      </c>
      <c r="E157" s="242" t="str">
        <f>HSXL!C$16</f>
        <v>6%</v>
      </c>
      <c r="F157" s="150"/>
      <c r="G157" s="149"/>
      <c r="H157" s="150">
        <f>ROUND((H151+H156)*HSXL!D$16,1)</f>
        <v>91918.9</v>
      </c>
    </row>
    <row r="158" spans="1:8" ht="27.75" customHeight="1">
      <c r="A158" s="241"/>
      <c r="B158" s="147"/>
      <c r="C158" s="146" t="s">
        <v>1087</v>
      </c>
      <c r="D158" s="147" t="s">
        <v>823</v>
      </c>
      <c r="E158" s="242"/>
      <c r="F158" s="150"/>
      <c r="G158" s="149"/>
      <c r="H158" s="150">
        <f>ROUND(H151+H156+H157,0)</f>
        <v>1623901</v>
      </c>
    </row>
    <row r="159" spans="1:8" ht="27.75" customHeight="1">
      <c r="A159" s="241"/>
      <c r="B159" s="147"/>
      <c r="C159" s="146" t="str">
        <f>"THUẾ GIÁ TRỊ GIA TĂNG ( G x "&amp;HSXL!C$17&amp;" )"</f>
        <v>THUẾ GIÁ TRỊ GIA TĂNG ( G x 10% )</v>
      </c>
      <c r="D159" s="147" t="s">
        <v>827</v>
      </c>
      <c r="E159" s="164">
        <f>HSXL!D$17</f>
        <v>0.1</v>
      </c>
      <c r="F159" s="150"/>
      <c r="G159" s="149"/>
      <c r="H159" s="150">
        <f>ROUND(E159*H158,1)</f>
        <v>162390.1</v>
      </c>
    </row>
    <row r="160" spans="1:8" ht="27.75" customHeight="1">
      <c r="A160" s="243"/>
      <c r="B160" s="244"/>
      <c r="C160" s="245" t="s">
        <v>1088</v>
      </c>
      <c r="D160" s="244" t="s">
        <v>830</v>
      </c>
      <c r="E160" s="246"/>
      <c r="F160" s="247"/>
      <c r="G160" s="248"/>
      <c r="H160" s="249">
        <f>ROUND(H158+H159,0)</f>
        <v>1786291</v>
      </c>
    </row>
    <row r="161" spans="1:8" ht="27.75" customHeight="1">
      <c r="A161" s="128">
        <f>'Công trình'!A32</f>
        <v>9</v>
      </c>
      <c r="B161" s="129" t="str">
        <f>'Công trình'!E32</f>
        <v>AF.82411</v>
      </c>
      <c r="C161" s="130" t="str">
        <f>'Công trình'!F32</f>
        <v>Ván khuôn thép. Ván khuôn mặt đường</v>
      </c>
      <c r="D161" s="129" t="str">
        <f>'Công trình'!G32</f>
        <v>100m2</v>
      </c>
      <c r="E161" s="237">
        <v>1</v>
      </c>
      <c r="F161" s="69"/>
      <c r="G161" s="68"/>
      <c r="H161" s="69"/>
    </row>
    <row r="162" spans="1:8" ht="16.5" customHeight="1">
      <c r="A162" s="131"/>
      <c r="B162" s="91"/>
      <c r="C162" s="90" t="s">
        <v>683</v>
      </c>
      <c r="D162" s="91"/>
      <c r="E162" s="93"/>
      <c r="F162" s="132"/>
      <c r="G162" s="94"/>
      <c r="H162" s="132">
        <f>ROUND(H166,1)</f>
        <v>686437.5</v>
      </c>
    </row>
    <row r="163" spans="1:8" ht="16.5" customHeight="1">
      <c r="A163" s="127"/>
      <c r="B163" s="13" t="str">
        <f>'Giá tháng'!B$39</f>
        <v>A24.0921</v>
      </c>
      <c r="C163" s="14" t="str">
        <f>'Giá tháng'!C$39</f>
        <v>Thép hình, thép tấm</v>
      </c>
      <c r="D163" s="13" t="str">
        <f>'Giá tháng'!D$39</f>
        <v>kg</v>
      </c>
      <c r="E163" s="80">
        <f>HaoPhiVatTu!F$57</f>
        <v>31.5</v>
      </c>
      <c r="F163" s="15">
        <f>ROUND('Tổng hợp VT'!O$44,1)</f>
        <v>19500</v>
      </c>
      <c r="G163" s="81">
        <f>'Giá tháng'!G$39</f>
        <v>1</v>
      </c>
      <c r="H163" s="15">
        <f>ROUND(E163*F163*G163,1)</f>
        <v>614250</v>
      </c>
    </row>
    <row r="164" spans="1:8" ht="16.5" customHeight="1">
      <c r="A164" s="127"/>
      <c r="B164" s="13" t="str">
        <f>'Giá tháng'!B$37</f>
        <v>A24.0543</v>
      </c>
      <c r="C164" s="14" t="str">
        <f>'Giá tháng'!C$37</f>
        <v>Que hàn</v>
      </c>
      <c r="D164" s="13" t="str">
        <f>'Giá tháng'!D$37</f>
        <v>kg</v>
      </c>
      <c r="E164" s="80">
        <f>HaoPhiVatTu!F$58</f>
        <v>1.58</v>
      </c>
      <c r="F164" s="15">
        <f>ROUND('Tổng hợp VT'!O$42,1)</f>
        <v>25000</v>
      </c>
      <c r="G164" s="81">
        <f>'Giá tháng'!G$37</f>
        <v>1</v>
      </c>
      <c r="H164" s="15">
        <f>ROUND(E164*F164*G164,1)</f>
        <v>39500</v>
      </c>
    </row>
    <row r="165" spans="1:8" ht="16.5" customHeight="1">
      <c r="A165" s="127"/>
      <c r="B165" s="13" t="s">
        <v>684</v>
      </c>
      <c r="C165" s="14" t="s">
        <v>685</v>
      </c>
      <c r="D165" s="13" t="s">
        <v>682</v>
      </c>
      <c r="E165" s="80">
        <f>HaoPhiVatTu!F$59</f>
        <v>5</v>
      </c>
      <c r="F165" s="15">
        <f>ROUND(SUM(H163:H164),1)</f>
        <v>653750</v>
      </c>
      <c r="G165" s="81"/>
      <c r="H165" s="15">
        <f>ROUND(E165*F165/100,1)</f>
        <v>32687.5</v>
      </c>
    </row>
    <row r="166" spans="1:8" ht="16.5" customHeight="1">
      <c r="A166" s="127"/>
      <c r="B166" s="13"/>
      <c r="C166" s="14" t="s">
        <v>776</v>
      </c>
      <c r="D166" s="13"/>
      <c r="E166" s="80"/>
      <c r="F166" s="15"/>
      <c r="G166" s="81"/>
      <c r="H166" s="15">
        <f>ROUND(SUM(H163:H165),1)</f>
        <v>686437.5</v>
      </c>
    </row>
    <row r="167" spans="1:8" ht="16.5" customHeight="1">
      <c r="A167" s="131"/>
      <c r="B167" s="91"/>
      <c r="C167" s="90" t="s">
        <v>678</v>
      </c>
      <c r="D167" s="91"/>
      <c r="E167" s="93"/>
      <c r="F167" s="132"/>
      <c r="G167" s="94"/>
      <c r="H167" s="132">
        <f>ROUND(H168,1)</f>
        <v>3270692</v>
      </c>
    </row>
    <row r="168" spans="1:8" ht="16.5" customHeight="1">
      <c r="A168" s="127"/>
      <c r="B168" s="13" t="str">
        <f>'Giá tháng'!B$53</f>
        <v>N2.40</v>
      </c>
      <c r="C168" s="14" t="str">
        <f>'Giá tháng'!C$53</f>
        <v>Nhân công 4,0/7 - Nhóm 2</v>
      </c>
      <c r="D168" s="13" t="str">
        <f>'Giá tháng'!D$53</f>
        <v>công</v>
      </c>
      <c r="E168" s="80">
        <f>HaoPhiVatTu!G$61</f>
        <v>11.5</v>
      </c>
      <c r="F168" s="15">
        <f>ROUND('Tổng hợp VT'!O$60,1)</f>
        <v>284408</v>
      </c>
      <c r="G168" s="81">
        <f>'Giá tháng'!G$53</f>
        <v>1</v>
      </c>
      <c r="H168" s="15">
        <f>ROUND(E168*F168*G168,1)</f>
        <v>3270692</v>
      </c>
    </row>
    <row r="169" spans="1:8" ht="16.5" customHeight="1">
      <c r="A169" s="131"/>
      <c r="B169" s="91"/>
      <c r="C169" s="90" t="s">
        <v>679</v>
      </c>
      <c r="D169" s="91"/>
      <c r="E169" s="93"/>
      <c r="F169" s="132"/>
      <c r="G169" s="94"/>
      <c r="H169" s="132">
        <f>ROUND(H172,1)</f>
        <v>172497.8</v>
      </c>
    </row>
    <row r="170" spans="1:8" ht="27.75" customHeight="1">
      <c r="A170" s="127"/>
      <c r="B170" s="13" t="str">
        <f>'Giá tháng'!B$64</f>
        <v>M112.4003</v>
      </c>
      <c r="C170" s="14" t="str">
        <f>'Giá tháng'!C$64</f>
        <v>Máy hàn xoay chiều - công suất : 23,0 kW</v>
      </c>
      <c r="D170" s="13" t="str">
        <f>'Giá tháng'!D$64</f>
        <v>ca</v>
      </c>
      <c r="E170" s="80">
        <f>HaoPhiVatTu!H$63</f>
        <v>0.42</v>
      </c>
      <c r="F170" s="15">
        <f>ROUND('Tổng hợp VT'!O$73,1)</f>
        <v>402656</v>
      </c>
      <c r="G170" s="81">
        <f>'Giá tháng'!G$64</f>
        <v>1</v>
      </c>
      <c r="H170" s="15">
        <f>ROUND(E170*F170*G170,1)</f>
        <v>169115.5</v>
      </c>
    </row>
    <row r="171" spans="1:8" ht="16.5" customHeight="1">
      <c r="A171" s="127"/>
      <c r="B171" s="13" t="s">
        <v>680</v>
      </c>
      <c r="C171" s="14" t="s">
        <v>681</v>
      </c>
      <c r="D171" s="13" t="s">
        <v>682</v>
      </c>
      <c r="E171" s="80">
        <f>HaoPhiVatTu!H$64</f>
        <v>2</v>
      </c>
      <c r="F171" s="15">
        <f>ROUND(SUM(H170:H170),1)</f>
        <v>169115.5</v>
      </c>
      <c r="G171" s="81"/>
      <c r="H171" s="15">
        <f>ROUND(E171*F171/100,1)</f>
        <v>3382.3</v>
      </c>
    </row>
    <row r="172" spans="1:8" ht="16.5" customHeight="1">
      <c r="A172" s="127"/>
      <c r="B172" s="13"/>
      <c r="C172" s="14" t="s">
        <v>776</v>
      </c>
      <c r="D172" s="13"/>
      <c r="E172" s="19"/>
      <c r="F172" s="15"/>
      <c r="G172" s="18"/>
      <c r="H172" s="15">
        <f>ROUND(SUM(H170:H171),1)</f>
        <v>172497.8</v>
      </c>
    </row>
    <row r="173" spans="1:8" ht="27.75" customHeight="1">
      <c r="A173" s="238"/>
      <c r="B173" s="159"/>
      <c r="C173" s="158" t="s">
        <v>1085</v>
      </c>
      <c r="D173" s="159" t="s">
        <v>810</v>
      </c>
      <c r="E173" s="239"/>
      <c r="F173" s="162"/>
      <c r="G173" s="240"/>
      <c r="H173" s="162">
        <f>ROUND(H162+H167+H169,1)</f>
        <v>4129627.3</v>
      </c>
    </row>
    <row r="174" spans="1:8" ht="16.5" customHeight="1">
      <c r="A174" s="241"/>
      <c r="B174" s="147"/>
      <c r="C174" s="146" t="s">
        <v>812</v>
      </c>
      <c r="D174" s="147" t="str">
        <f>""</f>
        <v/>
      </c>
      <c r="E174" s="242"/>
      <c r="F174" s="150"/>
      <c r="G174" s="149"/>
      <c r="H174" s="150"/>
    </row>
    <row r="175" spans="1:8" ht="16.5" customHeight="1">
      <c r="A175" s="241"/>
      <c r="B175" s="147"/>
      <c r="C175" s="146" t="str">
        <f>"Chi phí chung ( T x "&amp;HSXL!C$14&amp;" )"</f>
        <v>Chi phí chung ( T x 6,2% )</v>
      </c>
      <c r="D175" s="147" t="s">
        <v>807</v>
      </c>
      <c r="E175" s="242" t="str">
        <f>HSXL!C$14</f>
        <v>6,2%</v>
      </c>
      <c r="F175" s="150"/>
      <c r="G175" s="149"/>
      <c r="H175" s="150">
        <f>ROUND(H173*HSXL!D$14,1)</f>
        <v>256036.9</v>
      </c>
    </row>
    <row r="176" spans="1:8" ht="27.75" customHeight="1">
      <c r="A176" s="241"/>
      <c r="B176" s="147"/>
      <c r="C176" s="146" t="str">
        <f>"Chi phí nhà tạm để ở và điều hành thi công ( T x "&amp;HSXL!C$18&amp;" )"</f>
        <v>Chi phí nhà tạm để ở và điều hành thi công ( T x 2,2% )</v>
      </c>
      <c r="D176" s="147" t="s">
        <v>815</v>
      </c>
      <c r="E176" s="242" t="str">
        <f>HSXL!C$18</f>
        <v>2,2%</v>
      </c>
      <c r="F176" s="150"/>
      <c r="G176" s="149"/>
      <c r="H176" s="150">
        <f>ROUND(H173*HSXL!D$18,1)</f>
        <v>90851.8</v>
      </c>
    </row>
    <row r="177" spans="1:8" ht="39.75" customHeight="1">
      <c r="A177" s="241"/>
      <c r="B177" s="147"/>
      <c r="C177" s="146" t="str">
        <f>"Chi phí một số công việc không xác định được khối lượng từ thiết kế ( T x "&amp;HSXL!C$13&amp;" )"</f>
        <v>Chi phí một số công việc không xác định được khối lượng từ thiết kế ( T x 2% )</v>
      </c>
      <c r="D177" s="147" t="s">
        <v>61</v>
      </c>
      <c r="E177" s="242" t="str">
        <f>HSXL!C$13</f>
        <v>2%</v>
      </c>
      <c r="F177" s="150"/>
      <c r="G177" s="149"/>
      <c r="H177" s="150">
        <f>ROUND(H173*HSXL!D$13,1)</f>
        <v>82592.5</v>
      </c>
    </row>
    <row r="178" spans="1:8" ht="27.75" customHeight="1">
      <c r="A178" s="238"/>
      <c r="B178" s="159"/>
      <c r="C178" s="158" t="s">
        <v>1086</v>
      </c>
      <c r="D178" s="159" t="s">
        <v>818</v>
      </c>
      <c r="E178" s="239"/>
      <c r="F178" s="162"/>
      <c r="G178" s="240"/>
      <c r="H178" s="162">
        <f>ROUND(SUM(H175:H177),1)</f>
        <v>429481.2</v>
      </c>
    </row>
    <row r="179" spans="1:8" ht="27.75" customHeight="1">
      <c r="A179" s="241"/>
      <c r="B179" s="147"/>
      <c r="C179" s="146" t="str">
        <f>"THU NHẬP CHỊU THUẾ TÍNH TRƯỚC (T+GT) x "&amp;HSXL!C$16</f>
        <v>THU NHẬP CHỊU THUẾ TÍNH TRƯỚC (T+GT) x 6%</v>
      </c>
      <c r="D179" s="147" t="s">
        <v>821</v>
      </c>
      <c r="E179" s="242" t="str">
        <f>HSXL!C$16</f>
        <v>6%</v>
      </c>
      <c r="F179" s="150"/>
      <c r="G179" s="149"/>
      <c r="H179" s="150">
        <f>ROUND((H173+H178)*HSXL!D$16,1)</f>
        <v>273546.5</v>
      </c>
    </row>
    <row r="180" spans="1:8" ht="27.75" customHeight="1">
      <c r="A180" s="241"/>
      <c r="B180" s="147"/>
      <c r="C180" s="146" t="s">
        <v>1087</v>
      </c>
      <c r="D180" s="147" t="s">
        <v>823</v>
      </c>
      <c r="E180" s="242"/>
      <c r="F180" s="150"/>
      <c r="G180" s="149"/>
      <c r="H180" s="150">
        <f>ROUND(H173+H178+H179,0)</f>
        <v>4832655</v>
      </c>
    </row>
    <row r="181" spans="1:8" ht="27.75" customHeight="1">
      <c r="A181" s="241"/>
      <c r="B181" s="147"/>
      <c r="C181" s="146" t="str">
        <f>"THUẾ GIÁ TRỊ GIA TĂNG ( G x "&amp;HSXL!C$17&amp;" )"</f>
        <v>THUẾ GIÁ TRỊ GIA TĂNG ( G x 10% )</v>
      </c>
      <c r="D181" s="147" t="s">
        <v>827</v>
      </c>
      <c r="E181" s="164">
        <f>HSXL!D$17</f>
        <v>0.1</v>
      </c>
      <c r="F181" s="150"/>
      <c r="G181" s="149"/>
      <c r="H181" s="150">
        <f>ROUND(E181*H180,1)</f>
        <v>483265.5</v>
      </c>
    </row>
    <row r="182" spans="1:8" ht="27.75" customHeight="1">
      <c r="A182" s="243"/>
      <c r="B182" s="244"/>
      <c r="C182" s="245" t="s">
        <v>1088</v>
      </c>
      <c r="D182" s="244" t="s">
        <v>830</v>
      </c>
      <c r="E182" s="246"/>
      <c r="F182" s="247"/>
      <c r="G182" s="248"/>
      <c r="H182" s="249">
        <f>ROUND(H180+H181,0)</f>
        <v>5315921</v>
      </c>
    </row>
    <row r="183" spans="1:8" ht="53.25" customHeight="1">
      <c r="A183" s="128">
        <f>'Công trình'!A34</f>
        <v>10</v>
      </c>
      <c r="B183" s="129" t="str">
        <f>'Công trình'!E34</f>
        <v>AF.15434A</v>
      </c>
      <c r="C183" s="130" t="str">
        <f>'Công trình'!F34</f>
        <v>Đổ bê tông thủ công bằng máy trộn, bê tông mặt đường, chiều dày mặt đường &lt;=25 cm, đá 2x4, mác 250, PCB30</v>
      </c>
      <c r="D183" s="129" t="str">
        <f>'Công trình'!G34</f>
        <v>m3</v>
      </c>
      <c r="E183" s="237">
        <v>1</v>
      </c>
      <c r="F183" s="69"/>
      <c r="G183" s="68"/>
      <c r="H183" s="69"/>
    </row>
    <row r="184" spans="1:8" ht="16.5" customHeight="1">
      <c r="A184" s="131"/>
      <c r="B184" s="91"/>
      <c r="C184" s="90" t="s">
        <v>683</v>
      </c>
      <c r="D184" s="91"/>
      <c r="E184" s="93"/>
      <c r="F184" s="132"/>
      <c r="G184" s="94"/>
      <c r="H184" s="132">
        <f>ROUND(H190,1)</f>
        <v>1082427</v>
      </c>
    </row>
    <row r="185" spans="1:8" ht="27.75" customHeight="1">
      <c r="A185" s="127"/>
      <c r="B185" s="13" t="str">
        <f>'Giá tháng'!B$45</f>
        <v>A24.0797A</v>
      </c>
      <c r="C185" s="14" t="str">
        <f>'Giá tháng'!C$45</f>
        <v>Xi măng PCB30</v>
      </c>
      <c r="D185" s="13" t="str">
        <f>'Giá tháng'!D$45</f>
        <v>kg</v>
      </c>
      <c r="E185" s="80">
        <f>HaoPhiVatTu!F$67</f>
        <v>348.5</v>
      </c>
      <c r="F185" s="15">
        <f>ROUND('Tổng hợp VT'!O$49,1)</f>
        <v>1481</v>
      </c>
      <c r="G185" s="81">
        <f>'Giá tháng'!G$45</f>
        <v>1</v>
      </c>
      <c r="H185" s="15">
        <f>ROUND(E185*F185*G185,1)</f>
        <v>516128.5</v>
      </c>
    </row>
    <row r="186" spans="1:8" ht="16.5" customHeight="1">
      <c r="A186" s="127"/>
      <c r="B186" s="13" t="str">
        <f>'Giá tháng'!B$10</f>
        <v>A24.0180</v>
      </c>
      <c r="C186" s="14" t="str">
        <f>'Giá tháng'!C$10</f>
        <v>Cát vàng</v>
      </c>
      <c r="D186" s="13" t="str">
        <f>'Giá tháng'!D$10</f>
        <v>m3</v>
      </c>
      <c r="E186" s="80">
        <f>HaoPhiVatTu!F$68</f>
        <v>0.52992499999999998</v>
      </c>
      <c r="F186" s="15">
        <f>ROUND('Tổng hợp VT'!O$15,1)</f>
        <v>480000</v>
      </c>
      <c r="G186" s="81">
        <f>'Giá tháng'!G$10</f>
        <v>1</v>
      </c>
      <c r="H186" s="15">
        <f>ROUND(E186*F186*G186,1)</f>
        <v>254364</v>
      </c>
    </row>
    <row r="187" spans="1:8" ht="16.5" customHeight="1">
      <c r="A187" s="127"/>
      <c r="B187" s="13" t="str">
        <f>'Giá tháng'!B$16</f>
        <v>A24.0009</v>
      </c>
      <c r="C187" s="14" t="str">
        <f>'Giá tháng'!C$16</f>
        <v>Đá 2x4</v>
      </c>
      <c r="D187" s="13" t="str">
        <f>'Giá tháng'!D$16</f>
        <v>m3</v>
      </c>
      <c r="E187" s="80">
        <f>HaoPhiVatTu!F$69</f>
        <v>0.85997500000000004</v>
      </c>
      <c r="F187" s="15">
        <f>ROUND('Tổng hợp VT'!O$21,1)</f>
        <v>340000</v>
      </c>
      <c r="G187" s="81">
        <f>'Giá tháng'!G$16</f>
        <v>1</v>
      </c>
      <c r="H187" s="15">
        <f>ROUND(E187*F187*G187,1)</f>
        <v>292391.5</v>
      </c>
    </row>
    <row r="188" spans="1:8" ht="16.5" customHeight="1">
      <c r="A188" s="127"/>
      <c r="B188" s="13" t="str">
        <f>'Giá tháng'!B$32</f>
        <v>A24.0524</v>
      </c>
      <c r="C188" s="14" t="str">
        <f>'Giá tháng'!C$32</f>
        <v>Nước</v>
      </c>
      <c r="D188" s="13" t="str">
        <f>'Giá tháng'!D$32</f>
        <v>lít</v>
      </c>
      <c r="E188" s="80">
        <f>HaoPhiVatTu!F$70</f>
        <v>177.32499999999999</v>
      </c>
      <c r="F188" s="15">
        <f>ROUND('Tổng hợp VT'!O$37,1)</f>
        <v>20</v>
      </c>
      <c r="G188" s="81">
        <f>'Giá tháng'!G$32</f>
        <v>1</v>
      </c>
      <c r="H188" s="15">
        <f>ROUND(E188*F188*G188,1)</f>
        <v>3546.5</v>
      </c>
    </row>
    <row r="189" spans="1:8" ht="16.5" customHeight="1">
      <c r="A189" s="127"/>
      <c r="B189" s="13" t="s">
        <v>684</v>
      </c>
      <c r="C189" s="14" t="s">
        <v>685</v>
      </c>
      <c r="D189" s="13" t="s">
        <v>682</v>
      </c>
      <c r="E189" s="80">
        <f>HaoPhiVatTu!F$71</f>
        <v>1.5</v>
      </c>
      <c r="F189" s="15">
        <f>ROUND(SUM(H185:H188),1)</f>
        <v>1066430.5</v>
      </c>
      <c r="G189" s="81"/>
      <c r="H189" s="15">
        <f>ROUND(E189*F189/100,1)</f>
        <v>15996.5</v>
      </c>
    </row>
    <row r="190" spans="1:8" ht="16.5" customHeight="1">
      <c r="A190" s="127"/>
      <c r="B190" s="13"/>
      <c r="C190" s="14" t="s">
        <v>776</v>
      </c>
      <c r="D190" s="13"/>
      <c r="E190" s="80"/>
      <c r="F190" s="15"/>
      <c r="G190" s="81"/>
      <c r="H190" s="15">
        <f>ROUND(SUM(H185:H189),1)</f>
        <v>1082427</v>
      </c>
    </row>
    <row r="191" spans="1:8" ht="16.5" customHeight="1">
      <c r="A191" s="131"/>
      <c r="B191" s="91"/>
      <c r="C191" s="90" t="s">
        <v>678</v>
      </c>
      <c r="D191" s="91"/>
      <c r="E191" s="93"/>
      <c r="F191" s="132"/>
      <c r="G191" s="94"/>
      <c r="H191" s="132">
        <f>ROUND(H192,1)</f>
        <v>358940</v>
      </c>
    </row>
    <row r="192" spans="1:8" ht="16.5" customHeight="1">
      <c r="A192" s="127"/>
      <c r="B192" s="13" t="str">
        <f>'Giá tháng'!B$51</f>
        <v>N2.35</v>
      </c>
      <c r="C192" s="14" t="str">
        <f>'Giá tháng'!C$51</f>
        <v>Nhân công 3,5/7 - Nhóm 2</v>
      </c>
      <c r="D192" s="13" t="str">
        <f>'Giá tháng'!D$51</f>
        <v>công</v>
      </c>
      <c r="E192" s="80">
        <f>HaoPhiVatTu!G$73</f>
        <v>1.37</v>
      </c>
      <c r="F192" s="15">
        <f>ROUND('Tổng hợp VT'!O$59,1)</f>
        <v>262000</v>
      </c>
      <c r="G192" s="81">
        <f>'Giá tháng'!G$51</f>
        <v>1</v>
      </c>
      <c r="H192" s="15">
        <f>ROUND(E192*F192*G192,1)</f>
        <v>358940</v>
      </c>
    </row>
    <row r="193" spans="1:8" ht="16.5" customHeight="1">
      <c r="A193" s="131"/>
      <c r="B193" s="91"/>
      <c r="C193" s="90" t="s">
        <v>679</v>
      </c>
      <c r="D193" s="91"/>
      <c r="E193" s="93"/>
      <c r="F193" s="132"/>
      <c r="G193" s="94"/>
      <c r="H193" s="132">
        <f>ROUND(H198,1)</f>
        <v>80577.899999999994</v>
      </c>
    </row>
    <row r="194" spans="1:8" ht="27.75" customHeight="1">
      <c r="A194" s="127"/>
      <c r="B194" s="13" t="str">
        <f>'Giá tháng'!B$74</f>
        <v>M104.0102</v>
      </c>
      <c r="C194" s="14" t="str">
        <f>'Giá tháng'!C$74</f>
        <v>Máy trộn bê tông - dung tích : 250,0 lít</v>
      </c>
      <c r="D194" s="13" t="str">
        <f>'Giá tháng'!D$74</f>
        <v>ca</v>
      </c>
      <c r="E194" s="80">
        <f>HaoPhiVatTu!H$75</f>
        <v>9.5000000000000001E-2</v>
      </c>
      <c r="F194" s="15">
        <f>ROUND('Tổng hợp VT'!O$83,1)</f>
        <v>318734</v>
      </c>
      <c r="G194" s="81">
        <f>'Giá tháng'!G$74</f>
        <v>1</v>
      </c>
      <c r="H194" s="15">
        <f>ROUND(E194*F194*G194,1)</f>
        <v>30279.7</v>
      </c>
    </row>
    <row r="195" spans="1:8" ht="27.75" customHeight="1">
      <c r="A195" s="127"/>
      <c r="B195" s="13" t="str">
        <f>'Giá tháng'!B$63</f>
        <v>M112.1101</v>
      </c>
      <c r="C195" s="14" t="str">
        <f>'Giá tháng'!C$63</f>
        <v>Máy đầm bê tông, đầm bàn - công suất : 1,0 kW</v>
      </c>
      <c r="D195" s="13" t="str">
        <f>'Giá tháng'!D$63</f>
        <v>ca</v>
      </c>
      <c r="E195" s="80">
        <f>HaoPhiVatTu!H$76</f>
        <v>8.8999999999999996E-2</v>
      </c>
      <c r="F195" s="15">
        <f>ROUND('Tổng hợp VT'!O$72,1)</f>
        <v>271933</v>
      </c>
      <c r="G195" s="81">
        <f>'Giá tháng'!G$63</f>
        <v>1</v>
      </c>
      <c r="H195" s="15">
        <f>ROUND(E195*F195*G195,1)</f>
        <v>24202</v>
      </c>
    </row>
    <row r="196" spans="1:8" ht="27.75" customHeight="1">
      <c r="A196" s="127"/>
      <c r="B196" s="13" t="str">
        <f>'Giá tháng'!B$62</f>
        <v>M112.1301</v>
      </c>
      <c r="C196" s="14" t="str">
        <f>'Giá tháng'!C$62</f>
        <v>Máy đầm bê tông, dầm dùi - công suất : 1,5 kW</v>
      </c>
      <c r="D196" s="13" t="str">
        <f>'Giá tháng'!D$62</f>
        <v>ca</v>
      </c>
      <c r="E196" s="80">
        <f>HaoPhiVatTu!H$77</f>
        <v>8.8999999999999996E-2</v>
      </c>
      <c r="F196" s="15">
        <f>ROUND('Tổng hợp VT'!O$71,1)</f>
        <v>275463</v>
      </c>
      <c r="G196" s="81">
        <f>'Giá tháng'!G$62</f>
        <v>1</v>
      </c>
      <c r="H196" s="15">
        <f>ROUND(E196*F196*G196,1)</f>
        <v>24516.2</v>
      </c>
    </row>
    <row r="197" spans="1:8" ht="16.5" customHeight="1">
      <c r="A197" s="127"/>
      <c r="B197" s="13" t="s">
        <v>680</v>
      </c>
      <c r="C197" s="14" t="s">
        <v>681</v>
      </c>
      <c r="D197" s="13" t="s">
        <v>682</v>
      </c>
      <c r="E197" s="80">
        <f>HaoPhiVatTu!H$78</f>
        <v>2</v>
      </c>
      <c r="F197" s="15">
        <f>ROUND(SUM(H194:H196),1)</f>
        <v>78997.899999999994</v>
      </c>
      <c r="G197" s="81"/>
      <c r="H197" s="15">
        <f>ROUND(E197*F197/100,1)</f>
        <v>1580</v>
      </c>
    </row>
    <row r="198" spans="1:8" ht="16.5" customHeight="1">
      <c r="A198" s="127"/>
      <c r="B198" s="13"/>
      <c r="C198" s="14" t="s">
        <v>776</v>
      </c>
      <c r="D198" s="13"/>
      <c r="E198" s="19"/>
      <c r="F198" s="15"/>
      <c r="G198" s="18"/>
      <c r="H198" s="15">
        <f>ROUND(SUM(H194:H197),1)</f>
        <v>80577.899999999994</v>
      </c>
    </row>
    <row r="199" spans="1:8" ht="27.75" customHeight="1">
      <c r="A199" s="238"/>
      <c r="B199" s="159"/>
      <c r="C199" s="158" t="s">
        <v>1085</v>
      </c>
      <c r="D199" s="159" t="s">
        <v>810</v>
      </c>
      <c r="E199" s="239"/>
      <c r="F199" s="162"/>
      <c r="G199" s="240"/>
      <c r="H199" s="162">
        <f>ROUND(H184+H191+H193,1)</f>
        <v>1521944.9</v>
      </c>
    </row>
    <row r="200" spans="1:8" ht="16.5" customHeight="1">
      <c r="A200" s="241"/>
      <c r="B200" s="147"/>
      <c r="C200" s="146" t="s">
        <v>812</v>
      </c>
      <c r="D200" s="147" t="str">
        <f>""</f>
        <v/>
      </c>
      <c r="E200" s="242"/>
      <c r="F200" s="150"/>
      <c r="G200" s="149"/>
      <c r="H200" s="150"/>
    </row>
    <row r="201" spans="1:8" ht="16.5" customHeight="1">
      <c r="A201" s="241"/>
      <c r="B201" s="147"/>
      <c r="C201" s="146" t="str">
        <f>"Chi phí chung ( T x "&amp;HSXL!C$14&amp;" )"</f>
        <v>Chi phí chung ( T x 6,2% )</v>
      </c>
      <c r="D201" s="147" t="s">
        <v>807</v>
      </c>
      <c r="E201" s="242" t="str">
        <f>HSXL!C$14</f>
        <v>6,2%</v>
      </c>
      <c r="F201" s="150"/>
      <c r="G201" s="149"/>
      <c r="H201" s="150">
        <f>ROUND(H199*HSXL!D$14,1)</f>
        <v>94360.6</v>
      </c>
    </row>
    <row r="202" spans="1:8" ht="27.75" customHeight="1">
      <c r="A202" s="241"/>
      <c r="B202" s="147"/>
      <c r="C202" s="146" t="str">
        <f>"Chi phí nhà tạm để ở và điều hành thi công ( T x "&amp;HSXL!C$18&amp;" )"</f>
        <v>Chi phí nhà tạm để ở và điều hành thi công ( T x 2,2% )</v>
      </c>
      <c r="D202" s="147" t="s">
        <v>815</v>
      </c>
      <c r="E202" s="242" t="str">
        <f>HSXL!C$18</f>
        <v>2,2%</v>
      </c>
      <c r="F202" s="150"/>
      <c r="G202" s="149"/>
      <c r="H202" s="150">
        <f>ROUND(H199*HSXL!D$18,1)</f>
        <v>33482.800000000003</v>
      </c>
    </row>
    <row r="203" spans="1:8" ht="39.75" customHeight="1">
      <c r="A203" s="241"/>
      <c r="B203" s="147"/>
      <c r="C203" s="146" t="str">
        <f>"Chi phí một số công việc không xác định được khối lượng từ thiết kế ( T x "&amp;HSXL!C$13&amp;" )"</f>
        <v>Chi phí một số công việc không xác định được khối lượng từ thiết kế ( T x 2% )</v>
      </c>
      <c r="D203" s="147" t="s">
        <v>61</v>
      </c>
      <c r="E203" s="242" t="str">
        <f>HSXL!C$13</f>
        <v>2%</v>
      </c>
      <c r="F203" s="150"/>
      <c r="G203" s="149"/>
      <c r="H203" s="150">
        <f>ROUND(H199*HSXL!D$13,1)</f>
        <v>30438.9</v>
      </c>
    </row>
    <row r="204" spans="1:8" ht="27.75" customHeight="1">
      <c r="A204" s="238"/>
      <c r="B204" s="159"/>
      <c r="C204" s="158" t="s">
        <v>1086</v>
      </c>
      <c r="D204" s="159" t="s">
        <v>818</v>
      </c>
      <c r="E204" s="239"/>
      <c r="F204" s="162"/>
      <c r="G204" s="240"/>
      <c r="H204" s="162">
        <f>ROUND(SUM(H201:H203),1)</f>
        <v>158282.29999999999</v>
      </c>
    </row>
    <row r="205" spans="1:8" ht="27.75" customHeight="1">
      <c r="A205" s="241"/>
      <c r="B205" s="147"/>
      <c r="C205" s="146" t="str">
        <f>"THU NHẬP CHỊU THUẾ TÍNH TRƯỚC (T+GT) x "&amp;HSXL!C$16</f>
        <v>THU NHẬP CHỊU THUẾ TÍNH TRƯỚC (T+GT) x 6%</v>
      </c>
      <c r="D205" s="147" t="s">
        <v>821</v>
      </c>
      <c r="E205" s="242" t="str">
        <f>HSXL!C$16</f>
        <v>6%</v>
      </c>
      <c r="F205" s="150"/>
      <c r="G205" s="149"/>
      <c r="H205" s="150">
        <f>ROUND((H199+H204)*HSXL!D$16,1)</f>
        <v>100813.6</v>
      </c>
    </row>
    <row r="206" spans="1:8" ht="27.75" customHeight="1">
      <c r="A206" s="241"/>
      <c r="B206" s="147"/>
      <c r="C206" s="146" t="s">
        <v>1087</v>
      </c>
      <c r="D206" s="147" t="s">
        <v>823</v>
      </c>
      <c r="E206" s="242"/>
      <c r="F206" s="150"/>
      <c r="G206" s="149"/>
      <c r="H206" s="150">
        <f>ROUND(H199+H204+H205,0)</f>
        <v>1781041</v>
      </c>
    </row>
    <row r="207" spans="1:8" ht="27.75" customHeight="1">
      <c r="A207" s="241"/>
      <c r="B207" s="147"/>
      <c r="C207" s="146" t="str">
        <f>"THUẾ GIÁ TRỊ GIA TĂNG ( G x "&amp;HSXL!C$17&amp;" )"</f>
        <v>THUẾ GIÁ TRỊ GIA TĂNG ( G x 10% )</v>
      </c>
      <c r="D207" s="147" t="s">
        <v>827</v>
      </c>
      <c r="E207" s="164">
        <f>HSXL!D$17</f>
        <v>0.1</v>
      </c>
      <c r="F207" s="150"/>
      <c r="G207" s="149"/>
      <c r="H207" s="150">
        <f>ROUND(E207*H206,1)</f>
        <v>178104.1</v>
      </c>
    </row>
    <row r="208" spans="1:8" ht="27.75" customHeight="1">
      <c r="A208" s="243"/>
      <c r="B208" s="244"/>
      <c r="C208" s="245" t="s">
        <v>1088</v>
      </c>
      <c r="D208" s="244" t="s">
        <v>830</v>
      </c>
      <c r="E208" s="246"/>
      <c r="F208" s="247"/>
      <c r="G208" s="248"/>
      <c r="H208" s="249">
        <f>ROUND(H206+H207,0)</f>
        <v>1959145</v>
      </c>
    </row>
    <row r="209" spans="1:8" ht="40.5" customHeight="1">
      <c r="A209" s="128">
        <f>'Công trình'!A37</f>
        <v>11</v>
      </c>
      <c r="B209" s="129" t="str">
        <f>'Công trình'!E37</f>
        <v>AK.41114A (VD)</v>
      </c>
      <c r="C209" s="130" t="str">
        <f>'Công trình'!F37</f>
        <v>Đánh bóng bề mặt đường BTXM bằng máy xoa, kết hợp bổ sung xi măng</v>
      </c>
      <c r="D209" s="129" t="str">
        <f>'Công trình'!G37</f>
        <v>m2</v>
      </c>
      <c r="E209" s="237">
        <v>1</v>
      </c>
      <c r="F209" s="69"/>
      <c r="G209" s="68"/>
      <c r="H209" s="69"/>
    </row>
    <row r="210" spans="1:8" ht="16.5" customHeight="1">
      <c r="A210" s="131"/>
      <c r="B210" s="91"/>
      <c r="C210" s="90" t="s">
        <v>683</v>
      </c>
      <c r="D210" s="91"/>
      <c r="E210" s="93"/>
      <c r="F210" s="132"/>
      <c r="G210" s="94"/>
      <c r="H210" s="132">
        <f>ROUND(H214,1)</f>
        <v>11144.5</v>
      </c>
    </row>
    <row r="211" spans="1:8" ht="27.75" customHeight="1">
      <c r="A211" s="127"/>
      <c r="B211" s="13" t="str">
        <f>'Giá tháng'!B$44</f>
        <v>A24.0797A</v>
      </c>
      <c r="C211" s="14" t="str">
        <f>'Giá tháng'!C$44</f>
        <v>Xi măng PCB30</v>
      </c>
      <c r="D211" s="13" t="str">
        <f>'Giá tháng'!D$44</f>
        <v>kg</v>
      </c>
      <c r="E211" s="80">
        <f>HaoPhiVatTu!F$81</f>
        <v>10.75</v>
      </c>
      <c r="F211" s="15">
        <f>ROUND('Tổng hợp VT'!O$49,1)</f>
        <v>1481</v>
      </c>
      <c r="G211" s="81">
        <f>'Giá tháng'!G$44</f>
        <v>0.7</v>
      </c>
      <c r="H211" s="15">
        <f>ROUND(E211*F211*G211,1)</f>
        <v>11144.5</v>
      </c>
    </row>
    <row r="212" spans="1:8" ht="16.5" customHeight="1">
      <c r="A212" s="127"/>
      <c r="B212" s="13" t="str">
        <f>'Giá tháng'!B$9</f>
        <v>A24.0176</v>
      </c>
      <c r="C212" s="14" t="str">
        <f>'Giá tháng'!C$9</f>
        <v>Cát mịn ML=1,5-2,0</v>
      </c>
      <c r="D212" s="13" t="str">
        <f>'Giá tháng'!D$9</f>
        <v>m3</v>
      </c>
      <c r="E212" s="80"/>
      <c r="F212" s="15">
        <f>ROUND('Tổng hợp VT'!O$14,1)</f>
        <v>445000</v>
      </c>
      <c r="G212" s="81">
        <f>'Giá tháng'!G$9</f>
        <v>1</v>
      </c>
      <c r="H212" s="15">
        <f>ROUND(E212*F212*G212,1)</f>
        <v>0</v>
      </c>
    </row>
    <row r="213" spans="1:8" ht="16.5" customHeight="1">
      <c r="A213" s="127"/>
      <c r="B213" s="13" t="str">
        <f>'Giá tháng'!B$32</f>
        <v>A24.0524</v>
      </c>
      <c r="C213" s="14" t="str">
        <f>'Giá tháng'!C$32</f>
        <v>Nước</v>
      </c>
      <c r="D213" s="13" t="str">
        <f>'Giá tháng'!D$32</f>
        <v>lít</v>
      </c>
      <c r="E213" s="80"/>
      <c r="F213" s="15">
        <f>ROUND('Tổng hợp VT'!O$37,1)</f>
        <v>20</v>
      </c>
      <c r="G213" s="81">
        <f>'Giá tháng'!G$32</f>
        <v>1</v>
      </c>
      <c r="H213" s="15">
        <f>ROUND(E213*F213*G213,1)</f>
        <v>0</v>
      </c>
    </row>
    <row r="214" spans="1:8" ht="16.5" customHeight="1">
      <c r="A214" s="127"/>
      <c r="B214" s="13"/>
      <c r="C214" s="14" t="s">
        <v>776</v>
      </c>
      <c r="D214" s="13"/>
      <c r="E214" s="80"/>
      <c r="F214" s="15"/>
      <c r="G214" s="81"/>
      <c r="H214" s="15">
        <f>ROUND(SUM(H211:H213),1)</f>
        <v>11144.5</v>
      </c>
    </row>
    <row r="215" spans="1:8" ht="16.5" customHeight="1">
      <c r="A215" s="131"/>
      <c r="B215" s="91"/>
      <c r="C215" s="90" t="s">
        <v>678</v>
      </c>
      <c r="D215" s="91"/>
      <c r="E215" s="93"/>
      <c r="F215" s="132"/>
      <c r="G215" s="94"/>
      <c r="H215" s="132">
        <f>ROUND(H216,1)</f>
        <v>9669.9</v>
      </c>
    </row>
    <row r="216" spans="1:8" ht="16.5" customHeight="1">
      <c r="A216" s="127"/>
      <c r="B216" s="13" t="str">
        <f>'Giá tháng'!B$52</f>
        <v>N2.40</v>
      </c>
      <c r="C216" s="14" t="str">
        <f>'Giá tháng'!C$52</f>
        <v>Nhân công 4,0/7 - Nhóm 2</v>
      </c>
      <c r="D216" s="13" t="str">
        <f>'Giá tháng'!D$52</f>
        <v>công</v>
      </c>
      <c r="E216" s="80">
        <f>HaoPhiVatTu!G$85</f>
        <v>6.8000000000000005E-2</v>
      </c>
      <c r="F216" s="15">
        <f>ROUND('Tổng hợp VT'!O$60,1)</f>
        <v>284408</v>
      </c>
      <c r="G216" s="81">
        <f>'Giá tháng'!G$52</f>
        <v>0.5</v>
      </c>
      <c r="H216" s="15">
        <f>ROUND(E216*F216*G216,1)</f>
        <v>9669.9</v>
      </c>
    </row>
    <row r="217" spans="1:8" ht="16.5" customHeight="1">
      <c r="A217" s="131"/>
      <c r="B217" s="91"/>
      <c r="C217" s="90" t="s">
        <v>679</v>
      </c>
      <c r="D217" s="91"/>
      <c r="E217" s="93"/>
      <c r="F217" s="132"/>
      <c r="G217" s="94"/>
      <c r="H217" s="132">
        <f>ROUND(H218,1)</f>
        <v>4000</v>
      </c>
    </row>
    <row r="218" spans="1:8" ht="16.5" customHeight="1">
      <c r="A218" s="127"/>
      <c r="B218" s="13" t="str">
        <f>'Giá tháng'!B$77</f>
        <v>TT*</v>
      </c>
      <c r="C218" s="14" t="str">
        <f>'Giá tháng'!C$77</f>
        <v>Máy xoa</v>
      </c>
      <c r="D218" s="13" t="str">
        <f>'Giá tháng'!D$77</f>
        <v>Ca</v>
      </c>
      <c r="E218" s="80">
        <f>HaoPhiVatTu!H$87</f>
        <v>0.02</v>
      </c>
      <c r="F218" s="15">
        <f>ROUND('Tổng hợp VT'!O$86,1)</f>
        <v>200000</v>
      </c>
      <c r="G218" s="81">
        <f>'Giá tháng'!G$77</f>
        <v>1</v>
      </c>
      <c r="H218" s="15">
        <f>ROUND(E218*F218*G218,1)</f>
        <v>4000</v>
      </c>
    </row>
    <row r="219" spans="1:8" ht="27.75" customHeight="1">
      <c r="A219" s="238"/>
      <c r="B219" s="159"/>
      <c r="C219" s="158" t="s">
        <v>1085</v>
      </c>
      <c r="D219" s="159" t="s">
        <v>810</v>
      </c>
      <c r="E219" s="239"/>
      <c r="F219" s="162"/>
      <c r="G219" s="240"/>
      <c r="H219" s="162">
        <f>ROUND(H210+H215+H217,1)</f>
        <v>24814.400000000001</v>
      </c>
    </row>
    <row r="220" spans="1:8" ht="16.5" customHeight="1">
      <c r="A220" s="241"/>
      <c r="B220" s="147"/>
      <c r="C220" s="146" t="s">
        <v>812</v>
      </c>
      <c r="D220" s="147" t="str">
        <f>""</f>
        <v/>
      </c>
      <c r="E220" s="242"/>
      <c r="F220" s="150"/>
      <c r="G220" s="149"/>
      <c r="H220" s="150"/>
    </row>
    <row r="221" spans="1:8" ht="16.5" customHeight="1">
      <c r="A221" s="241"/>
      <c r="B221" s="147"/>
      <c r="C221" s="146" t="str">
        <f>"Chi phí chung ( T x "&amp;HSXL!C$14&amp;" )"</f>
        <v>Chi phí chung ( T x 6,2% )</v>
      </c>
      <c r="D221" s="147" t="s">
        <v>807</v>
      </c>
      <c r="E221" s="242" t="str">
        <f>HSXL!C$14</f>
        <v>6,2%</v>
      </c>
      <c r="F221" s="150"/>
      <c r="G221" s="149"/>
      <c r="H221" s="150">
        <f>ROUND(H219*HSXL!D$14,1)</f>
        <v>1538.5</v>
      </c>
    </row>
    <row r="222" spans="1:8" ht="27.75" customHeight="1">
      <c r="A222" s="241"/>
      <c r="B222" s="147"/>
      <c r="C222" s="146" t="str">
        <f>"Chi phí nhà tạm để ở và điều hành thi công ( T x "&amp;HSXL!C$18&amp;" )"</f>
        <v>Chi phí nhà tạm để ở và điều hành thi công ( T x 2,2% )</v>
      </c>
      <c r="D222" s="147" t="s">
        <v>815</v>
      </c>
      <c r="E222" s="242" t="str">
        <f>HSXL!C$18</f>
        <v>2,2%</v>
      </c>
      <c r="F222" s="150"/>
      <c r="G222" s="149"/>
      <c r="H222" s="150">
        <f>ROUND(H219*HSXL!D$18,1)</f>
        <v>545.9</v>
      </c>
    </row>
    <row r="223" spans="1:8" ht="39.75" customHeight="1">
      <c r="A223" s="241"/>
      <c r="B223" s="147"/>
      <c r="C223" s="146" t="str">
        <f>"Chi phí một số công việc không xác định được khối lượng từ thiết kế ( T x "&amp;HSXL!C$13&amp;" )"</f>
        <v>Chi phí một số công việc không xác định được khối lượng từ thiết kế ( T x 2% )</v>
      </c>
      <c r="D223" s="147" t="s">
        <v>61</v>
      </c>
      <c r="E223" s="242" t="str">
        <f>HSXL!C$13</f>
        <v>2%</v>
      </c>
      <c r="F223" s="150"/>
      <c r="G223" s="149"/>
      <c r="H223" s="150">
        <f>ROUND(H219*HSXL!D$13,1)</f>
        <v>496.3</v>
      </c>
    </row>
    <row r="224" spans="1:8" ht="27.75" customHeight="1">
      <c r="A224" s="238"/>
      <c r="B224" s="159"/>
      <c r="C224" s="158" t="s">
        <v>1086</v>
      </c>
      <c r="D224" s="159" t="s">
        <v>818</v>
      </c>
      <c r="E224" s="239"/>
      <c r="F224" s="162"/>
      <c r="G224" s="240"/>
      <c r="H224" s="162">
        <f>ROUND(SUM(H221:H223),1)</f>
        <v>2580.6999999999998</v>
      </c>
    </row>
    <row r="225" spans="1:8" ht="27.75" customHeight="1">
      <c r="A225" s="241"/>
      <c r="B225" s="147"/>
      <c r="C225" s="146" t="str">
        <f>"THU NHẬP CHỊU THUẾ TÍNH TRƯỚC (T+GT) x "&amp;HSXL!C$16</f>
        <v>THU NHẬP CHỊU THUẾ TÍNH TRƯỚC (T+GT) x 6%</v>
      </c>
      <c r="D225" s="147" t="s">
        <v>821</v>
      </c>
      <c r="E225" s="242" t="str">
        <f>HSXL!C$16</f>
        <v>6%</v>
      </c>
      <c r="F225" s="150"/>
      <c r="G225" s="149"/>
      <c r="H225" s="150">
        <f>ROUND((H219+H224)*HSXL!D$16,1)</f>
        <v>1643.7</v>
      </c>
    </row>
    <row r="226" spans="1:8" ht="27.75" customHeight="1">
      <c r="A226" s="241"/>
      <c r="B226" s="147"/>
      <c r="C226" s="146" t="s">
        <v>1087</v>
      </c>
      <c r="D226" s="147" t="s">
        <v>823</v>
      </c>
      <c r="E226" s="242"/>
      <c r="F226" s="150"/>
      <c r="G226" s="149"/>
      <c r="H226" s="150">
        <f>ROUND(H219+H224+H225,0)</f>
        <v>29039</v>
      </c>
    </row>
    <row r="227" spans="1:8" ht="27.75" customHeight="1">
      <c r="A227" s="241"/>
      <c r="B227" s="147"/>
      <c r="C227" s="146" t="str">
        <f>"THUẾ GIÁ TRỊ GIA TĂNG ( G x "&amp;HSXL!C$17&amp;" )"</f>
        <v>THUẾ GIÁ TRỊ GIA TĂNG ( G x 10% )</v>
      </c>
      <c r="D227" s="147" t="s">
        <v>827</v>
      </c>
      <c r="E227" s="164">
        <f>HSXL!D$17</f>
        <v>0.1</v>
      </c>
      <c r="F227" s="150"/>
      <c r="G227" s="149"/>
      <c r="H227" s="150">
        <f>ROUND(E227*H226,1)</f>
        <v>2903.9</v>
      </c>
    </row>
    <row r="228" spans="1:8" ht="27.75" customHeight="1">
      <c r="A228" s="243"/>
      <c r="B228" s="244"/>
      <c r="C228" s="245" t="s">
        <v>1088</v>
      </c>
      <c r="D228" s="244" t="s">
        <v>830</v>
      </c>
      <c r="E228" s="246"/>
      <c r="F228" s="247"/>
      <c r="G228" s="248"/>
      <c r="H228" s="249">
        <f>ROUND(H226+H227,0)</f>
        <v>31943</v>
      </c>
    </row>
    <row r="229" spans="1:8" ht="27.75" customHeight="1">
      <c r="A229" s="128">
        <f>'Công trình'!A39</f>
        <v>12</v>
      </c>
      <c r="B229" s="129" t="str">
        <f>'Công trình'!E39</f>
        <v>AL.24111</v>
      </c>
      <c r="C229" s="130" t="str">
        <f>'Công trình'!F39</f>
        <v>Thi công khe co sân, bãi, mặt đường bê tông</v>
      </c>
      <c r="D229" s="129" t="str">
        <f>'Công trình'!G39</f>
        <v>m</v>
      </c>
      <c r="E229" s="237">
        <v>1</v>
      </c>
      <c r="F229" s="69"/>
      <c r="G229" s="68"/>
      <c r="H229" s="69"/>
    </row>
    <row r="230" spans="1:8" ht="16.5" customHeight="1">
      <c r="A230" s="131"/>
      <c r="B230" s="91"/>
      <c r="C230" s="90" t="s">
        <v>683</v>
      </c>
      <c r="D230" s="91"/>
      <c r="E230" s="93"/>
      <c r="F230" s="132"/>
      <c r="G230" s="94"/>
      <c r="H230" s="132">
        <f>ROUND(H235,1)</f>
        <v>86850.8</v>
      </c>
    </row>
    <row r="231" spans="1:8" ht="16.5" customHeight="1">
      <c r="A231" s="127"/>
      <c r="B231" s="13" t="str">
        <f>'Giá tháng'!B$27</f>
        <v>A24.0480</v>
      </c>
      <c r="C231" s="14" t="str">
        <f>'Giá tháng'!C$27</f>
        <v>Ma tít chèn khe</v>
      </c>
      <c r="D231" s="13" t="str">
        <f>'Giá tháng'!D$27</f>
        <v>kg</v>
      </c>
      <c r="E231" s="80">
        <f>HaoPhiVatTu!F$90</f>
        <v>1.36</v>
      </c>
      <c r="F231" s="15">
        <f>ROUND('Tổng hợp VT'!O$32,1)</f>
        <v>4700</v>
      </c>
      <c r="G231" s="81">
        <f>'Giá tháng'!G$27</f>
        <v>1</v>
      </c>
      <c r="H231" s="15">
        <f>ROUND(E231*F231*G231,1)</f>
        <v>6392</v>
      </c>
    </row>
    <row r="232" spans="1:8" ht="16.5" customHeight="1">
      <c r="A232" s="127"/>
      <c r="B232" s="13" t="str">
        <f>'Giá tháng'!B$33</f>
        <v>A24.0520</v>
      </c>
      <c r="C232" s="14" t="str">
        <f>'Giá tháng'!C$33</f>
        <v>Nhựa đường</v>
      </c>
      <c r="D232" s="13" t="str">
        <f>'Giá tháng'!D$33</f>
        <v>kg</v>
      </c>
      <c r="E232" s="80">
        <f>HaoPhiVatTu!F$91</f>
        <v>0.13</v>
      </c>
      <c r="F232" s="15">
        <f>ROUND('Tổng hợp VT'!O$38,1)</f>
        <v>17100</v>
      </c>
      <c r="G232" s="81">
        <f>'Giá tháng'!G$33</f>
        <v>1</v>
      </c>
      <c r="H232" s="15">
        <f>ROUND(E232*F232*G232,1)</f>
        <v>2223</v>
      </c>
    </row>
    <row r="233" spans="1:8" ht="16.5" customHeight="1">
      <c r="A233" s="127"/>
      <c r="B233" s="13" t="str">
        <f>'Giá tháng'!B$38</f>
        <v>A24.1074</v>
      </c>
      <c r="C233" s="14" t="str">
        <f>'Giá tháng'!C$38</f>
        <v>Thép F25</v>
      </c>
      <c r="D233" s="13" t="str">
        <f>'Giá tháng'!D$38</f>
        <v>kg</v>
      </c>
      <c r="E233" s="80">
        <f>HaoPhiVatTu!F$92</f>
        <v>3.8</v>
      </c>
      <c r="F233" s="15">
        <f>ROUND('Tổng hợp VT'!O$43,1)</f>
        <v>19500</v>
      </c>
      <c r="G233" s="81">
        <f>'Giá tháng'!G$38</f>
        <v>1</v>
      </c>
      <c r="H233" s="15">
        <f>ROUND(E233*F233*G233,1)</f>
        <v>74100</v>
      </c>
    </row>
    <row r="234" spans="1:8" ht="16.5" customHeight="1">
      <c r="A234" s="127"/>
      <c r="B234" s="13" t="s">
        <v>684</v>
      </c>
      <c r="C234" s="14" t="s">
        <v>685</v>
      </c>
      <c r="D234" s="13" t="s">
        <v>682</v>
      </c>
      <c r="E234" s="80">
        <f>HaoPhiVatTu!F$93</f>
        <v>5</v>
      </c>
      <c r="F234" s="15">
        <f>ROUND(SUM(H231:H233),1)</f>
        <v>82715</v>
      </c>
      <c r="G234" s="81"/>
      <c r="H234" s="15">
        <f>ROUND(E234*F234/100,1)</f>
        <v>4135.8</v>
      </c>
    </row>
    <row r="235" spans="1:8" ht="16.5" customHeight="1">
      <c r="A235" s="127"/>
      <c r="B235" s="13"/>
      <c r="C235" s="14" t="s">
        <v>776</v>
      </c>
      <c r="D235" s="13"/>
      <c r="E235" s="80"/>
      <c r="F235" s="15"/>
      <c r="G235" s="81"/>
      <c r="H235" s="15">
        <f>ROUND(SUM(H231:H234),1)</f>
        <v>86850.8</v>
      </c>
    </row>
    <row r="236" spans="1:8" ht="16.5" customHeight="1">
      <c r="A236" s="131"/>
      <c r="B236" s="91"/>
      <c r="C236" s="90" t="s">
        <v>678</v>
      </c>
      <c r="D236" s="91"/>
      <c r="E236" s="93"/>
      <c r="F236" s="132"/>
      <c r="G236" s="94"/>
      <c r="H236" s="132">
        <f>ROUND(H237,1)</f>
        <v>23580</v>
      </c>
    </row>
    <row r="237" spans="1:8" ht="16.5" customHeight="1">
      <c r="A237" s="127"/>
      <c r="B237" s="13" t="str">
        <f>'Giá tháng'!B$51</f>
        <v>N2.35</v>
      </c>
      <c r="C237" s="14" t="str">
        <f>'Giá tháng'!C$51</f>
        <v>Nhân công 3,5/7 - Nhóm 2</v>
      </c>
      <c r="D237" s="13" t="str">
        <f>'Giá tháng'!D$51</f>
        <v>công</v>
      </c>
      <c r="E237" s="80">
        <f>HaoPhiVatTu!G$95</f>
        <v>0.09</v>
      </c>
      <c r="F237" s="15">
        <f>ROUND('Tổng hợp VT'!O$59,1)</f>
        <v>262000</v>
      </c>
      <c r="G237" s="81">
        <f>'Giá tháng'!G$51</f>
        <v>1</v>
      </c>
      <c r="H237" s="15">
        <f>ROUND(E237*F237*G237,1)</f>
        <v>23580</v>
      </c>
    </row>
    <row r="238" spans="1:8" ht="16.5" customHeight="1">
      <c r="A238" s="131"/>
      <c r="B238" s="91"/>
      <c r="C238" s="90" t="s">
        <v>679</v>
      </c>
      <c r="D238" s="91"/>
      <c r="E238" s="93"/>
      <c r="F238" s="132"/>
      <c r="G238" s="94"/>
      <c r="H238" s="132">
        <f>ROUND(H242,1)</f>
        <v>13177.4</v>
      </c>
    </row>
    <row r="239" spans="1:8" ht="27.75" customHeight="1">
      <c r="A239" s="127"/>
      <c r="B239" s="13" t="str">
        <f>'Giá tháng'!B$56</f>
        <v>M112.2601</v>
      </c>
      <c r="C239" s="14" t="str">
        <f>'Giá tháng'!C$56</f>
        <v>Máy cắt uốn cốt thép - công suất : 5,0 kW</v>
      </c>
      <c r="D239" s="13" t="str">
        <f>'Giá tháng'!D$56</f>
        <v>ca</v>
      </c>
      <c r="E239" s="80">
        <f>HaoPhiVatTu!H$97</f>
        <v>1.2999999999999999E-2</v>
      </c>
      <c r="F239" s="15">
        <f>ROUND('Tổng hợp VT'!O$65,1)</f>
        <v>279591</v>
      </c>
      <c r="G239" s="81">
        <f>'Giá tháng'!G$56</f>
        <v>1</v>
      </c>
      <c r="H239" s="15">
        <f>ROUND(E239*F239*G239,1)</f>
        <v>3634.7</v>
      </c>
    </row>
    <row r="240" spans="1:8" ht="27.75" customHeight="1">
      <c r="A240" s="127"/>
      <c r="B240" s="13" t="str">
        <f>'Giá tháng'!B$72</f>
        <v>M108.0306</v>
      </c>
      <c r="C240" s="14" t="str">
        <f>'Giá tháng'!C$72</f>
        <v>Máy nén khí, động cơ diezel - năng suất : 600,00 m3/h</v>
      </c>
      <c r="D240" s="13" t="str">
        <f>'Giá tháng'!D$72</f>
        <v>ca</v>
      </c>
      <c r="E240" s="80">
        <f>HaoPhiVatTu!H$98</f>
        <v>5.0000000000000001E-3</v>
      </c>
      <c r="F240" s="15">
        <f>ROUND('Tổng hợp VT'!O$81,1)</f>
        <v>1856860</v>
      </c>
      <c r="G240" s="81">
        <f>'Giá tháng'!G$72</f>
        <v>1</v>
      </c>
      <c r="H240" s="15">
        <f>ROUND(E240*F240*G240,1)</f>
        <v>9284.2999999999993</v>
      </c>
    </row>
    <row r="241" spans="1:8" ht="16.5" customHeight="1">
      <c r="A241" s="127"/>
      <c r="B241" s="13" t="s">
        <v>680</v>
      </c>
      <c r="C241" s="14" t="s">
        <v>681</v>
      </c>
      <c r="D241" s="13" t="s">
        <v>682</v>
      </c>
      <c r="E241" s="80">
        <f>HaoPhiVatTu!H$99</f>
        <v>2</v>
      </c>
      <c r="F241" s="15">
        <f>ROUND(SUM(H239:H240),1)</f>
        <v>12919</v>
      </c>
      <c r="G241" s="81"/>
      <c r="H241" s="15">
        <f>ROUND(E241*F241/100,1)</f>
        <v>258.39999999999998</v>
      </c>
    </row>
    <row r="242" spans="1:8" ht="16.5" customHeight="1">
      <c r="A242" s="127"/>
      <c r="B242" s="13"/>
      <c r="C242" s="14" t="s">
        <v>776</v>
      </c>
      <c r="D242" s="13"/>
      <c r="E242" s="19"/>
      <c r="F242" s="15"/>
      <c r="G242" s="18"/>
      <c r="H242" s="15">
        <f>ROUND(SUM(H239:H241),1)</f>
        <v>13177.4</v>
      </c>
    </row>
    <row r="243" spans="1:8" ht="27.75" customHeight="1">
      <c r="A243" s="238"/>
      <c r="B243" s="159"/>
      <c r="C243" s="158" t="s">
        <v>1085</v>
      </c>
      <c r="D243" s="159" t="s">
        <v>810</v>
      </c>
      <c r="E243" s="239"/>
      <c r="F243" s="162"/>
      <c r="G243" s="240"/>
      <c r="H243" s="162">
        <f>ROUND(H230+H236+H238,1)</f>
        <v>123608.2</v>
      </c>
    </row>
    <row r="244" spans="1:8" ht="16.5" customHeight="1">
      <c r="A244" s="241"/>
      <c r="B244" s="147"/>
      <c r="C244" s="146" t="s">
        <v>812</v>
      </c>
      <c r="D244" s="147" t="str">
        <f>""</f>
        <v/>
      </c>
      <c r="E244" s="242"/>
      <c r="F244" s="150"/>
      <c r="G244" s="149"/>
      <c r="H244" s="150"/>
    </row>
    <row r="245" spans="1:8" ht="16.5" customHeight="1">
      <c r="A245" s="241"/>
      <c r="B245" s="147"/>
      <c r="C245" s="146" t="str">
        <f>"Chi phí chung ( T x "&amp;HSXL!C$14&amp;" )"</f>
        <v>Chi phí chung ( T x 6,2% )</v>
      </c>
      <c r="D245" s="147" t="s">
        <v>807</v>
      </c>
      <c r="E245" s="242" t="str">
        <f>HSXL!C$14</f>
        <v>6,2%</v>
      </c>
      <c r="F245" s="150"/>
      <c r="G245" s="149"/>
      <c r="H245" s="150">
        <f>ROUND(H243*HSXL!D$14,1)</f>
        <v>7663.7</v>
      </c>
    </row>
    <row r="246" spans="1:8" ht="27.75" customHeight="1">
      <c r="A246" s="241"/>
      <c r="B246" s="147"/>
      <c r="C246" s="146" t="str">
        <f>"Chi phí nhà tạm để ở và điều hành thi công ( T x "&amp;HSXL!C$18&amp;" )"</f>
        <v>Chi phí nhà tạm để ở và điều hành thi công ( T x 2,2% )</v>
      </c>
      <c r="D246" s="147" t="s">
        <v>815</v>
      </c>
      <c r="E246" s="242" t="str">
        <f>HSXL!C$18</f>
        <v>2,2%</v>
      </c>
      <c r="F246" s="150"/>
      <c r="G246" s="149"/>
      <c r="H246" s="150">
        <f>ROUND(H243*HSXL!D$18,1)</f>
        <v>2719.4</v>
      </c>
    </row>
    <row r="247" spans="1:8" ht="39.75" customHeight="1">
      <c r="A247" s="241"/>
      <c r="B247" s="147"/>
      <c r="C247" s="146" t="str">
        <f>"Chi phí một số công việc không xác định được khối lượng từ thiết kế ( T x "&amp;HSXL!C$13&amp;" )"</f>
        <v>Chi phí một số công việc không xác định được khối lượng từ thiết kế ( T x 2% )</v>
      </c>
      <c r="D247" s="147" t="s">
        <v>61</v>
      </c>
      <c r="E247" s="242" t="str">
        <f>HSXL!C$13</f>
        <v>2%</v>
      </c>
      <c r="F247" s="150"/>
      <c r="G247" s="149"/>
      <c r="H247" s="150">
        <f>ROUND(H243*HSXL!D$13,1)</f>
        <v>2472.1999999999998</v>
      </c>
    </row>
    <row r="248" spans="1:8" ht="27.75" customHeight="1">
      <c r="A248" s="238"/>
      <c r="B248" s="159"/>
      <c r="C248" s="158" t="s">
        <v>1086</v>
      </c>
      <c r="D248" s="159" t="s">
        <v>818</v>
      </c>
      <c r="E248" s="239"/>
      <c r="F248" s="162"/>
      <c r="G248" s="240"/>
      <c r="H248" s="162">
        <f>ROUND(SUM(H245:H247),1)</f>
        <v>12855.3</v>
      </c>
    </row>
    <row r="249" spans="1:8" ht="27.75" customHeight="1">
      <c r="A249" s="241"/>
      <c r="B249" s="147"/>
      <c r="C249" s="146" t="str">
        <f>"THU NHẬP CHỊU THUẾ TÍNH TRƯỚC (T+GT) x "&amp;HSXL!C$16</f>
        <v>THU NHẬP CHỊU THUẾ TÍNH TRƯỚC (T+GT) x 6%</v>
      </c>
      <c r="D249" s="147" t="s">
        <v>821</v>
      </c>
      <c r="E249" s="242" t="str">
        <f>HSXL!C$16</f>
        <v>6%</v>
      </c>
      <c r="F249" s="150"/>
      <c r="G249" s="149"/>
      <c r="H249" s="150">
        <f>ROUND((H243+H248)*HSXL!D$16,1)</f>
        <v>8187.8</v>
      </c>
    </row>
    <row r="250" spans="1:8" ht="27.75" customHeight="1">
      <c r="A250" s="241"/>
      <c r="B250" s="147"/>
      <c r="C250" s="146" t="s">
        <v>1087</v>
      </c>
      <c r="D250" s="147" t="s">
        <v>823</v>
      </c>
      <c r="E250" s="242"/>
      <c r="F250" s="150"/>
      <c r="G250" s="149"/>
      <c r="H250" s="150">
        <f>ROUND(H243+H248+H249,0)</f>
        <v>144651</v>
      </c>
    </row>
    <row r="251" spans="1:8" ht="27.75" customHeight="1">
      <c r="A251" s="241"/>
      <c r="B251" s="147"/>
      <c r="C251" s="146" t="str">
        <f>"THUẾ GIÁ TRỊ GIA TĂNG ( G x "&amp;HSXL!C$17&amp;" )"</f>
        <v>THUẾ GIÁ TRỊ GIA TĂNG ( G x 10% )</v>
      </c>
      <c r="D251" s="147" t="s">
        <v>827</v>
      </c>
      <c r="E251" s="164">
        <f>HSXL!D$17</f>
        <v>0.1</v>
      </c>
      <c r="F251" s="150"/>
      <c r="G251" s="149"/>
      <c r="H251" s="150">
        <f>ROUND(E251*H250,1)</f>
        <v>14465.1</v>
      </c>
    </row>
    <row r="252" spans="1:8" ht="27.75" customHeight="1">
      <c r="A252" s="243"/>
      <c r="B252" s="244"/>
      <c r="C252" s="245" t="s">
        <v>1088</v>
      </c>
      <c r="D252" s="244" t="s">
        <v>830</v>
      </c>
      <c r="E252" s="246"/>
      <c r="F252" s="247"/>
      <c r="G252" s="248"/>
      <c r="H252" s="249">
        <f>ROUND(H250+H251,0)</f>
        <v>159116</v>
      </c>
    </row>
    <row r="253" spans="1:8" ht="27.75" customHeight="1">
      <c r="A253" s="128">
        <f>'Công trình'!A41</f>
        <v>13</v>
      </c>
      <c r="B253" s="129" t="str">
        <f>'Công trình'!E41</f>
        <v>AL.24112</v>
      </c>
      <c r="C253" s="130" t="str">
        <f>'Công trình'!F41</f>
        <v>Làm khe giãn, bố trí 20m/Khe giãn sâu 20cm</v>
      </c>
      <c r="D253" s="129" t="str">
        <f>'Công trình'!G41</f>
        <v>m</v>
      </c>
      <c r="E253" s="237">
        <v>1</v>
      </c>
      <c r="F253" s="69"/>
      <c r="G253" s="68"/>
      <c r="H253" s="69"/>
    </row>
    <row r="254" spans="1:8" ht="16.5" customHeight="1">
      <c r="A254" s="131"/>
      <c r="B254" s="91"/>
      <c r="C254" s="90" t="s">
        <v>683</v>
      </c>
      <c r="D254" s="91"/>
      <c r="E254" s="93"/>
      <c r="F254" s="132"/>
      <c r="G254" s="94"/>
      <c r="H254" s="132">
        <f>ROUND(H262,1)</f>
        <v>213797</v>
      </c>
    </row>
    <row r="255" spans="1:8" ht="16.5" customHeight="1">
      <c r="A255" s="127"/>
      <c r="B255" s="13" t="str">
        <f>'Giá tháng'!B$27</f>
        <v>A24.0480</v>
      </c>
      <c r="C255" s="14" t="str">
        <f>'Giá tháng'!C$27</f>
        <v>Ma tít chèn khe</v>
      </c>
      <c r="D255" s="13" t="str">
        <f>'Giá tháng'!D$27</f>
        <v>kg</v>
      </c>
      <c r="E255" s="80">
        <f>HaoPhiVatTu!F$102</f>
        <v>1.33</v>
      </c>
      <c r="F255" s="15">
        <f>ROUND('Tổng hợp VT'!O$32,1)</f>
        <v>4700</v>
      </c>
      <c r="G255" s="81">
        <f>'Giá tháng'!G$27</f>
        <v>1</v>
      </c>
      <c r="H255" s="15">
        <f t="shared" ref="H255:H260" si="0">ROUND(E255*F255*G255,1)</f>
        <v>6251</v>
      </c>
    </row>
    <row r="256" spans="1:8" ht="16.5" customHeight="1">
      <c r="A256" s="127"/>
      <c r="B256" s="13" t="str">
        <f>'Giá tháng'!B$33</f>
        <v>A24.0520</v>
      </c>
      <c r="C256" s="14" t="str">
        <f>'Giá tháng'!C$33</f>
        <v>Nhựa đường</v>
      </c>
      <c r="D256" s="13" t="str">
        <f>'Giá tháng'!D$33</f>
        <v>kg</v>
      </c>
      <c r="E256" s="80">
        <f>HaoPhiVatTu!F$103</f>
        <v>0.25</v>
      </c>
      <c r="F256" s="15">
        <f>ROUND('Tổng hợp VT'!O$38,1)</f>
        <v>17100</v>
      </c>
      <c r="G256" s="81">
        <f>'Giá tháng'!G$33</f>
        <v>1</v>
      </c>
      <c r="H256" s="15">
        <f t="shared" si="0"/>
        <v>4275</v>
      </c>
    </row>
    <row r="257" spans="1:8" ht="16.5" customHeight="1">
      <c r="A257" s="127"/>
      <c r="B257" s="13" t="str">
        <f>'Giá tháng'!B$38</f>
        <v>A24.1074</v>
      </c>
      <c r="C257" s="14" t="str">
        <f>'Giá tháng'!C$38</f>
        <v>Thép F25</v>
      </c>
      <c r="D257" s="13" t="str">
        <f>'Giá tháng'!D$38</f>
        <v>kg</v>
      </c>
      <c r="E257" s="80">
        <f>HaoPhiVatTu!F$104</f>
        <v>7.65</v>
      </c>
      <c r="F257" s="15">
        <f>ROUND('Tổng hợp VT'!O$43,1)</f>
        <v>19500</v>
      </c>
      <c r="G257" s="81">
        <f>'Giá tháng'!G$38</f>
        <v>1</v>
      </c>
      <c r="H257" s="15">
        <f t="shared" si="0"/>
        <v>149175</v>
      </c>
    </row>
    <row r="258" spans="1:8" ht="16.5" customHeight="1">
      <c r="A258" s="127"/>
      <c r="B258" s="13" t="str">
        <f>'Giá tháng'!B$29</f>
        <v>A24.0489</v>
      </c>
      <c r="C258" s="14" t="str">
        <f>'Giá tháng'!C$29</f>
        <v>Mùn cưa</v>
      </c>
      <c r="D258" s="13" t="str">
        <f>'Giá tháng'!D$29</f>
        <v>kg</v>
      </c>
      <c r="E258" s="80">
        <f>HaoPhiVatTu!F$105</f>
        <v>0.43</v>
      </c>
      <c r="F258" s="15">
        <f>ROUND('Tổng hợp VT'!O$34,1)</f>
        <v>233</v>
      </c>
      <c r="G258" s="81">
        <f>'Giá tháng'!G$29</f>
        <v>1</v>
      </c>
      <c r="H258" s="15">
        <f t="shared" si="0"/>
        <v>100.2</v>
      </c>
    </row>
    <row r="259" spans="1:8" ht="16.5" customHeight="1">
      <c r="A259" s="127"/>
      <c r="B259" s="13" t="str">
        <f>'Giá tháng'!B$6</f>
        <v>A24.0233</v>
      </c>
      <c r="C259" s="14" t="str">
        <f>'Giá tháng'!C$6</f>
        <v>Cao su đệm</v>
      </c>
      <c r="D259" s="13" t="str">
        <f>'Giá tháng'!D$6</f>
        <v>m</v>
      </c>
      <c r="E259" s="80">
        <f>HaoPhiVatTu!F$106</f>
        <v>1.2</v>
      </c>
      <c r="F259" s="15">
        <f>ROUND('Tổng hợp VT'!O$11,1)</f>
        <v>12000</v>
      </c>
      <c r="G259" s="81">
        <f>'Giá tháng'!G$6</f>
        <v>1</v>
      </c>
      <c r="H259" s="15">
        <f t="shared" si="0"/>
        <v>14400</v>
      </c>
    </row>
    <row r="260" spans="1:8" ht="16.5" customHeight="1">
      <c r="A260" s="127"/>
      <c r="B260" s="13" t="str">
        <f>'Giá tháng'!B$36</f>
        <v>A24.0334</v>
      </c>
      <c r="C260" s="14" t="str">
        <f>'Giá tháng'!C$36</f>
        <v>ống nhựa F42</v>
      </c>
      <c r="D260" s="13" t="str">
        <f>'Giá tháng'!D$36</f>
        <v>m</v>
      </c>
      <c r="E260" s="80">
        <f>HaoPhiVatTu!F$107</f>
        <v>1.59</v>
      </c>
      <c r="F260" s="15">
        <f>ROUND('Tổng hợp VT'!O$41,1)</f>
        <v>18500</v>
      </c>
      <c r="G260" s="81">
        <f>'Giá tháng'!G$36</f>
        <v>1</v>
      </c>
      <c r="H260" s="15">
        <f t="shared" si="0"/>
        <v>29415</v>
      </c>
    </row>
    <row r="261" spans="1:8" ht="16.5" customHeight="1">
      <c r="A261" s="127"/>
      <c r="B261" s="13" t="s">
        <v>684</v>
      </c>
      <c r="C261" s="14" t="s">
        <v>685</v>
      </c>
      <c r="D261" s="13" t="s">
        <v>682</v>
      </c>
      <c r="E261" s="80">
        <f>HaoPhiVatTu!F$108</f>
        <v>5</v>
      </c>
      <c r="F261" s="15">
        <f>ROUND(SUM(H255:H260),1)</f>
        <v>203616.2</v>
      </c>
      <c r="G261" s="81"/>
      <c r="H261" s="15">
        <f>ROUND(E261*F261/100,1)</f>
        <v>10180.799999999999</v>
      </c>
    </row>
    <row r="262" spans="1:8" ht="16.5" customHeight="1">
      <c r="A262" s="127"/>
      <c r="B262" s="13"/>
      <c r="C262" s="14" t="s">
        <v>776</v>
      </c>
      <c r="D262" s="13"/>
      <c r="E262" s="80"/>
      <c r="F262" s="15"/>
      <c r="G262" s="81"/>
      <c r="H262" s="15">
        <f>ROUND(SUM(H255:H261),1)</f>
        <v>213797</v>
      </c>
    </row>
    <row r="263" spans="1:8" ht="16.5" customHeight="1">
      <c r="A263" s="131"/>
      <c r="B263" s="91"/>
      <c r="C263" s="90" t="s">
        <v>678</v>
      </c>
      <c r="D263" s="91"/>
      <c r="E263" s="93"/>
      <c r="F263" s="132"/>
      <c r="G263" s="94"/>
      <c r="H263" s="132">
        <f>ROUND(H264,1)</f>
        <v>57640</v>
      </c>
    </row>
    <row r="264" spans="1:8" ht="16.5" customHeight="1">
      <c r="A264" s="127"/>
      <c r="B264" s="13" t="str">
        <f>'Giá tháng'!B$51</f>
        <v>N2.35</v>
      </c>
      <c r="C264" s="14" t="str">
        <f>'Giá tháng'!C$51</f>
        <v>Nhân công 3,5/7 - Nhóm 2</v>
      </c>
      <c r="D264" s="13" t="str">
        <f>'Giá tháng'!D$51</f>
        <v>công</v>
      </c>
      <c r="E264" s="80">
        <f>HaoPhiVatTu!G$110</f>
        <v>0.22</v>
      </c>
      <c r="F264" s="15">
        <f>ROUND('Tổng hợp VT'!O$59,1)</f>
        <v>262000</v>
      </c>
      <c r="G264" s="81">
        <f>'Giá tháng'!G$51</f>
        <v>1</v>
      </c>
      <c r="H264" s="15">
        <f>ROUND(E264*F264*G264,1)</f>
        <v>57640</v>
      </c>
    </row>
    <row r="265" spans="1:8" ht="16.5" customHeight="1">
      <c r="A265" s="131"/>
      <c r="B265" s="91"/>
      <c r="C265" s="90" t="s">
        <v>679</v>
      </c>
      <c r="D265" s="91"/>
      <c r="E265" s="93"/>
      <c r="F265" s="132"/>
      <c r="G265" s="94"/>
      <c r="H265" s="132">
        <f>ROUND(H269,1)</f>
        <v>16884.8</v>
      </c>
    </row>
    <row r="266" spans="1:8" ht="27.75" customHeight="1">
      <c r="A266" s="127"/>
      <c r="B266" s="13" t="str">
        <f>'Giá tháng'!B$56</f>
        <v>M112.2601</v>
      </c>
      <c r="C266" s="14" t="str">
        <f>'Giá tháng'!C$56</f>
        <v>Máy cắt uốn cốt thép - công suất : 5,0 kW</v>
      </c>
      <c r="D266" s="13" t="str">
        <f>'Giá tháng'!D$56</f>
        <v>ca</v>
      </c>
      <c r="E266" s="80">
        <f>HaoPhiVatTu!H$112</f>
        <v>2.5999999999999999E-2</v>
      </c>
      <c r="F266" s="15">
        <f>ROUND('Tổng hợp VT'!O$65,1)</f>
        <v>279591</v>
      </c>
      <c r="G266" s="81">
        <f>'Giá tháng'!G$56</f>
        <v>1</v>
      </c>
      <c r="H266" s="15">
        <f>ROUND(E266*F266*G266,1)</f>
        <v>7269.4</v>
      </c>
    </row>
    <row r="267" spans="1:8" ht="27.75" customHeight="1">
      <c r="A267" s="127"/>
      <c r="B267" s="13" t="str">
        <f>'Giá tháng'!B$72</f>
        <v>M108.0306</v>
      </c>
      <c r="C267" s="14" t="str">
        <f>'Giá tháng'!C$72</f>
        <v>Máy nén khí, động cơ diezel - năng suất : 600,00 m3/h</v>
      </c>
      <c r="D267" s="13" t="str">
        <f>'Giá tháng'!D$72</f>
        <v>ca</v>
      </c>
      <c r="E267" s="80">
        <f>HaoPhiVatTu!H$113</f>
        <v>5.0000000000000001E-3</v>
      </c>
      <c r="F267" s="15">
        <f>ROUND('Tổng hợp VT'!O$81,1)</f>
        <v>1856860</v>
      </c>
      <c r="G267" s="81">
        <f>'Giá tháng'!G$72</f>
        <v>1</v>
      </c>
      <c r="H267" s="15">
        <f>ROUND(E267*F267*G267,1)</f>
        <v>9284.2999999999993</v>
      </c>
    </row>
    <row r="268" spans="1:8" ht="16.5" customHeight="1">
      <c r="A268" s="127"/>
      <c r="B268" s="13" t="s">
        <v>680</v>
      </c>
      <c r="C268" s="14" t="s">
        <v>681</v>
      </c>
      <c r="D268" s="13" t="s">
        <v>682</v>
      </c>
      <c r="E268" s="80">
        <f>HaoPhiVatTu!H$114</f>
        <v>2</v>
      </c>
      <c r="F268" s="15">
        <f>ROUND(SUM(H266:H267),1)</f>
        <v>16553.7</v>
      </c>
      <c r="G268" s="81"/>
      <c r="H268" s="15">
        <f>ROUND(E268*F268/100,1)</f>
        <v>331.1</v>
      </c>
    </row>
    <row r="269" spans="1:8" ht="16.5" customHeight="1">
      <c r="A269" s="127"/>
      <c r="B269" s="13"/>
      <c r="C269" s="14" t="s">
        <v>776</v>
      </c>
      <c r="D269" s="13"/>
      <c r="E269" s="19"/>
      <c r="F269" s="15"/>
      <c r="G269" s="18"/>
      <c r="H269" s="15">
        <f>ROUND(SUM(H266:H268),1)</f>
        <v>16884.8</v>
      </c>
    </row>
    <row r="270" spans="1:8" ht="27.75" customHeight="1">
      <c r="A270" s="238"/>
      <c r="B270" s="159"/>
      <c r="C270" s="158" t="s">
        <v>1085</v>
      </c>
      <c r="D270" s="159" t="s">
        <v>810</v>
      </c>
      <c r="E270" s="239"/>
      <c r="F270" s="162"/>
      <c r="G270" s="240"/>
      <c r="H270" s="162">
        <f>ROUND(H254+H263+H265,1)</f>
        <v>288321.8</v>
      </c>
    </row>
    <row r="271" spans="1:8" ht="16.5" customHeight="1">
      <c r="A271" s="241"/>
      <c r="B271" s="147"/>
      <c r="C271" s="146" t="s">
        <v>812</v>
      </c>
      <c r="D271" s="147" t="str">
        <f>""</f>
        <v/>
      </c>
      <c r="E271" s="242"/>
      <c r="F271" s="150"/>
      <c r="G271" s="149"/>
      <c r="H271" s="150"/>
    </row>
    <row r="272" spans="1:8" ht="16.5" customHeight="1">
      <c r="A272" s="241"/>
      <c r="B272" s="147"/>
      <c r="C272" s="146" t="str">
        <f>"Chi phí chung ( T x "&amp;HSXL!C$14&amp;" )"</f>
        <v>Chi phí chung ( T x 6,2% )</v>
      </c>
      <c r="D272" s="147" t="s">
        <v>807</v>
      </c>
      <c r="E272" s="242" t="str">
        <f>HSXL!C$14</f>
        <v>6,2%</v>
      </c>
      <c r="F272" s="150"/>
      <c r="G272" s="149"/>
      <c r="H272" s="150">
        <f>ROUND(H270*HSXL!D$14,1)</f>
        <v>17876</v>
      </c>
    </row>
    <row r="273" spans="1:8" ht="27.75" customHeight="1">
      <c r="A273" s="241"/>
      <c r="B273" s="147"/>
      <c r="C273" s="146" t="str">
        <f>"Chi phí nhà tạm để ở và điều hành thi công ( T x "&amp;HSXL!C$18&amp;" )"</f>
        <v>Chi phí nhà tạm để ở và điều hành thi công ( T x 2,2% )</v>
      </c>
      <c r="D273" s="147" t="s">
        <v>815</v>
      </c>
      <c r="E273" s="242" t="str">
        <f>HSXL!C$18</f>
        <v>2,2%</v>
      </c>
      <c r="F273" s="150"/>
      <c r="G273" s="149"/>
      <c r="H273" s="150">
        <f>ROUND(H270*HSXL!D$18,1)</f>
        <v>6343.1</v>
      </c>
    </row>
    <row r="274" spans="1:8" ht="39.75" customHeight="1">
      <c r="A274" s="241"/>
      <c r="B274" s="147"/>
      <c r="C274" s="146" t="str">
        <f>"Chi phí một số công việc không xác định được khối lượng từ thiết kế ( T x "&amp;HSXL!C$13&amp;" )"</f>
        <v>Chi phí một số công việc không xác định được khối lượng từ thiết kế ( T x 2% )</v>
      </c>
      <c r="D274" s="147" t="s">
        <v>61</v>
      </c>
      <c r="E274" s="242" t="str">
        <f>HSXL!C$13</f>
        <v>2%</v>
      </c>
      <c r="F274" s="150"/>
      <c r="G274" s="149"/>
      <c r="H274" s="150">
        <f>ROUND(H270*HSXL!D$13,1)</f>
        <v>5766.4</v>
      </c>
    </row>
    <row r="275" spans="1:8" ht="27.75" customHeight="1">
      <c r="A275" s="238"/>
      <c r="B275" s="159"/>
      <c r="C275" s="158" t="s">
        <v>1086</v>
      </c>
      <c r="D275" s="159" t="s">
        <v>818</v>
      </c>
      <c r="E275" s="239"/>
      <c r="F275" s="162"/>
      <c r="G275" s="240"/>
      <c r="H275" s="162">
        <f>ROUND(SUM(H272:H274),1)</f>
        <v>29985.5</v>
      </c>
    </row>
    <row r="276" spans="1:8" ht="27.75" customHeight="1">
      <c r="A276" s="241"/>
      <c r="B276" s="147"/>
      <c r="C276" s="146" t="str">
        <f>"THU NHẬP CHỊU THUẾ TÍNH TRƯỚC (T+GT) x "&amp;HSXL!C$16</f>
        <v>THU NHẬP CHỊU THUẾ TÍNH TRƯỚC (T+GT) x 6%</v>
      </c>
      <c r="D276" s="147" t="s">
        <v>821</v>
      </c>
      <c r="E276" s="242" t="str">
        <f>HSXL!C$16</f>
        <v>6%</v>
      </c>
      <c r="F276" s="150"/>
      <c r="G276" s="149"/>
      <c r="H276" s="150">
        <f>ROUND((H270+H275)*HSXL!D$16,1)</f>
        <v>19098.400000000001</v>
      </c>
    </row>
    <row r="277" spans="1:8" ht="27.75" customHeight="1">
      <c r="A277" s="241"/>
      <c r="B277" s="147"/>
      <c r="C277" s="146" t="s">
        <v>1087</v>
      </c>
      <c r="D277" s="147" t="s">
        <v>823</v>
      </c>
      <c r="E277" s="242"/>
      <c r="F277" s="150"/>
      <c r="G277" s="149"/>
      <c r="H277" s="150">
        <f>ROUND(H270+H275+H276,0)</f>
        <v>337406</v>
      </c>
    </row>
    <row r="278" spans="1:8" ht="27.75" customHeight="1">
      <c r="A278" s="241"/>
      <c r="B278" s="147"/>
      <c r="C278" s="146" t="str">
        <f>"THUẾ GIÁ TRỊ GIA TĂNG ( G x "&amp;HSXL!C$17&amp;" )"</f>
        <v>THUẾ GIÁ TRỊ GIA TĂNG ( G x 10% )</v>
      </c>
      <c r="D278" s="147" t="s">
        <v>827</v>
      </c>
      <c r="E278" s="164">
        <f>HSXL!D$17</f>
        <v>0.1</v>
      </c>
      <c r="F278" s="150"/>
      <c r="G278" s="149"/>
      <c r="H278" s="150">
        <f>ROUND(E278*H277,1)</f>
        <v>33740.6</v>
      </c>
    </row>
    <row r="279" spans="1:8" ht="27.75" customHeight="1">
      <c r="A279" s="243"/>
      <c r="B279" s="244"/>
      <c r="C279" s="245" t="s">
        <v>1088</v>
      </c>
      <c r="D279" s="244" t="s">
        <v>830</v>
      </c>
      <c r="E279" s="246"/>
      <c r="F279" s="247"/>
      <c r="G279" s="248"/>
      <c r="H279" s="249">
        <f>ROUND(H277+H278,0)</f>
        <v>371147</v>
      </c>
    </row>
    <row r="280" spans="1:8" ht="16.5" customHeight="1">
      <c r="A280" s="127"/>
      <c r="B280" s="13"/>
      <c r="C280" s="3" t="str">
        <f>'Công trình'!F43</f>
        <v>HỆ THỐNG THOÁT NƯỚC</v>
      </c>
      <c r="D280" s="13"/>
      <c r="E280" s="19"/>
      <c r="F280" s="15"/>
      <c r="G280" s="18"/>
      <c r="H280" s="15"/>
    </row>
    <row r="281" spans="1:8" ht="27.75" customHeight="1">
      <c r="A281" s="128">
        <f>'Công trình'!A46</f>
        <v>1</v>
      </c>
      <c r="B281" s="129" t="str">
        <f>'Công trình'!E46</f>
        <v>AB.25112</v>
      </c>
      <c r="C281" s="130" t="str">
        <f>'Công trình'!F46</f>
        <v>Đào móng công trình</v>
      </c>
      <c r="D281" s="129" t="str">
        <f>'Công trình'!G46</f>
        <v>100m3</v>
      </c>
      <c r="E281" s="237">
        <v>1</v>
      </c>
      <c r="F281" s="69"/>
      <c r="G281" s="68"/>
      <c r="H281" s="69"/>
    </row>
    <row r="282" spans="1:8" ht="16.5" customHeight="1">
      <c r="A282" s="131"/>
      <c r="B282" s="91"/>
      <c r="C282" s="90" t="s">
        <v>678</v>
      </c>
      <c r="D282" s="91"/>
      <c r="E282" s="93"/>
      <c r="F282" s="132"/>
      <c r="G282" s="94"/>
      <c r="H282" s="132">
        <f>ROUND(H283,1)</f>
        <v>840951.4</v>
      </c>
    </row>
    <row r="283" spans="1:8" ht="16.5" customHeight="1">
      <c r="A283" s="127"/>
      <c r="B283" s="13" t="str">
        <f>'Giá tháng'!B$48</f>
        <v>N1.30</v>
      </c>
      <c r="C283" s="14" t="str">
        <f>'Giá tháng'!C$48</f>
        <v>Nhân công 3,0/7 - Nhóm 1</v>
      </c>
      <c r="D283" s="13" t="str">
        <f>'Giá tháng'!D$48</f>
        <v>công</v>
      </c>
      <c r="E283" s="80">
        <f>HaoPhiVatTu!G$119</f>
        <v>3.8</v>
      </c>
      <c r="F283" s="15">
        <f>ROUND('Tổng hợp VT'!O$56,1)</f>
        <v>221303</v>
      </c>
      <c r="G283" s="81">
        <f>'Giá tháng'!G$48</f>
        <v>1</v>
      </c>
      <c r="H283" s="15">
        <f>ROUND(E283*F283*G283,1)</f>
        <v>840951.4</v>
      </c>
    </row>
    <row r="284" spans="1:8" ht="16.5" customHeight="1">
      <c r="A284" s="131"/>
      <c r="B284" s="91"/>
      <c r="C284" s="90" t="s">
        <v>679</v>
      </c>
      <c r="D284" s="91"/>
      <c r="E284" s="93"/>
      <c r="F284" s="132"/>
      <c r="G284" s="94"/>
      <c r="H284" s="132">
        <f>ROUND(H285,1)</f>
        <v>1100742</v>
      </c>
    </row>
    <row r="285" spans="1:8" ht="27.75" customHeight="1">
      <c r="A285" s="127"/>
      <c r="B285" s="13" t="str">
        <f>'Giá tháng'!B$60</f>
        <v>M101.0104</v>
      </c>
      <c r="C285" s="14" t="str">
        <f>'Giá tháng'!C$60</f>
        <v>Máy đào một gầu, bánh xích - dung tích gầu : 0,80 m3</v>
      </c>
      <c r="D285" s="13" t="str">
        <f>'Giá tháng'!D$60</f>
        <v>ca</v>
      </c>
      <c r="E285" s="80">
        <f>HaoPhiVatTu!H$121</f>
        <v>0.372</v>
      </c>
      <c r="F285" s="15">
        <f>ROUND('Tổng hợp VT'!O$69,1)</f>
        <v>2958984</v>
      </c>
      <c r="G285" s="81">
        <f>'Giá tháng'!G$60</f>
        <v>1</v>
      </c>
      <c r="H285" s="15">
        <f>ROUND(E285*F285*G285,1)</f>
        <v>1100742</v>
      </c>
    </row>
    <row r="286" spans="1:8" ht="27.75" customHeight="1">
      <c r="A286" s="238"/>
      <c r="B286" s="159"/>
      <c r="C286" s="158" t="s">
        <v>1085</v>
      </c>
      <c r="D286" s="159" t="s">
        <v>810</v>
      </c>
      <c r="E286" s="239"/>
      <c r="F286" s="162"/>
      <c r="G286" s="240"/>
      <c r="H286" s="162">
        <f>ROUND(+H282+H284,1)</f>
        <v>1941693.4</v>
      </c>
    </row>
    <row r="287" spans="1:8" ht="16.5" customHeight="1">
      <c r="A287" s="241"/>
      <c r="B287" s="147"/>
      <c r="C287" s="146" t="s">
        <v>812</v>
      </c>
      <c r="D287" s="147" t="str">
        <f>""</f>
        <v/>
      </c>
      <c r="E287" s="242"/>
      <c r="F287" s="150"/>
      <c r="G287" s="149"/>
      <c r="H287" s="150"/>
    </row>
    <row r="288" spans="1:8" ht="16.5" customHeight="1">
      <c r="A288" s="241"/>
      <c r="B288" s="147"/>
      <c r="C288" s="146" t="str">
        <f>"Chi phí chung ( T x "&amp;HSXL!C$14&amp;" )"</f>
        <v>Chi phí chung ( T x 6,2% )</v>
      </c>
      <c r="D288" s="147" t="s">
        <v>807</v>
      </c>
      <c r="E288" s="242" t="str">
        <f>HSXL!C$14</f>
        <v>6,2%</v>
      </c>
      <c r="F288" s="150"/>
      <c r="G288" s="149"/>
      <c r="H288" s="150">
        <f>ROUND(H286*HSXL!D$14,1)</f>
        <v>120385</v>
      </c>
    </row>
    <row r="289" spans="1:8" ht="27.75" customHeight="1">
      <c r="A289" s="241"/>
      <c r="B289" s="147"/>
      <c r="C289" s="146" t="str">
        <f>"Chi phí nhà tạm để ở và điều hành thi công ( T x "&amp;HSXL!C$18&amp;" )"</f>
        <v>Chi phí nhà tạm để ở và điều hành thi công ( T x 2,2% )</v>
      </c>
      <c r="D289" s="147" t="s">
        <v>815</v>
      </c>
      <c r="E289" s="242" t="str">
        <f>HSXL!C$18</f>
        <v>2,2%</v>
      </c>
      <c r="F289" s="150"/>
      <c r="G289" s="149"/>
      <c r="H289" s="150">
        <f>ROUND(H286*HSXL!D$18,1)</f>
        <v>42717.3</v>
      </c>
    </row>
    <row r="290" spans="1:8" ht="39.75" customHeight="1">
      <c r="A290" s="241"/>
      <c r="B290" s="147"/>
      <c r="C290" s="146" t="str">
        <f>"Chi phí một số công việc không xác định được khối lượng từ thiết kế ( T x "&amp;HSXL!C$13&amp;" )"</f>
        <v>Chi phí một số công việc không xác định được khối lượng từ thiết kế ( T x 2% )</v>
      </c>
      <c r="D290" s="147" t="s">
        <v>61</v>
      </c>
      <c r="E290" s="242" t="str">
        <f>HSXL!C$13</f>
        <v>2%</v>
      </c>
      <c r="F290" s="150"/>
      <c r="G290" s="149"/>
      <c r="H290" s="150">
        <f>ROUND(H286*HSXL!D$13,1)</f>
        <v>38833.9</v>
      </c>
    </row>
    <row r="291" spans="1:8" ht="27.75" customHeight="1">
      <c r="A291" s="238"/>
      <c r="B291" s="159"/>
      <c r="C291" s="158" t="s">
        <v>1086</v>
      </c>
      <c r="D291" s="159" t="s">
        <v>818</v>
      </c>
      <c r="E291" s="239"/>
      <c r="F291" s="162"/>
      <c r="G291" s="240"/>
      <c r="H291" s="162">
        <f>ROUND(SUM(H288:H290),1)</f>
        <v>201936.2</v>
      </c>
    </row>
    <row r="292" spans="1:8" ht="27.75" customHeight="1">
      <c r="A292" s="241"/>
      <c r="B292" s="147"/>
      <c r="C292" s="146" t="str">
        <f>"THU NHẬP CHỊU THUẾ TÍNH TRƯỚC (T+GT) x "&amp;HSXL!C$16</f>
        <v>THU NHẬP CHỊU THUẾ TÍNH TRƯỚC (T+GT) x 6%</v>
      </c>
      <c r="D292" s="147" t="s">
        <v>821</v>
      </c>
      <c r="E292" s="242" t="str">
        <f>HSXL!C$16</f>
        <v>6%</v>
      </c>
      <c r="F292" s="150"/>
      <c r="G292" s="149"/>
      <c r="H292" s="150">
        <f>ROUND((H286+H291)*HSXL!D$16,1)</f>
        <v>128617.8</v>
      </c>
    </row>
    <row r="293" spans="1:8" ht="27.75" customHeight="1">
      <c r="A293" s="241"/>
      <c r="B293" s="147"/>
      <c r="C293" s="146" t="s">
        <v>1087</v>
      </c>
      <c r="D293" s="147" t="s">
        <v>823</v>
      </c>
      <c r="E293" s="242"/>
      <c r="F293" s="150"/>
      <c r="G293" s="149"/>
      <c r="H293" s="150">
        <f>ROUND(H286+H291+H292,0)</f>
        <v>2272247</v>
      </c>
    </row>
    <row r="294" spans="1:8" ht="27.75" customHeight="1">
      <c r="A294" s="241"/>
      <c r="B294" s="147"/>
      <c r="C294" s="146" t="str">
        <f>"THUẾ GIÁ TRỊ GIA TĂNG ( G x "&amp;HSXL!C$17&amp;" )"</f>
        <v>THUẾ GIÁ TRỊ GIA TĂNG ( G x 10% )</v>
      </c>
      <c r="D294" s="147" t="s">
        <v>827</v>
      </c>
      <c r="E294" s="164">
        <f>HSXL!D$17</f>
        <v>0.1</v>
      </c>
      <c r="F294" s="150"/>
      <c r="G294" s="149"/>
      <c r="H294" s="150">
        <f>ROUND(E294*H293,1)</f>
        <v>227224.7</v>
      </c>
    </row>
    <row r="295" spans="1:8" ht="27.75" customHeight="1">
      <c r="A295" s="243"/>
      <c r="B295" s="244"/>
      <c r="C295" s="245" t="s">
        <v>1088</v>
      </c>
      <c r="D295" s="244" t="s">
        <v>830</v>
      </c>
      <c r="E295" s="246"/>
      <c r="F295" s="247"/>
      <c r="G295" s="248"/>
      <c r="H295" s="249">
        <f>ROUND(H293+H294,0)</f>
        <v>2499472</v>
      </c>
    </row>
    <row r="296" spans="1:8" ht="16.5" customHeight="1">
      <c r="A296" s="128" t="e">
        <f>'Công trình'!#REF!</f>
        <v>#REF!</v>
      </c>
      <c r="B296" s="129" t="e">
        <f>'Công trình'!#REF!</f>
        <v>#REF!</v>
      </c>
      <c r="C296" s="130" t="e">
        <f>'Công trình'!#REF!</f>
        <v>#REF!</v>
      </c>
      <c r="D296" s="129" t="e">
        <f>'Công trình'!#REF!</f>
        <v>#REF!</v>
      </c>
      <c r="E296" s="237">
        <v>1</v>
      </c>
      <c r="F296" s="69"/>
      <c r="G296" s="68"/>
      <c r="H296" s="69"/>
    </row>
    <row r="297" spans="1:8" ht="16.5" customHeight="1">
      <c r="A297" s="131"/>
      <c r="B297" s="91"/>
      <c r="C297" s="90" t="s">
        <v>678</v>
      </c>
      <c r="D297" s="91"/>
      <c r="E297" s="93"/>
      <c r="F297" s="132"/>
      <c r="G297" s="94"/>
      <c r="H297" s="132">
        <f>ROUND(H298,1)</f>
        <v>170403.3</v>
      </c>
    </row>
    <row r="298" spans="1:8" ht="16.5" customHeight="1">
      <c r="A298" s="127"/>
      <c r="B298" s="13" t="str">
        <f>'Giá tháng'!B$48</f>
        <v>N1.30</v>
      </c>
      <c r="C298" s="14" t="str">
        <f>'Giá tháng'!C$48</f>
        <v>Nhân công 3,0/7 - Nhóm 1</v>
      </c>
      <c r="D298" s="13" t="str">
        <f>'Giá tháng'!D$48</f>
        <v>công</v>
      </c>
      <c r="E298" s="80">
        <f>HaoPhiVatTu!G$124</f>
        <v>0.77</v>
      </c>
      <c r="F298" s="15">
        <f>ROUND('Tổng hợp VT'!O$56,1)</f>
        <v>221303</v>
      </c>
      <c r="G298" s="81">
        <f>'Giá tháng'!G$48</f>
        <v>1</v>
      </c>
      <c r="H298" s="15">
        <f>ROUND(E298*F298*G298,1)</f>
        <v>170403.3</v>
      </c>
    </row>
    <row r="299" spans="1:8" ht="27.75" customHeight="1">
      <c r="A299" s="238"/>
      <c r="B299" s="159"/>
      <c r="C299" s="158" t="s">
        <v>1085</v>
      </c>
      <c r="D299" s="159" t="s">
        <v>810</v>
      </c>
      <c r="E299" s="239"/>
      <c r="F299" s="162"/>
      <c r="G299" s="240"/>
      <c r="H299" s="162">
        <f>ROUND(+H297,1)</f>
        <v>170403.3</v>
      </c>
    </row>
    <row r="300" spans="1:8" ht="16.5" customHeight="1">
      <c r="A300" s="241"/>
      <c r="B300" s="147"/>
      <c r="C300" s="146" t="s">
        <v>812</v>
      </c>
      <c r="D300" s="147" t="str">
        <f>""</f>
        <v/>
      </c>
      <c r="E300" s="242"/>
      <c r="F300" s="150"/>
      <c r="G300" s="149"/>
      <c r="H300" s="150"/>
    </row>
    <row r="301" spans="1:8" ht="16.5" customHeight="1">
      <c r="A301" s="241"/>
      <c r="B301" s="147"/>
      <c r="C301" s="146" t="str">
        <f>"Chi phí chung ( T x "&amp;HSXL!C$14&amp;" )"</f>
        <v>Chi phí chung ( T x 6,2% )</v>
      </c>
      <c r="D301" s="147" t="s">
        <v>807</v>
      </c>
      <c r="E301" s="242" t="str">
        <f>HSXL!C$14</f>
        <v>6,2%</v>
      </c>
      <c r="F301" s="150"/>
      <c r="G301" s="149"/>
      <c r="H301" s="150">
        <f>ROUND(H299*HSXL!D$14,1)</f>
        <v>10565</v>
      </c>
    </row>
    <row r="302" spans="1:8" ht="27.75" customHeight="1">
      <c r="A302" s="241"/>
      <c r="B302" s="147"/>
      <c r="C302" s="146" t="str">
        <f>"Chi phí nhà tạm để ở và điều hành thi công ( T x "&amp;HSXL!C$18&amp;" )"</f>
        <v>Chi phí nhà tạm để ở và điều hành thi công ( T x 2,2% )</v>
      </c>
      <c r="D302" s="147" t="s">
        <v>815</v>
      </c>
      <c r="E302" s="242" t="str">
        <f>HSXL!C$18</f>
        <v>2,2%</v>
      </c>
      <c r="F302" s="150"/>
      <c r="G302" s="149"/>
      <c r="H302" s="150">
        <f>ROUND(H299*HSXL!D$18,1)</f>
        <v>3748.9</v>
      </c>
    </row>
    <row r="303" spans="1:8" ht="39.75" customHeight="1">
      <c r="A303" s="241"/>
      <c r="B303" s="147"/>
      <c r="C303" s="146" t="str">
        <f>"Chi phí một số công việc không xác định được khối lượng từ thiết kế ( T x "&amp;HSXL!C$13&amp;" )"</f>
        <v>Chi phí một số công việc không xác định được khối lượng từ thiết kế ( T x 2% )</v>
      </c>
      <c r="D303" s="147" t="s">
        <v>61</v>
      </c>
      <c r="E303" s="242" t="str">
        <f>HSXL!C$13</f>
        <v>2%</v>
      </c>
      <c r="F303" s="150"/>
      <c r="G303" s="149"/>
      <c r="H303" s="150">
        <f>ROUND(H299*HSXL!D$13,1)</f>
        <v>3408.1</v>
      </c>
    </row>
    <row r="304" spans="1:8" ht="27.75" customHeight="1">
      <c r="A304" s="238"/>
      <c r="B304" s="159"/>
      <c r="C304" s="158" t="s">
        <v>1086</v>
      </c>
      <c r="D304" s="159" t="s">
        <v>818</v>
      </c>
      <c r="E304" s="239"/>
      <c r="F304" s="162"/>
      <c r="G304" s="240"/>
      <c r="H304" s="162">
        <f>ROUND(SUM(H301:H303),1)</f>
        <v>17722</v>
      </c>
    </row>
    <row r="305" spans="1:8" ht="27.75" customHeight="1">
      <c r="A305" s="241"/>
      <c r="B305" s="147"/>
      <c r="C305" s="146" t="str">
        <f>"THU NHẬP CHỊU THUẾ TÍNH TRƯỚC (T+GT) x "&amp;HSXL!C$16</f>
        <v>THU NHẬP CHỊU THUẾ TÍNH TRƯỚC (T+GT) x 6%</v>
      </c>
      <c r="D305" s="147" t="s">
        <v>821</v>
      </c>
      <c r="E305" s="242" t="str">
        <f>HSXL!C$16</f>
        <v>6%</v>
      </c>
      <c r="F305" s="150"/>
      <c r="G305" s="149"/>
      <c r="H305" s="150">
        <f>ROUND((H299+H304)*HSXL!D$16,1)</f>
        <v>11287.5</v>
      </c>
    </row>
    <row r="306" spans="1:8" ht="27.75" customHeight="1">
      <c r="A306" s="241"/>
      <c r="B306" s="147"/>
      <c r="C306" s="146" t="s">
        <v>1087</v>
      </c>
      <c r="D306" s="147" t="s">
        <v>823</v>
      </c>
      <c r="E306" s="242"/>
      <c r="F306" s="150"/>
      <c r="G306" s="149"/>
      <c r="H306" s="150">
        <f>ROUND(H299+H304+H305,0)</f>
        <v>199413</v>
      </c>
    </row>
    <row r="307" spans="1:8" ht="27.75" customHeight="1">
      <c r="A307" s="241"/>
      <c r="B307" s="147"/>
      <c r="C307" s="146" t="str">
        <f>"THUẾ GIÁ TRỊ GIA TĂNG ( G x "&amp;HSXL!C$17&amp;" )"</f>
        <v>THUẾ GIÁ TRỊ GIA TĂNG ( G x 10% )</v>
      </c>
      <c r="D307" s="147" t="s">
        <v>827</v>
      </c>
      <c r="E307" s="164">
        <f>HSXL!D$17</f>
        <v>0.1</v>
      </c>
      <c r="F307" s="150"/>
      <c r="G307" s="149"/>
      <c r="H307" s="150">
        <f>ROUND(E307*H306,1)</f>
        <v>19941.3</v>
      </c>
    </row>
    <row r="308" spans="1:8" ht="27.75" customHeight="1">
      <c r="A308" s="243"/>
      <c r="B308" s="244"/>
      <c r="C308" s="245" t="s">
        <v>1088</v>
      </c>
      <c r="D308" s="244" t="s">
        <v>830</v>
      </c>
      <c r="E308" s="246"/>
      <c r="F308" s="247"/>
      <c r="G308" s="248"/>
      <c r="H308" s="249">
        <f>ROUND(H306+H307,0)</f>
        <v>219354</v>
      </c>
    </row>
    <row r="309" spans="1:8" ht="16.5" customHeight="1">
      <c r="A309" s="128">
        <f>'Công trình'!A48</f>
        <v>2</v>
      </c>
      <c r="B309" s="129" t="str">
        <f>'Công trình'!E48</f>
        <v>AB.64123</v>
      </c>
      <c r="C309" s="130" t="str">
        <f>'Công trình'!F48</f>
        <v>Đất đắp thân ga (tận dụng)</v>
      </c>
      <c r="D309" s="129" t="str">
        <f>'Công trình'!G48</f>
        <v>100m3</v>
      </c>
      <c r="E309" s="237">
        <v>1</v>
      </c>
      <c r="F309" s="69"/>
      <c r="G309" s="68"/>
      <c r="H309" s="69"/>
    </row>
    <row r="310" spans="1:8" ht="16.5" customHeight="1">
      <c r="A310" s="131"/>
      <c r="B310" s="91"/>
      <c r="C310" s="90" t="s">
        <v>678</v>
      </c>
      <c r="D310" s="91"/>
      <c r="E310" s="93"/>
      <c r="F310" s="132"/>
      <c r="G310" s="94"/>
      <c r="H310" s="132">
        <f>ROUND(H311,1)</f>
        <v>320889.40000000002</v>
      </c>
    </row>
    <row r="311" spans="1:8" ht="16.5" customHeight="1">
      <c r="A311" s="127"/>
      <c r="B311" s="13" t="str">
        <f>'Giá tháng'!B$48</f>
        <v>N1.30</v>
      </c>
      <c r="C311" s="14" t="str">
        <f>'Giá tháng'!C$48</f>
        <v>Nhân công 3,0/7 - Nhóm 1</v>
      </c>
      <c r="D311" s="13" t="str">
        <f>'Giá tháng'!D$48</f>
        <v>công</v>
      </c>
      <c r="E311" s="80">
        <f>HaoPhiVatTu!G$127</f>
        <v>1.45</v>
      </c>
      <c r="F311" s="15">
        <f>ROUND('Tổng hợp VT'!O$56,1)</f>
        <v>221303</v>
      </c>
      <c r="G311" s="81">
        <f>'Giá tháng'!G$48</f>
        <v>1</v>
      </c>
      <c r="H311" s="15">
        <f>ROUND(E311*F311*G311,1)</f>
        <v>320889.40000000002</v>
      </c>
    </row>
    <row r="312" spans="1:8" ht="16.5" customHeight="1">
      <c r="A312" s="131"/>
      <c r="B312" s="91"/>
      <c r="C312" s="90" t="s">
        <v>679</v>
      </c>
      <c r="D312" s="91"/>
      <c r="E312" s="93"/>
      <c r="F312" s="132"/>
      <c r="G312" s="94"/>
      <c r="H312" s="132">
        <f>ROUND(H316,1)</f>
        <v>904157.3</v>
      </c>
    </row>
    <row r="313" spans="1:8" ht="27.75" customHeight="1">
      <c r="A313" s="127"/>
      <c r="B313" s="13" t="str">
        <f>'Giá tháng'!B$68</f>
        <v>M101.1105</v>
      </c>
      <c r="C313" s="14" t="str">
        <f>'Giá tháng'!C$68</f>
        <v>Máy lu bánh thép tự hành - trọng lượng tĩnh : 16 T</v>
      </c>
      <c r="D313" s="13" t="str">
        <f>'Giá tháng'!D$68</f>
        <v>ca</v>
      </c>
      <c r="E313" s="80">
        <f>HaoPhiVatTu!H$129</f>
        <v>0.33500000000000002</v>
      </c>
      <c r="F313" s="15">
        <f>ROUND('Tổng hợp VT'!O$77,1)</f>
        <v>1606688</v>
      </c>
      <c r="G313" s="81">
        <f>'Giá tháng'!G$68</f>
        <v>1</v>
      </c>
      <c r="H313" s="15">
        <f>ROUND(E313*F313*G313,1)</f>
        <v>538240.5</v>
      </c>
    </row>
    <row r="314" spans="1:8" ht="27.75" customHeight="1">
      <c r="A314" s="127"/>
      <c r="B314" s="13" t="str">
        <f>'Giá tháng'!B$76</f>
        <v>M101.0503</v>
      </c>
      <c r="C314" s="14" t="str">
        <f>'Giá tháng'!C$76</f>
        <v>Máy ủi - công suất : 110,0 CV</v>
      </c>
      <c r="D314" s="13" t="str">
        <f>'Giá tháng'!D$76</f>
        <v>ca</v>
      </c>
      <c r="E314" s="80">
        <f>HaoPhiVatTu!H$130</f>
        <v>0.16700000000000001</v>
      </c>
      <c r="F314" s="15">
        <f>ROUND('Tổng hợp VT'!O$85,1)</f>
        <v>2111107</v>
      </c>
      <c r="G314" s="81">
        <f>'Giá tháng'!G$76</f>
        <v>1</v>
      </c>
      <c r="H314" s="15">
        <f>ROUND(E314*F314*G314,1)</f>
        <v>352554.9</v>
      </c>
    </row>
    <row r="315" spans="1:8" ht="16.5" customHeight="1">
      <c r="A315" s="127"/>
      <c r="B315" s="13" t="s">
        <v>680</v>
      </c>
      <c r="C315" s="14" t="s">
        <v>681</v>
      </c>
      <c r="D315" s="13" t="s">
        <v>682</v>
      </c>
      <c r="E315" s="80">
        <f>HaoPhiVatTu!H$131</f>
        <v>1.5</v>
      </c>
      <c r="F315" s="15">
        <f>ROUND(SUM(H313:H314),1)</f>
        <v>890795.4</v>
      </c>
      <c r="G315" s="81"/>
      <c r="H315" s="15">
        <f>ROUND(E315*F315/100,1)</f>
        <v>13361.9</v>
      </c>
    </row>
    <row r="316" spans="1:8" ht="16.5" customHeight="1">
      <c r="A316" s="127"/>
      <c r="B316" s="13"/>
      <c r="C316" s="14" t="s">
        <v>776</v>
      </c>
      <c r="D316" s="13"/>
      <c r="E316" s="19"/>
      <c r="F316" s="15"/>
      <c r="G316" s="18"/>
      <c r="H316" s="15">
        <f>ROUND(SUM(H313:H315),1)</f>
        <v>904157.3</v>
      </c>
    </row>
    <row r="317" spans="1:8" ht="27.75" customHeight="1">
      <c r="A317" s="238"/>
      <c r="B317" s="159"/>
      <c r="C317" s="158" t="s">
        <v>1085</v>
      </c>
      <c r="D317" s="159" t="s">
        <v>810</v>
      </c>
      <c r="E317" s="239"/>
      <c r="F317" s="162"/>
      <c r="G317" s="240"/>
      <c r="H317" s="162">
        <f>ROUND(+H310+H312,1)</f>
        <v>1225046.7</v>
      </c>
    </row>
    <row r="318" spans="1:8" ht="16.5" customHeight="1">
      <c r="A318" s="241"/>
      <c r="B318" s="147"/>
      <c r="C318" s="146" t="s">
        <v>812</v>
      </c>
      <c r="D318" s="147" t="str">
        <f>""</f>
        <v/>
      </c>
      <c r="E318" s="242"/>
      <c r="F318" s="150"/>
      <c r="G318" s="149"/>
      <c r="H318" s="150"/>
    </row>
    <row r="319" spans="1:8" ht="16.5" customHeight="1">
      <c r="A319" s="241"/>
      <c r="B319" s="147"/>
      <c r="C319" s="146" t="str">
        <f>"Chi phí chung ( T x "&amp;HSXL!C$14&amp;" )"</f>
        <v>Chi phí chung ( T x 6,2% )</v>
      </c>
      <c r="D319" s="147" t="s">
        <v>807</v>
      </c>
      <c r="E319" s="242" t="str">
        <f>HSXL!C$14</f>
        <v>6,2%</v>
      </c>
      <c r="F319" s="150"/>
      <c r="G319" s="149"/>
      <c r="H319" s="150">
        <f>ROUND(H317*HSXL!D$14,1)</f>
        <v>75952.899999999994</v>
      </c>
    </row>
    <row r="320" spans="1:8" ht="27.75" customHeight="1">
      <c r="A320" s="241"/>
      <c r="B320" s="147"/>
      <c r="C320" s="146" t="str">
        <f>"Chi phí nhà tạm để ở và điều hành thi công ( T x "&amp;HSXL!C$18&amp;" )"</f>
        <v>Chi phí nhà tạm để ở và điều hành thi công ( T x 2,2% )</v>
      </c>
      <c r="D320" s="147" t="s">
        <v>815</v>
      </c>
      <c r="E320" s="242" t="str">
        <f>HSXL!C$18</f>
        <v>2,2%</v>
      </c>
      <c r="F320" s="150"/>
      <c r="G320" s="149"/>
      <c r="H320" s="150">
        <f>ROUND(H317*HSXL!D$18,1)</f>
        <v>26951</v>
      </c>
    </row>
    <row r="321" spans="1:8" ht="39.75" customHeight="1">
      <c r="A321" s="241"/>
      <c r="B321" s="147"/>
      <c r="C321" s="146" t="str">
        <f>"Chi phí một số công việc không xác định được khối lượng từ thiết kế ( T x "&amp;HSXL!C$13&amp;" )"</f>
        <v>Chi phí một số công việc không xác định được khối lượng từ thiết kế ( T x 2% )</v>
      </c>
      <c r="D321" s="147" t="s">
        <v>61</v>
      </c>
      <c r="E321" s="242" t="str">
        <f>HSXL!C$13</f>
        <v>2%</v>
      </c>
      <c r="F321" s="150"/>
      <c r="G321" s="149"/>
      <c r="H321" s="150">
        <f>ROUND(H317*HSXL!D$13,1)</f>
        <v>24500.9</v>
      </c>
    </row>
    <row r="322" spans="1:8" ht="27.75" customHeight="1">
      <c r="A322" s="238"/>
      <c r="B322" s="159"/>
      <c r="C322" s="158" t="s">
        <v>1086</v>
      </c>
      <c r="D322" s="159" t="s">
        <v>818</v>
      </c>
      <c r="E322" s="239"/>
      <c r="F322" s="162"/>
      <c r="G322" s="240"/>
      <c r="H322" s="162">
        <f>ROUND(SUM(H319:H321),1)</f>
        <v>127404.8</v>
      </c>
    </row>
    <row r="323" spans="1:8" ht="27.75" customHeight="1">
      <c r="A323" s="241"/>
      <c r="B323" s="147"/>
      <c r="C323" s="146" t="str">
        <f>"THU NHẬP CHỊU THUẾ TÍNH TRƯỚC (T+GT) x "&amp;HSXL!C$16</f>
        <v>THU NHẬP CHỊU THUẾ TÍNH TRƯỚC (T+GT) x 6%</v>
      </c>
      <c r="D323" s="147" t="s">
        <v>821</v>
      </c>
      <c r="E323" s="242" t="str">
        <f>HSXL!C$16</f>
        <v>6%</v>
      </c>
      <c r="F323" s="150"/>
      <c r="G323" s="149"/>
      <c r="H323" s="150">
        <f>ROUND((H317+H322)*HSXL!D$16,1)</f>
        <v>81147.100000000006</v>
      </c>
    </row>
    <row r="324" spans="1:8" ht="27.75" customHeight="1">
      <c r="A324" s="241"/>
      <c r="B324" s="147"/>
      <c r="C324" s="146" t="s">
        <v>1087</v>
      </c>
      <c r="D324" s="147" t="s">
        <v>823</v>
      </c>
      <c r="E324" s="242"/>
      <c r="F324" s="150"/>
      <c r="G324" s="149"/>
      <c r="H324" s="150">
        <f>ROUND(H317+H322+H323,0)</f>
        <v>1433599</v>
      </c>
    </row>
    <row r="325" spans="1:8" ht="27.75" customHeight="1">
      <c r="A325" s="241"/>
      <c r="B325" s="147"/>
      <c r="C325" s="146" t="str">
        <f>"THUẾ GIÁ TRỊ GIA TĂNG ( G x "&amp;HSXL!C$17&amp;" )"</f>
        <v>THUẾ GIÁ TRỊ GIA TĂNG ( G x 10% )</v>
      </c>
      <c r="D325" s="147" t="s">
        <v>827</v>
      </c>
      <c r="E325" s="164">
        <f>HSXL!D$17</f>
        <v>0.1</v>
      </c>
      <c r="F325" s="150"/>
      <c r="G325" s="149"/>
      <c r="H325" s="150">
        <f>ROUND(E325*H324,1)</f>
        <v>143359.9</v>
      </c>
    </row>
    <row r="326" spans="1:8" ht="27.75" customHeight="1">
      <c r="A326" s="243"/>
      <c r="B326" s="244"/>
      <c r="C326" s="245" t="s">
        <v>1088</v>
      </c>
      <c r="D326" s="244" t="s">
        <v>830</v>
      </c>
      <c r="E326" s="246"/>
      <c r="F326" s="247"/>
      <c r="G326" s="248"/>
      <c r="H326" s="249">
        <f>ROUND(H324+H325,0)</f>
        <v>1576959</v>
      </c>
    </row>
    <row r="327" spans="1:8" ht="40.5" customHeight="1">
      <c r="A327" s="128">
        <f>'Công trình'!A50</f>
        <v>3</v>
      </c>
      <c r="B327" s="129" t="str">
        <f>'Công trình'!E50</f>
        <v>AB.41412</v>
      </c>
      <c r="C327" s="130" t="str">
        <f>'Công trình'!F50</f>
        <v>Vận chuyển đất bằng ôtô tự đổ 5 tấn trong phạm vi &lt;= 1000m, đất cấp II</v>
      </c>
      <c r="D327" s="129" t="str">
        <f>'Công trình'!G50</f>
        <v>100m3</v>
      </c>
      <c r="E327" s="237">
        <v>1</v>
      </c>
      <c r="F327" s="69"/>
      <c r="G327" s="68"/>
      <c r="H327" s="69"/>
    </row>
    <row r="328" spans="1:8" ht="16.5" customHeight="1">
      <c r="A328" s="131"/>
      <c r="B328" s="91"/>
      <c r="C328" s="90" t="s">
        <v>679</v>
      </c>
      <c r="D328" s="91"/>
      <c r="E328" s="93"/>
      <c r="F328" s="132"/>
      <c r="G328" s="94"/>
      <c r="H328" s="132">
        <f>ROUND(H329,1)</f>
        <v>2313202.9</v>
      </c>
    </row>
    <row r="329" spans="1:8" ht="27.75" customHeight="1">
      <c r="A329" s="127"/>
      <c r="B329" s="13" t="str">
        <f>'Giá tháng'!B$78</f>
        <v>M106.0202</v>
      </c>
      <c r="C329" s="14" t="str">
        <f>'Giá tháng'!C$78</f>
        <v>Ô tô tự đổ - trọng tải : 5,0 T</v>
      </c>
      <c r="D329" s="13" t="str">
        <f>'Giá tháng'!D$78</f>
        <v>ca</v>
      </c>
      <c r="E329" s="80">
        <f>HaoPhiVatTu!H$134</f>
        <v>1.329</v>
      </c>
      <c r="F329" s="15">
        <f>ROUND('Tổng hợp VT'!O$87,1)</f>
        <v>1740559</v>
      </c>
      <c r="G329" s="81">
        <f>'Giá tháng'!G$78</f>
        <v>1</v>
      </c>
      <c r="H329" s="15">
        <f>ROUND(E329*F329*G329,1)</f>
        <v>2313202.9</v>
      </c>
    </row>
    <row r="330" spans="1:8" ht="27.75" customHeight="1">
      <c r="A330" s="238"/>
      <c r="B330" s="159"/>
      <c r="C330" s="158" t="s">
        <v>1085</v>
      </c>
      <c r="D330" s="159" t="s">
        <v>810</v>
      </c>
      <c r="E330" s="239"/>
      <c r="F330" s="162"/>
      <c r="G330" s="240"/>
      <c r="H330" s="162">
        <f>ROUND(+H328,1)</f>
        <v>2313202.9</v>
      </c>
    </row>
    <row r="331" spans="1:8" ht="16.5" customHeight="1">
      <c r="A331" s="241"/>
      <c r="B331" s="147"/>
      <c r="C331" s="146" t="s">
        <v>812</v>
      </c>
      <c r="D331" s="147" t="str">
        <f>""</f>
        <v/>
      </c>
      <c r="E331" s="242"/>
      <c r="F331" s="150"/>
      <c r="G331" s="149"/>
      <c r="H331" s="150"/>
    </row>
    <row r="332" spans="1:8" ht="16.5" customHeight="1">
      <c r="A332" s="241"/>
      <c r="B332" s="147"/>
      <c r="C332" s="146" t="str">
        <f>"Chi phí chung ( T x "&amp;HSXL!C$14&amp;" )"</f>
        <v>Chi phí chung ( T x 6,2% )</v>
      </c>
      <c r="D332" s="147" t="s">
        <v>807</v>
      </c>
      <c r="E332" s="242" t="str">
        <f>HSXL!C$14</f>
        <v>6,2%</v>
      </c>
      <c r="F332" s="150"/>
      <c r="G332" s="149"/>
      <c r="H332" s="150">
        <f>ROUND(H330*HSXL!D$14,1)</f>
        <v>143418.6</v>
      </c>
    </row>
    <row r="333" spans="1:8" ht="27.75" customHeight="1">
      <c r="A333" s="241"/>
      <c r="B333" s="147"/>
      <c r="C333" s="146" t="str">
        <f>"Chi phí nhà tạm để ở và điều hành thi công ( T x "&amp;HSXL!C$18&amp;" )"</f>
        <v>Chi phí nhà tạm để ở và điều hành thi công ( T x 2,2% )</v>
      </c>
      <c r="D333" s="147" t="s">
        <v>815</v>
      </c>
      <c r="E333" s="242" t="str">
        <f>HSXL!C$18</f>
        <v>2,2%</v>
      </c>
      <c r="F333" s="150"/>
      <c r="G333" s="149"/>
      <c r="H333" s="150">
        <f>ROUND(H330*HSXL!D$18,1)</f>
        <v>50890.5</v>
      </c>
    </row>
    <row r="334" spans="1:8" ht="39.75" customHeight="1">
      <c r="A334" s="241"/>
      <c r="B334" s="147"/>
      <c r="C334" s="146" t="str">
        <f>"Chi phí một số công việc không xác định được khối lượng từ thiết kế ( T x "&amp;HSXL!C$13&amp;" )"</f>
        <v>Chi phí một số công việc không xác định được khối lượng từ thiết kế ( T x 2% )</v>
      </c>
      <c r="D334" s="147" t="s">
        <v>61</v>
      </c>
      <c r="E334" s="242" t="str">
        <f>HSXL!C$13</f>
        <v>2%</v>
      </c>
      <c r="F334" s="150"/>
      <c r="G334" s="149"/>
      <c r="H334" s="150">
        <f>ROUND(H330*HSXL!D$13,1)</f>
        <v>46264.1</v>
      </c>
    </row>
    <row r="335" spans="1:8" ht="27.75" customHeight="1">
      <c r="A335" s="238"/>
      <c r="B335" s="159"/>
      <c r="C335" s="158" t="s">
        <v>1086</v>
      </c>
      <c r="D335" s="159" t="s">
        <v>818</v>
      </c>
      <c r="E335" s="239"/>
      <c r="F335" s="162"/>
      <c r="G335" s="240"/>
      <c r="H335" s="162">
        <f>ROUND(SUM(H332:H334),1)</f>
        <v>240573.2</v>
      </c>
    </row>
    <row r="336" spans="1:8" ht="27.75" customHeight="1">
      <c r="A336" s="241"/>
      <c r="B336" s="147"/>
      <c r="C336" s="146" t="str">
        <f>"THU NHẬP CHỊU THUẾ TÍNH TRƯỚC (T+GT) x "&amp;HSXL!C$16</f>
        <v>THU NHẬP CHỊU THUẾ TÍNH TRƯỚC (T+GT) x 6%</v>
      </c>
      <c r="D336" s="147" t="s">
        <v>821</v>
      </c>
      <c r="E336" s="242" t="str">
        <f>HSXL!C$16</f>
        <v>6%</v>
      </c>
      <c r="F336" s="150"/>
      <c r="G336" s="149"/>
      <c r="H336" s="150">
        <f>ROUND((H330+H335)*HSXL!D$16,1)</f>
        <v>153226.6</v>
      </c>
    </row>
    <row r="337" spans="1:8" ht="27.75" customHeight="1">
      <c r="A337" s="241"/>
      <c r="B337" s="147"/>
      <c r="C337" s="146" t="s">
        <v>1087</v>
      </c>
      <c r="D337" s="147" t="s">
        <v>823</v>
      </c>
      <c r="E337" s="242"/>
      <c r="F337" s="150"/>
      <c r="G337" s="149"/>
      <c r="H337" s="150">
        <f>ROUND(H330+H335+H336,0)</f>
        <v>2707003</v>
      </c>
    </row>
    <row r="338" spans="1:8" ht="27.75" customHeight="1">
      <c r="A338" s="241"/>
      <c r="B338" s="147"/>
      <c r="C338" s="146" t="str">
        <f>"THUẾ GIÁ TRỊ GIA TĂNG ( G x "&amp;HSXL!C$17&amp;" )"</f>
        <v>THUẾ GIÁ TRỊ GIA TĂNG ( G x 10% )</v>
      </c>
      <c r="D338" s="147" t="s">
        <v>827</v>
      </c>
      <c r="E338" s="164">
        <f>HSXL!D$17</f>
        <v>0.1</v>
      </c>
      <c r="F338" s="150"/>
      <c r="G338" s="149"/>
      <c r="H338" s="150">
        <f>ROUND(E338*H337,1)</f>
        <v>270700.3</v>
      </c>
    </row>
    <row r="339" spans="1:8" ht="27.75" customHeight="1">
      <c r="A339" s="243"/>
      <c r="B339" s="244"/>
      <c r="C339" s="245" t="s">
        <v>1088</v>
      </c>
      <c r="D339" s="244" t="s">
        <v>830</v>
      </c>
      <c r="E339" s="246"/>
      <c r="F339" s="247"/>
      <c r="G339" s="248"/>
      <c r="H339" s="249">
        <f>ROUND(H337+H338,0)</f>
        <v>2977703</v>
      </c>
    </row>
    <row r="340" spans="1:8" ht="40.5" customHeight="1">
      <c r="A340" s="128">
        <f>'Công trình'!A52</f>
        <v>20</v>
      </c>
      <c r="B340" s="129" t="str">
        <f>'Công trình'!E52</f>
        <v>AB.42212</v>
      </c>
      <c r="C340" s="130" t="str">
        <f>'Công trình'!F52</f>
        <v>Vận chuyển đất bằng ô tô tự đổ 5T 1km tiếp theo ngoài phạm vi 5km, đất cấp II</v>
      </c>
      <c r="D340" s="129" t="str">
        <f>'Công trình'!G52</f>
        <v>100m3</v>
      </c>
      <c r="E340" s="237">
        <v>1</v>
      </c>
      <c r="F340" s="69"/>
      <c r="G340" s="68"/>
      <c r="H340" s="69"/>
    </row>
    <row r="341" spans="1:8" ht="16.5" customHeight="1">
      <c r="A341" s="131"/>
      <c r="B341" s="91"/>
      <c r="C341" s="90" t="s">
        <v>679</v>
      </c>
      <c r="D341" s="91"/>
      <c r="E341" s="93"/>
      <c r="F341" s="132"/>
      <c r="G341" s="94"/>
      <c r="H341" s="132">
        <f>ROUND(H342,1)</f>
        <v>3550740.4</v>
      </c>
    </row>
    <row r="342" spans="1:8" ht="27.75" customHeight="1">
      <c r="A342" s="127"/>
      <c r="B342" s="13" t="str">
        <f>'Giá tháng'!B$79</f>
        <v>M106.0202</v>
      </c>
      <c r="C342" s="14" t="str">
        <f>'Giá tháng'!C$79</f>
        <v>Ô tô tự đổ - trọng tải : 5,0 T</v>
      </c>
      <c r="D342" s="13" t="str">
        <f>'Giá tháng'!D$79</f>
        <v>ca</v>
      </c>
      <c r="E342" s="80">
        <f>HaoPhiVatTu!H$137</f>
        <v>0.51</v>
      </c>
      <c r="F342" s="15">
        <f>ROUND('Tổng hợp VT'!O$87,1)</f>
        <v>1740559</v>
      </c>
      <c r="G342" s="81">
        <f>'Giá tháng'!G$79</f>
        <v>4</v>
      </c>
      <c r="H342" s="15">
        <f>ROUND(E342*F342*G342,1)</f>
        <v>3550740.4</v>
      </c>
    </row>
    <row r="343" spans="1:8" ht="27.75" customHeight="1">
      <c r="A343" s="238"/>
      <c r="B343" s="159"/>
      <c r="C343" s="158" t="s">
        <v>1085</v>
      </c>
      <c r="D343" s="159" t="s">
        <v>810</v>
      </c>
      <c r="E343" s="239"/>
      <c r="F343" s="162"/>
      <c r="G343" s="240"/>
      <c r="H343" s="162">
        <f>ROUND(+H341,1)</f>
        <v>3550740.4</v>
      </c>
    </row>
    <row r="344" spans="1:8" ht="16.5" customHeight="1">
      <c r="A344" s="241"/>
      <c r="B344" s="147"/>
      <c r="C344" s="146" t="s">
        <v>812</v>
      </c>
      <c r="D344" s="147" t="str">
        <f>""</f>
        <v/>
      </c>
      <c r="E344" s="242"/>
      <c r="F344" s="150"/>
      <c r="G344" s="149"/>
      <c r="H344" s="150"/>
    </row>
    <row r="345" spans="1:8" ht="16.5" customHeight="1">
      <c r="A345" s="241"/>
      <c r="B345" s="147"/>
      <c r="C345" s="146" t="str">
        <f>"Chi phí chung ( T x "&amp;HSXL!C$14&amp;" )"</f>
        <v>Chi phí chung ( T x 6,2% )</v>
      </c>
      <c r="D345" s="147" t="s">
        <v>807</v>
      </c>
      <c r="E345" s="242" t="str">
        <f>HSXL!C$14</f>
        <v>6,2%</v>
      </c>
      <c r="F345" s="150"/>
      <c r="G345" s="149"/>
      <c r="H345" s="150">
        <f>ROUND(H343*HSXL!D$14,1)</f>
        <v>220145.9</v>
      </c>
    </row>
    <row r="346" spans="1:8" ht="27.75" customHeight="1">
      <c r="A346" s="241"/>
      <c r="B346" s="147"/>
      <c r="C346" s="146" t="str">
        <f>"Chi phí nhà tạm để ở và điều hành thi công ( T x "&amp;HSXL!C$18&amp;" )"</f>
        <v>Chi phí nhà tạm để ở và điều hành thi công ( T x 2,2% )</v>
      </c>
      <c r="D346" s="147" t="s">
        <v>815</v>
      </c>
      <c r="E346" s="242" t="str">
        <f>HSXL!C$18</f>
        <v>2,2%</v>
      </c>
      <c r="F346" s="150"/>
      <c r="G346" s="149"/>
      <c r="H346" s="150">
        <f>ROUND(H343*HSXL!D$18,1)</f>
        <v>78116.3</v>
      </c>
    </row>
    <row r="347" spans="1:8" ht="39.75" customHeight="1">
      <c r="A347" s="241"/>
      <c r="B347" s="147"/>
      <c r="C347" s="146" t="str">
        <f>"Chi phí một số công việc không xác định được khối lượng từ thiết kế ( T x "&amp;HSXL!C$13&amp;" )"</f>
        <v>Chi phí một số công việc không xác định được khối lượng từ thiết kế ( T x 2% )</v>
      </c>
      <c r="D347" s="147" t="s">
        <v>61</v>
      </c>
      <c r="E347" s="242" t="str">
        <f>HSXL!C$13</f>
        <v>2%</v>
      </c>
      <c r="F347" s="150"/>
      <c r="G347" s="149"/>
      <c r="H347" s="150">
        <f>ROUND(H343*HSXL!D$13,1)</f>
        <v>71014.8</v>
      </c>
    </row>
    <row r="348" spans="1:8" ht="27.75" customHeight="1">
      <c r="A348" s="238"/>
      <c r="B348" s="159"/>
      <c r="C348" s="158" t="s">
        <v>1086</v>
      </c>
      <c r="D348" s="159" t="s">
        <v>818</v>
      </c>
      <c r="E348" s="239"/>
      <c r="F348" s="162"/>
      <c r="G348" s="240"/>
      <c r="H348" s="162">
        <f>ROUND(SUM(H345:H347),1)</f>
        <v>369277</v>
      </c>
    </row>
    <row r="349" spans="1:8" ht="27.75" customHeight="1">
      <c r="A349" s="241"/>
      <c r="B349" s="147"/>
      <c r="C349" s="146" t="str">
        <f>"THU NHẬP CHỊU THUẾ TÍNH TRƯỚC (T+GT) x "&amp;HSXL!C$16</f>
        <v>THU NHẬP CHỊU THUẾ TÍNH TRƯỚC (T+GT) x 6%</v>
      </c>
      <c r="D349" s="147" t="s">
        <v>821</v>
      </c>
      <c r="E349" s="242" t="str">
        <f>HSXL!C$16</f>
        <v>6%</v>
      </c>
      <c r="F349" s="150"/>
      <c r="G349" s="149"/>
      <c r="H349" s="150">
        <f>ROUND((H343+H348)*HSXL!D$16,1)</f>
        <v>235201</v>
      </c>
    </row>
    <row r="350" spans="1:8" ht="27.75" customHeight="1">
      <c r="A350" s="241"/>
      <c r="B350" s="147"/>
      <c r="C350" s="146" t="s">
        <v>1087</v>
      </c>
      <c r="D350" s="147" t="s">
        <v>823</v>
      </c>
      <c r="E350" s="242"/>
      <c r="F350" s="150"/>
      <c r="G350" s="149"/>
      <c r="H350" s="150">
        <f>ROUND(H343+H348+H349,0)</f>
        <v>4155218</v>
      </c>
    </row>
    <row r="351" spans="1:8" ht="27.75" customHeight="1">
      <c r="A351" s="241"/>
      <c r="B351" s="147"/>
      <c r="C351" s="146" t="str">
        <f>"THUẾ GIÁ TRỊ GIA TĂNG ( G x "&amp;HSXL!C$17&amp;" )"</f>
        <v>THUẾ GIÁ TRỊ GIA TĂNG ( G x 10% )</v>
      </c>
      <c r="D351" s="147" t="s">
        <v>827</v>
      </c>
      <c r="E351" s="164">
        <f>HSXL!D$17</f>
        <v>0.1</v>
      </c>
      <c r="F351" s="150"/>
      <c r="G351" s="149"/>
      <c r="H351" s="150">
        <f>ROUND(E351*H350,1)</f>
        <v>415521.8</v>
      </c>
    </row>
    <row r="352" spans="1:8" ht="27.75" customHeight="1">
      <c r="A352" s="243"/>
      <c r="B352" s="244"/>
      <c r="C352" s="245" t="s">
        <v>1088</v>
      </c>
      <c r="D352" s="244" t="s">
        <v>830</v>
      </c>
      <c r="E352" s="246"/>
      <c r="F352" s="247"/>
      <c r="G352" s="248"/>
      <c r="H352" s="249">
        <f>ROUND(H350+H351,0)</f>
        <v>4570740</v>
      </c>
    </row>
    <row r="353" spans="1:8" ht="27.75" customHeight="1">
      <c r="A353" s="128">
        <f>'Công trình'!A54</f>
        <v>4</v>
      </c>
      <c r="B353" s="129" t="str">
        <f>'Công trình'!E54</f>
        <v>AK.98110</v>
      </c>
      <c r="C353" s="130" t="str">
        <f>'Công trình'!F54</f>
        <v>Đá dăm lót móng, đá 2x4, dày 10cm</v>
      </c>
      <c r="D353" s="129" t="str">
        <f>'Công trình'!G54</f>
        <v>m3</v>
      </c>
      <c r="E353" s="237">
        <v>1</v>
      </c>
      <c r="F353" s="69"/>
      <c r="G353" s="68"/>
      <c r="H353" s="69"/>
    </row>
    <row r="354" spans="1:8" ht="16.5" customHeight="1">
      <c r="A354" s="131"/>
      <c r="B354" s="91"/>
      <c r="C354" s="90" t="s">
        <v>683</v>
      </c>
      <c r="D354" s="91"/>
      <c r="E354" s="93"/>
      <c r="F354" s="132"/>
      <c r="G354" s="94"/>
      <c r="H354" s="132">
        <f>ROUND(H357,1)</f>
        <v>453000</v>
      </c>
    </row>
    <row r="355" spans="1:8" ht="16.5" customHeight="1">
      <c r="A355" s="127"/>
      <c r="B355" s="13" t="str">
        <f>'Giá tháng'!B$17</f>
        <v>A24.0025</v>
      </c>
      <c r="C355" s="14" t="str">
        <f>'Giá tháng'!C$17</f>
        <v>Đá dăm 2x4 lót móng</v>
      </c>
      <c r="D355" s="13" t="str">
        <f>'Giá tháng'!D$17</f>
        <v>m3</v>
      </c>
      <c r="E355" s="80">
        <f>HaoPhiVatTu!F$140</f>
        <v>1.2</v>
      </c>
      <c r="F355" s="15">
        <f>ROUND('Tổng hợp VT'!O$22,1)</f>
        <v>340000</v>
      </c>
      <c r="G355" s="81">
        <f>'Giá tháng'!G$17</f>
        <v>1</v>
      </c>
      <c r="H355" s="15">
        <f>ROUND(E355*F355*G355,1)</f>
        <v>408000</v>
      </c>
    </row>
    <row r="356" spans="1:8" ht="16.5" customHeight="1">
      <c r="A356" s="127"/>
      <c r="B356" s="13" t="str">
        <f>'Giá tháng'!B$7</f>
        <v>A24.1042</v>
      </c>
      <c r="C356" s="14" t="str">
        <f>'Giá tháng'!C$7</f>
        <v>Cát</v>
      </c>
      <c r="D356" s="13" t="str">
        <f>'Giá tháng'!D$7</f>
        <v>m3</v>
      </c>
      <c r="E356" s="80">
        <f>HaoPhiVatTu!F$141</f>
        <v>0.3</v>
      </c>
      <c r="F356" s="15">
        <f>ROUND('Tổng hợp VT'!O$12,1)</f>
        <v>150000</v>
      </c>
      <c r="G356" s="81">
        <f>'Giá tháng'!G$7</f>
        <v>1</v>
      </c>
      <c r="H356" s="15">
        <f>ROUND(E356*F356*G356,1)</f>
        <v>45000</v>
      </c>
    </row>
    <row r="357" spans="1:8" ht="16.5" customHeight="1">
      <c r="A357" s="127"/>
      <c r="B357" s="13"/>
      <c r="C357" s="14" t="s">
        <v>776</v>
      </c>
      <c r="D357" s="13"/>
      <c r="E357" s="80"/>
      <c r="F357" s="15"/>
      <c r="G357" s="81"/>
      <c r="H357" s="15">
        <f>ROUND(SUM(H355:H356),1)</f>
        <v>453000</v>
      </c>
    </row>
    <row r="358" spans="1:8" ht="16.5" customHeight="1">
      <c r="A358" s="131"/>
      <c r="B358" s="91"/>
      <c r="C358" s="90" t="s">
        <v>678</v>
      </c>
      <c r="D358" s="91"/>
      <c r="E358" s="93"/>
      <c r="F358" s="132"/>
      <c r="G358" s="94"/>
      <c r="H358" s="132">
        <f>ROUND(H359,1)</f>
        <v>420923.8</v>
      </c>
    </row>
    <row r="359" spans="1:8" ht="16.5" customHeight="1">
      <c r="A359" s="127"/>
      <c r="B359" s="13" t="str">
        <f>'Giá tháng'!B$53</f>
        <v>N2.40</v>
      </c>
      <c r="C359" s="14" t="str">
        <f>'Giá tháng'!C$53</f>
        <v>Nhân công 4,0/7 - Nhóm 2</v>
      </c>
      <c r="D359" s="13" t="str">
        <f>'Giá tháng'!D$53</f>
        <v>công</v>
      </c>
      <c r="E359" s="80">
        <f>HaoPhiVatTu!G$143</f>
        <v>1.48</v>
      </c>
      <c r="F359" s="15">
        <f>ROUND('Tổng hợp VT'!O$60,1)</f>
        <v>284408</v>
      </c>
      <c r="G359" s="81">
        <f>'Giá tháng'!G$53</f>
        <v>1</v>
      </c>
      <c r="H359" s="15">
        <f>ROUND(E359*F359*G359,1)</f>
        <v>420923.8</v>
      </c>
    </row>
    <row r="360" spans="1:8" ht="27.75" customHeight="1">
      <c r="A360" s="238"/>
      <c r="B360" s="159"/>
      <c r="C360" s="158" t="s">
        <v>1085</v>
      </c>
      <c r="D360" s="159" t="s">
        <v>810</v>
      </c>
      <c r="E360" s="239"/>
      <c r="F360" s="162"/>
      <c r="G360" s="240"/>
      <c r="H360" s="162">
        <f>ROUND(H354+H358,1)</f>
        <v>873923.8</v>
      </c>
    </row>
    <row r="361" spans="1:8" ht="16.5" customHeight="1">
      <c r="A361" s="241"/>
      <c r="B361" s="147"/>
      <c r="C361" s="146" t="s">
        <v>812</v>
      </c>
      <c r="D361" s="147" t="str">
        <f>""</f>
        <v/>
      </c>
      <c r="E361" s="242"/>
      <c r="F361" s="150"/>
      <c r="G361" s="149"/>
      <c r="H361" s="150"/>
    </row>
    <row r="362" spans="1:8" ht="16.5" customHeight="1">
      <c r="A362" s="241"/>
      <c r="B362" s="147"/>
      <c r="C362" s="146" t="str">
        <f>"Chi phí chung ( T x "&amp;HSXL!C$14&amp;" )"</f>
        <v>Chi phí chung ( T x 6,2% )</v>
      </c>
      <c r="D362" s="147" t="s">
        <v>807</v>
      </c>
      <c r="E362" s="242" t="str">
        <f>HSXL!C$14</f>
        <v>6,2%</v>
      </c>
      <c r="F362" s="150"/>
      <c r="G362" s="149"/>
      <c r="H362" s="150">
        <f>ROUND(H360*HSXL!D$14,1)</f>
        <v>54183.3</v>
      </c>
    </row>
    <row r="363" spans="1:8" ht="27.75" customHeight="1">
      <c r="A363" s="241"/>
      <c r="B363" s="147"/>
      <c r="C363" s="146" t="str">
        <f>"Chi phí nhà tạm để ở và điều hành thi công ( T x "&amp;HSXL!C$18&amp;" )"</f>
        <v>Chi phí nhà tạm để ở và điều hành thi công ( T x 2,2% )</v>
      </c>
      <c r="D363" s="147" t="s">
        <v>815</v>
      </c>
      <c r="E363" s="242" t="str">
        <f>HSXL!C$18</f>
        <v>2,2%</v>
      </c>
      <c r="F363" s="150"/>
      <c r="G363" s="149"/>
      <c r="H363" s="150">
        <f>ROUND(H360*HSXL!D$18,1)</f>
        <v>19226.3</v>
      </c>
    </row>
    <row r="364" spans="1:8" ht="39.75" customHeight="1">
      <c r="A364" s="241"/>
      <c r="B364" s="147"/>
      <c r="C364" s="146" t="str">
        <f>"Chi phí một số công việc không xác định được khối lượng từ thiết kế ( T x "&amp;HSXL!C$13&amp;" )"</f>
        <v>Chi phí một số công việc không xác định được khối lượng từ thiết kế ( T x 2% )</v>
      </c>
      <c r="D364" s="147" t="s">
        <v>61</v>
      </c>
      <c r="E364" s="242" t="str">
        <f>HSXL!C$13</f>
        <v>2%</v>
      </c>
      <c r="F364" s="150"/>
      <c r="G364" s="149"/>
      <c r="H364" s="150">
        <f>ROUND(H360*HSXL!D$13,1)</f>
        <v>17478.5</v>
      </c>
    </row>
    <row r="365" spans="1:8" ht="27.75" customHeight="1">
      <c r="A365" s="238"/>
      <c r="B365" s="159"/>
      <c r="C365" s="158" t="s">
        <v>1086</v>
      </c>
      <c r="D365" s="159" t="s">
        <v>818</v>
      </c>
      <c r="E365" s="239"/>
      <c r="F365" s="162"/>
      <c r="G365" s="240"/>
      <c r="H365" s="162">
        <f>ROUND(SUM(H362:H364),1)</f>
        <v>90888.1</v>
      </c>
    </row>
    <row r="366" spans="1:8" ht="27.75" customHeight="1">
      <c r="A366" s="241"/>
      <c r="B366" s="147"/>
      <c r="C366" s="146" t="str">
        <f>"THU NHẬP CHỊU THUẾ TÍNH TRƯỚC (T+GT) x "&amp;HSXL!C$16</f>
        <v>THU NHẬP CHỊU THUẾ TÍNH TRƯỚC (T+GT) x 6%</v>
      </c>
      <c r="D366" s="147" t="s">
        <v>821</v>
      </c>
      <c r="E366" s="242" t="str">
        <f>HSXL!C$16</f>
        <v>6%</v>
      </c>
      <c r="F366" s="150"/>
      <c r="G366" s="149"/>
      <c r="H366" s="150">
        <f>ROUND((H360+H365)*HSXL!D$16,1)</f>
        <v>57888.7</v>
      </c>
    </row>
    <row r="367" spans="1:8" ht="27.75" customHeight="1">
      <c r="A367" s="241"/>
      <c r="B367" s="147"/>
      <c r="C367" s="146" t="s">
        <v>1087</v>
      </c>
      <c r="D367" s="147" t="s">
        <v>823</v>
      </c>
      <c r="E367" s="242"/>
      <c r="F367" s="150"/>
      <c r="G367" s="149"/>
      <c r="H367" s="150">
        <f>ROUND(H360+H365+H366,0)</f>
        <v>1022701</v>
      </c>
    </row>
    <row r="368" spans="1:8" ht="27.75" customHeight="1">
      <c r="A368" s="241"/>
      <c r="B368" s="147"/>
      <c r="C368" s="146" t="str">
        <f>"THUẾ GIÁ TRỊ GIA TĂNG ( G x "&amp;HSXL!C$17&amp;" )"</f>
        <v>THUẾ GIÁ TRỊ GIA TĂNG ( G x 10% )</v>
      </c>
      <c r="D368" s="147" t="s">
        <v>827</v>
      </c>
      <c r="E368" s="164">
        <f>HSXL!D$17</f>
        <v>0.1</v>
      </c>
      <c r="F368" s="150"/>
      <c r="G368" s="149"/>
      <c r="H368" s="150">
        <f>ROUND(E368*H367,1)</f>
        <v>102270.1</v>
      </c>
    </row>
    <row r="369" spans="1:8" ht="27.75" customHeight="1">
      <c r="A369" s="243"/>
      <c r="B369" s="244"/>
      <c r="C369" s="245" t="s">
        <v>1088</v>
      </c>
      <c r="D369" s="244" t="s">
        <v>830</v>
      </c>
      <c r="E369" s="246"/>
      <c r="F369" s="247"/>
      <c r="G369" s="248"/>
      <c r="H369" s="249">
        <f>ROUND(H367+H368,0)</f>
        <v>1124971</v>
      </c>
    </row>
    <row r="370" spans="1:8" ht="16.5" customHeight="1">
      <c r="A370" s="128">
        <f>'Công trình'!A56</f>
        <v>5</v>
      </c>
      <c r="B370" s="129" t="str">
        <f>'Công trình'!E56</f>
        <v>AF.81122</v>
      </c>
      <c r="C370" s="130" t="str">
        <f>'Công trình'!F56</f>
        <v>Ván khuôn gỗ. Ván khuôn móng ga</v>
      </c>
      <c r="D370" s="129" t="str">
        <f>'Công trình'!G56</f>
        <v>100m2</v>
      </c>
      <c r="E370" s="237">
        <v>1</v>
      </c>
      <c r="F370" s="69"/>
      <c r="G370" s="68"/>
      <c r="H370" s="69"/>
    </row>
    <row r="371" spans="1:8" ht="16.5" customHeight="1">
      <c r="A371" s="131"/>
      <c r="B371" s="91"/>
      <c r="C371" s="90" t="s">
        <v>683</v>
      </c>
      <c r="D371" s="91"/>
      <c r="E371" s="93"/>
      <c r="F371" s="132"/>
      <c r="G371" s="94"/>
      <c r="H371" s="132">
        <f>ROUND(H377,1)</f>
        <v>6188316.2000000002</v>
      </c>
    </row>
    <row r="372" spans="1:8" ht="16.5" customHeight="1">
      <c r="A372" s="127"/>
      <c r="B372" s="13" t="str">
        <f>'Giá tháng'!B$23</f>
        <v>A24.0418</v>
      </c>
      <c r="C372" s="14" t="str">
        <f>'Giá tháng'!C$23</f>
        <v>Gỗ ván</v>
      </c>
      <c r="D372" s="13" t="str">
        <f>'Giá tháng'!D$23</f>
        <v>m3</v>
      </c>
      <c r="E372" s="80">
        <f>HaoPhiVatTu!F$146</f>
        <v>0.79400000000000004</v>
      </c>
      <c r="F372" s="15">
        <f>ROUND('Tổng hợp VT'!O$28,1)</f>
        <v>4318182</v>
      </c>
      <c r="G372" s="81">
        <f>'Giá tháng'!G$23</f>
        <v>1</v>
      </c>
      <c r="H372" s="15">
        <f>ROUND(E372*F372*G372,1)</f>
        <v>3428636.5</v>
      </c>
    </row>
    <row r="373" spans="1:8" ht="16.5" customHeight="1">
      <c r="A373" s="127"/>
      <c r="B373" s="13" t="str">
        <f>'Giá tháng'!B$22</f>
        <v>A24.0404</v>
      </c>
      <c r="C373" s="14" t="str">
        <f>'Giá tháng'!C$22</f>
        <v>Gỗ đà nẹp</v>
      </c>
      <c r="D373" s="13" t="str">
        <f>'Giá tháng'!D$22</f>
        <v>m3</v>
      </c>
      <c r="E373" s="80">
        <f>HaoPhiVatTu!F$147</f>
        <v>0.21</v>
      </c>
      <c r="F373" s="15">
        <f>ROUND('Tổng hợp VT'!O$27,1)</f>
        <v>4318182</v>
      </c>
      <c r="G373" s="81">
        <f>'Giá tháng'!G$22</f>
        <v>1</v>
      </c>
      <c r="H373" s="15">
        <f>ROUND(E373*F373*G373,1)</f>
        <v>906818.2</v>
      </c>
    </row>
    <row r="374" spans="1:8" ht="16.5" customHeight="1">
      <c r="A374" s="127"/>
      <c r="B374" s="13" t="str">
        <f>'Giá tháng'!B$21</f>
        <v>A24.0406</v>
      </c>
      <c r="C374" s="14" t="str">
        <f>'Giá tháng'!C$21</f>
        <v>Gỗ chống</v>
      </c>
      <c r="D374" s="13" t="str">
        <f>'Giá tháng'!D$21</f>
        <v>m3</v>
      </c>
      <c r="E374" s="80">
        <f>HaoPhiVatTu!F$148</f>
        <v>0.33500000000000002</v>
      </c>
      <c r="F374" s="15">
        <f>ROUND('Tổng hợp VT'!O$26,1)</f>
        <v>4318182</v>
      </c>
      <c r="G374" s="81">
        <f>'Giá tháng'!G$21</f>
        <v>1</v>
      </c>
      <c r="H374" s="15">
        <f>ROUND(E374*F374*G374,1)</f>
        <v>1446591</v>
      </c>
    </row>
    <row r="375" spans="1:8" ht="16.5" customHeight="1">
      <c r="A375" s="127"/>
      <c r="B375" s="13" t="str">
        <f>'Giá tháng'!B$19</f>
        <v>A24.0054</v>
      </c>
      <c r="C375" s="14" t="str">
        <f>'Giá tháng'!C$19</f>
        <v>Đinh</v>
      </c>
      <c r="D375" s="13" t="str">
        <f>'Giá tháng'!D$19</f>
        <v>kg</v>
      </c>
      <c r="E375" s="80">
        <f>HaoPhiVatTu!F$149</f>
        <v>15</v>
      </c>
      <c r="F375" s="15">
        <f>ROUND('Tổng hợp VT'!O$24,1)</f>
        <v>23000</v>
      </c>
      <c r="G375" s="81">
        <f>'Giá tháng'!G$19</f>
        <v>1</v>
      </c>
      <c r="H375" s="15">
        <f>ROUND(E375*F375*G375,1)</f>
        <v>345000</v>
      </c>
    </row>
    <row r="376" spans="1:8" ht="16.5" customHeight="1">
      <c r="A376" s="127"/>
      <c r="B376" s="13" t="s">
        <v>684</v>
      </c>
      <c r="C376" s="14" t="s">
        <v>685</v>
      </c>
      <c r="D376" s="13" t="s">
        <v>682</v>
      </c>
      <c r="E376" s="80">
        <f>HaoPhiVatTu!F$150</f>
        <v>1</v>
      </c>
      <c r="F376" s="15">
        <f>ROUND(SUM(H372:H375),1)</f>
        <v>6127045.7000000002</v>
      </c>
      <c r="G376" s="81"/>
      <c r="H376" s="15">
        <f>ROUND(E376*F376/100,1)</f>
        <v>61270.5</v>
      </c>
    </row>
    <row r="377" spans="1:8" ht="16.5" customHeight="1">
      <c r="A377" s="127"/>
      <c r="B377" s="13"/>
      <c r="C377" s="14" t="s">
        <v>776</v>
      </c>
      <c r="D377" s="13"/>
      <c r="E377" s="80"/>
      <c r="F377" s="15"/>
      <c r="G377" s="81"/>
      <c r="H377" s="15">
        <f>ROUND(SUM(H372:H376),1)</f>
        <v>6188316.2000000002</v>
      </c>
    </row>
    <row r="378" spans="1:8" ht="16.5" customHeight="1">
      <c r="A378" s="131"/>
      <c r="B378" s="91"/>
      <c r="C378" s="90" t="s">
        <v>678</v>
      </c>
      <c r="D378" s="91"/>
      <c r="E378" s="93"/>
      <c r="F378" s="132"/>
      <c r="G378" s="94"/>
      <c r="H378" s="132">
        <f>ROUND(H379,1)</f>
        <v>7781400</v>
      </c>
    </row>
    <row r="379" spans="1:8" ht="16.5" customHeight="1">
      <c r="A379" s="127"/>
      <c r="B379" s="13" t="str">
        <f>'Giá tháng'!B$51</f>
        <v>N2.35</v>
      </c>
      <c r="C379" s="14" t="str">
        <f>'Giá tháng'!C$51</f>
        <v>Nhân công 3,5/7 - Nhóm 2</v>
      </c>
      <c r="D379" s="13" t="str">
        <f>'Giá tháng'!D$51</f>
        <v>công</v>
      </c>
      <c r="E379" s="80">
        <f>HaoPhiVatTu!G$152</f>
        <v>29.7</v>
      </c>
      <c r="F379" s="15">
        <f>ROUND('Tổng hợp VT'!O$59,1)</f>
        <v>262000</v>
      </c>
      <c r="G379" s="81">
        <f>'Giá tháng'!G$51</f>
        <v>1</v>
      </c>
      <c r="H379" s="15">
        <f>ROUND(E379*F379*G379,1)</f>
        <v>7781400</v>
      </c>
    </row>
    <row r="380" spans="1:8" ht="27.75" customHeight="1">
      <c r="A380" s="238"/>
      <c r="B380" s="159"/>
      <c r="C380" s="158" t="s">
        <v>1085</v>
      </c>
      <c r="D380" s="159" t="s">
        <v>810</v>
      </c>
      <c r="E380" s="239"/>
      <c r="F380" s="162"/>
      <c r="G380" s="240"/>
      <c r="H380" s="162">
        <f>ROUND(H371+H378,1)</f>
        <v>13969716.199999999</v>
      </c>
    </row>
    <row r="381" spans="1:8" ht="16.5" customHeight="1">
      <c r="A381" s="241"/>
      <c r="B381" s="147"/>
      <c r="C381" s="146" t="s">
        <v>812</v>
      </c>
      <c r="D381" s="147" t="str">
        <f>""</f>
        <v/>
      </c>
      <c r="E381" s="242"/>
      <c r="F381" s="150"/>
      <c r="G381" s="149"/>
      <c r="H381" s="150"/>
    </row>
    <row r="382" spans="1:8" ht="16.5" customHeight="1">
      <c r="A382" s="241"/>
      <c r="B382" s="147"/>
      <c r="C382" s="146" t="str">
        <f>"Chi phí chung ( T x "&amp;HSXL!C$14&amp;" )"</f>
        <v>Chi phí chung ( T x 6,2% )</v>
      </c>
      <c r="D382" s="147" t="s">
        <v>807</v>
      </c>
      <c r="E382" s="242" t="str">
        <f>HSXL!C$14</f>
        <v>6,2%</v>
      </c>
      <c r="F382" s="150"/>
      <c r="G382" s="149"/>
      <c r="H382" s="150">
        <f>ROUND(H380*HSXL!D$14,1)</f>
        <v>866122.4</v>
      </c>
    </row>
    <row r="383" spans="1:8" ht="27.75" customHeight="1">
      <c r="A383" s="241"/>
      <c r="B383" s="147"/>
      <c r="C383" s="146" t="str">
        <f>"Chi phí nhà tạm để ở và điều hành thi công ( T x "&amp;HSXL!C$18&amp;" )"</f>
        <v>Chi phí nhà tạm để ở và điều hành thi công ( T x 2,2% )</v>
      </c>
      <c r="D383" s="147" t="s">
        <v>815</v>
      </c>
      <c r="E383" s="242" t="str">
        <f>HSXL!C$18</f>
        <v>2,2%</v>
      </c>
      <c r="F383" s="150"/>
      <c r="G383" s="149"/>
      <c r="H383" s="150">
        <f>ROUND(H380*HSXL!D$18,1)</f>
        <v>307333.8</v>
      </c>
    </row>
    <row r="384" spans="1:8" ht="39.75" customHeight="1">
      <c r="A384" s="241"/>
      <c r="B384" s="147"/>
      <c r="C384" s="146" t="str">
        <f>"Chi phí một số công việc không xác định được khối lượng từ thiết kế ( T x "&amp;HSXL!C$13&amp;" )"</f>
        <v>Chi phí một số công việc không xác định được khối lượng từ thiết kế ( T x 2% )</v>
      </c>
      <c r="D384" s="147" t="s">
        <v>61</v>
      </c>
      <c r="E384" s="242" t="str">
        <f>HSXL!C$13</f>
        <v>2%</v>
      </c>
      <c r="F384" s="150"/>
      <c r="G384" s="149"/>
      <c r="H384" s="150">
        <f>ROUND(H380*HSXL!D$13,1)</f>
        <v>279394.3</v>
      </c>
    </row>
    <row r="385" spans="1:8" ht="27.75" customHeight="1">
      <c r="A385" s="238"/>
      <c r="B385" s="159"/>
      <c r="C385" s="158" t="s">
        <v>1086</v>
      </c>
      <c r="D385" s="159" t="s">
        <v>818</v>
      </c>
      <c r="E385" s="239"/>
      <c r="F385" s="162"/>
      <c r="G385" s="240"/>
      <c r="H385" s="162">
        <f>ROUND(SUM(H382:H384),1)</f>
        <v>1452850.5</v>
      </c>
    </row>
    <row r="386" spans="1:8" ht="27.75" customHeight="1">
      <c r="A386" s="241"/>
      <c r="B386" s="147"/>
      <c r="C386" s="146" t="str">
        <f>"THU NHẬP CHỊU THUẾ TÍNH TRƯỚC (T+GT) x "&amp;HSXL!C$16</f>
        <v>THU NHẬP CHỊU THUẾ TÍNH TRƯỚC (T+GT) x 6%</v>
      </c>
      <c r="D386" s="147" t="s">
        <v>821</v>
      </c>
      <c r="E386" s="242" t="str">
        <f>HSXL!C$16</f>
        <v>6%</v>
      </c>
      <c r="F386" s="150"/>
      <c r="G386" s="149"/>
      <c r="H386" s="150">
        <f>ROUND((H380+H385)*HSXL!D$16,1)</f>
        <v>925354</v>
      </c>
    </row>
    <row r="387" spans="1:8" ht="27.75" customHeight="1">
      <c r="A387" s="241"/>
      <c r="B387" s="147"/>
      <c r="C387" s="146" t="s">
        <v>1087</v>
      </c>
      <c r="D387" s="147" t="s">
        <v>823</v>
      </c>
      <c r="E387" s="242"/>
      <c r="F387" s="150"/>
      <c r="G387" s="149"/>
      <c r="H387" s="150">
        <f>ROUND(H380+H385+H386,0)</f>
        <v>16347921</v>
      </c>
    </row>
    <row r="388" spans="1:8" ht="27.75" customHeight="1">
      <c r="A388" s="241"/>
      <c r="B388" s="147"/>
      <c r="C388" s="146" t="str">
        <f>"THUẾ GIÁ TRỊ GIA TĂNG ( G x "&amp;HSXL!C$17&amp;" )"</f>
        <v>THUẾ GIÁ TRỊ GIA TĂNG ( G x 10% )</v>
      </c>
      <c r="D388" s="147" t="s">
        <v>827</v>
      </c>
      <c r="E388" s="164">
        <f>HSXL!D$17</f>
        <v>0.1</v>
      </c>
      <c r="F388" s="150"/>
      <c r="G388" s="149"/>
      <c r="H388" s="150">
        <f>ROUND(E388*H387,1)</f>
        <v>1634792.1</v>
      </c>
    </row>
    <row r="389" spans="1:8" ht="27.75" customHeight="1">
      <c r="A389" s="243"/>
      <c r="B389" s="244"/>
      <c r="C389" s="245" t="s">
        <v>1088</v>
      </c>
      <c r="D389" s="244" t="s">
        <v>830</v>
      </c>
      <c r="E389" s="246"/>
      <c r="F389" s="247"/>
      <c r="G389" s="248"/>
      <c r="H389" s="249">
        <f>ROUND(H387+H388,0)</f>
        <v>17982713</v>
      </c>
    </row>
    <row r="390" spans="1:8" ht="27.75" customHeight="1">
      <c r="A390" s="128">
        <f>'Công trình'!A58</f>
        <v>6</v>
      </c>
      <c r="B390" s="129" t="str">
        <f>'Công trình'!E58</f>
        <v>AF.11213A</v>
      </c>
      <c r="C390" s="130" t="str">
        <f>'Công trình'!F58</f>
        <v>Đổ bê tông móng ga, đá 1x2, mác 200</v>
      </c>
      <c r="D390" s="129" t="str">
        <f>'Công trình'!G58</f>
        <v>m3</v>
      </c>
      <c r="E390" s="237">
        <v>1</v>
      </c>
      <c r="F390" s="69"/>
      <c r="G390" s="68"/>
      <c r="H390" s="69"/>
    </row>
    <row r="391" spans="1:8" ht="16.5" customHeight="1">
      <c r="A391" s="131"/>
      <c r="B391" s="91"/>
      <c r="C391" s="90" t="s">
        <v>683</v>
      </c>
      <c r="D391" s="91"/>
      <c r="E391" s="93"/>
      <c r="F391" s="132"/>
      <c r="G391" s="94"/>
      <c r="H391" s="132">
        <f>ROUND(H397,1)</f>
        <v>1040813.5</v>
      </c>
    </row>
    <row r="392" spans="1:8" ht="27.75" customHeight="1">
      <c r="A392" s="127"/>
      <c r="B392" s="13" t="str">
        <f>'Giá tháng'!B$45</f>
        <v>A24.0797A</v>
      </c>
      <c r="C392" s="14" t="str">
        <f>'Giá tháng'!C$45</f>
        <v>Xi măng PCB30</v>
      </c>
      <c r="D392" s="13" t="str">
        <f>'Giá tháng'!D$45</f>
        <v>kg</v>
      </c>
      <c r="E392" s="80">
        <f>HaoPhiVatTu!F$155</f>
        <v>321.85000000000002</v>
      </c>
      <c r="F392" s="15">
        <f>ROUND('Tổng hợp VT'!O$49,1)</f>
        <v>1481</v>
      </c>
      <c r="G392" s="81">
        <f>'Giá tháng'!G$45</f>
        <v>1</v>
      </c>
      <c r="H392" s="15">
        <f>ROUND(E392*F392*G392,1)</f>
        <v>476659.9</v>
      </c>
    </row>
    <row r="393" spans="1:8" ht="16.5" customHeight="1">
      <c r="A393" s="127"/>
      <c r="B393" s="13" t="str">
        <f>'Giá tháng'!B$10</f>
        <v>A24.0180</v>
      </c>
      <c r="C393" s="14" t="str">
        <f>'Giá tháng'!C$10</f>
        <v>Cát vàng</v>
      </c>
      <c r="D393" s="13" t="str">
        <f>'Giá tháng'!D$10</f>
        <v>m3</v>
      </c>
      <c r="E393" s="80">
        <f>HaoPhiVatTu!F$156</f>
        <v>0.52890000000000004</v>
      </c>
      <c r="F393" s="15">
        <f>ROUND('Tổng hợp VT'!O$15,1)</f>
        <v>480000</v>
      </c>
      <c r="G393" s="81">
        <f>'Giá tháng'!G$10</f>
        <v>1</v>
      </c>
      <c r="H393" s="15">
        <f>ROUND(E393*F393*G393,1)</f>
        <v>253872</v>
      </c>
    </row>
    <row r="394" spans="1:8" ht="16.5" customHeight="1">
      <c r="A394" s="127"/>
      <c r="B394" s="13" t="str">
        <f>'Giá tháng'!B$15</f>
        <v>A24.0008</v>
      </c>
      <c r="C394" s="14" t="str">
        <f>'Giá tháng'!C$15</f>
        <v>Đá 1x2</v>
      </c>
      <c r="D394" s="13" t="str">
        <f>'Giá tháng'!D$15</f>
        <v>m3</v>
      </c>
      <c r="E394" s="80">
        <f>HaoPhiVatTu!F$157</f>
        <v>0.87124999999999997</v>
      </c>
      <c r="F394" s="15">
        <f>ROUND('Tổng hợp VT'!O$20,1)</f>
        <v>340000</v>
      </c>
      <c r="G394" s="81">
        <f>'Giá tháng'!G$15</f>
        <v>1</v>
      </c>
      <c r="H394" s="15">
        <f>ROUND(E394*F394*G394,1)</f>
        <v>296225</v>
      </c>
    </row>
    <row r="395" spans="1:8" ht="16.5" customHeight="1">
      <c r="A395" s="127"/>
      <c r="B395" s="13" t="str">
        <f>'Giá tháng'!B$32</f>
        <v>A24.0524</v>
      </c>
      <c r="C395" s="14" t="str">
        <f>'Giá tháng'!C$32</f>
        <v>Nước</v>
      </c>
      <c r="D395" s="13" t="str">
        <f>'Giá tháng'!D$32</f>
        <v>lít</v>
      </c>
      <c r="E395" s="80">
        <f>HaoPhiVatTu!F$158</f>
        <v>187.57499999999999</v>
      </c>
      <c r="F395" s="15">
        <f>ROUND('Tổng hợp VT'!O$37,1)</f>
        <v>20</v>
      </c>
      <c r="G395" s="81">
        <f>'Giá tháng'!G$32</f>
        <v>1</v>
      </c>
      <c r="H395" s="15">
        <f>ROUND(E395*F395*G395,1)</f>
        <v>3751.5</v>
      </c>
    </row>
    <row r="396" spans="1:8" ht="16.5" customHeight="1">
      <c r="A396" s="127"/>
      <c r="B396" s="13" t="s">
        <v>684</v>
      </c>
      <c r="C396" s="14" t="s">
        <v>685</v>
      </c>
      <c r="D396" s="13" t="s">
        <v>682</v>
      </c>
      <c r="E396" s="80">
        <f>HaoPhiVatTu!F$159</f>
        <v>1</v>
      </c>
      <c r="F396" s="15">
        <f>ROUND(SUM(H392:H395),1)</f>
        <v>1030508.4</v>
      </c>
      <c r="G396" s="81"/>
      <c r="H396" s="15">
        <f>ROUND(E396*F396/100,1)</f>
        <v>10305.1</v>
      </c>
    </row>
    <row r="397" spans="1:8" ht="16.5" customHeight="1">
      <c r="A397" s="127"/>
      <c r="B397" s="13"/>
      <c r="C397" s="14" t="s">
        <v>776</v>
      </c>
      <c r="D397" s="13"/>
      <c r="E397" s="80"/>
      <c r="F397" s="15"/>
      <c r="G397" s="81"/>
      <c r="H397" s="15">
        <f>ROUND(SUM(H392:H396),1)</f>
        <v>1040813.5</v>
      </c>
    </row>
    <row r="398" spans="1:8" ht="16.5" customHeight="1">
      <c r="A398" s="131"/>
      <c r="B398" s="91"/>
      <c r="C398" s="90" t="s">
        <v>678</v>
      </c>
      <c r="D398" s="91"/>
      <c r="E398" s="93"/>
      <c r="F398" s="132"/>
      <c r="G398" s="94"/>
      <c r="H398" s="132">
        <f>ROUND(H399,1)</f>
        <v>294698.2</v>
      </c>
    </row>
    <row r="399" spans="1:8" ht="16.5" customHeight="1">
      <c r="A399" s="127"/>
      <c r="B399" s="13" t="str">
        <f>'Giá tháng'!B$49</f>
        <v>N2.30</v>
      </c>
      <c r="C399" s="14" t="str">
        <f>'Giá tháng'!C$49</f>
        <v>Nhân công 3,0/7 - Nhóm 2</v>
      </c>
      <c r="D399" s="13" t="str">
        <f>'Giá tháng'!D$49</f>
        <v>công</v>
      </c>
      <c r="E399" s="80">
        <f>HaoPhiVatTu!G$161</f>
        <v>1.23</v>
      </c>
      <c r="F399" s="15">
        <f>ROUND('Tổng hợp VT'!O$57,1)</f>
        <v>239592</v>
      </c>
      <c r="G399" s="81">
        <f>'Giá tháng'!G$49</f>
        <v>1</v>
      </c>
      <c r="H399" s="15">
        <f>ROUND(E399*F399*G399,1)</f>
        <v>294698.2</v>
      </c>
    </row>
    <row r="400" spans="1:8" ht="16.5" customHeight="1">
      <c r="A400" s="131"/>
      <c r="B400" s="91"/>
      <c r="C400" s="90" t="s">
        <v>679</v>
      </c>
      <c r="D400" s="91"/>
      <c r="E400" s="93"/>
      <c r="F400" s="132"/>
      <c r="G400" s="94"/>
      <c r="H400" s="132">
        <f>ROUND(H403,1)</f>
        <v>54795.9</v>
      </c>
    </row>
    <row r="401" spans="1:8" ht="27.75" customHeight="1">
      <c r="A401" s="127"/>
      <c r="B401" s="13" t="str">
        <f>'Giá tháng'!B$74</f>
        <v>M104.0102</v>
      </c>
      <c r="C401" s="14" t="str">
        <f>'Giá tháng'!C$74</f>
        <v>Máy trộn bê tông - dung tích : 250,0 lít</v>
      </c>
      <c r="D401" s="13" t="str">
        <f>'Giá tháng'!D$74</f>
        <v>ca</v>
      </c>
      <c r="E401" s="80">
        <f>HaoPhiVatTu!H$163</f>
        <v>9.5000000000000001E-2</v>
      </c>
      <c r="F401" s="15">
        <f>ROUND('Tổng hợp VT'!O$83,1)</f>
        <v>318734</v>
      </c>
      <c r="G401" s="81">
        <f>'Giá tháng'!G$74</f>
        <v>1</v>
      </c>
      <c r="H401" s="15">
        <f>ROUND(E401*F401*G401,1)</f>
        <v>30279.7</v>
      </c>
    </row>
    <row r="402" spans="1:8" ht="27.75" customHeight="1">
      <c r="A402" s="127"/>
      <c r="B402" s="13" t="str">
        <f>'Giá tháng'!B$62</f>
        <v>M112.1301</v>
      </c>
      <c r="C402" s="14" t="str">
        <f>'Giá tháng'!C$62</f>
        <v>Máy đầm bê tông, dầm dùi - công suất : 1,5 kW</v>
      </c>
      <c r="D402" s="13" t="str">
        <f>'Giá tháng'!D$62</f>
        <v>ca</v>
      </c>
      <c r="E402" s="80">
        <f>HaoPhiVatTu!H$164</f>
        <v>8.8999999999999996E-2</v>
      </c>
      <c r="F402" s="15">
        <f>ROUND('Tổng hợp VT'!O$71,1)</f>
        <v>275463</v>
      </c>
      <c r="G402" s="81">
        <f>'Giá tháng'!G$62</f>
        <v>1</v>
      </c>
      <c r="H402" s="15">
        <f>ROUND(E402*F402*G402,1)</f>
        <v>24516.2</v>
      </c>
    </row>
    <row r="403" spans="1:8" ht="16.5" customHeight="1">
      <c r="A403" s="127"/>
      <c r="B403" s="13"/>
      <c r="C403" s="14" t="s">
        <v>776</v>
      </c>
      <c r="D403" s="13"/>
      <c r="E403" s="19"/>
      <c r="F403" s="15"/>
      <c r="G403" s="18"/>
      <c r="H403" s="15">
        <f>ROUND(SUM(H401:H402),1)</f>
        <v>54795.9</v>
      </c>
    </row>
    <row r="404" spans="1:8" ht="27.75" customHeight="1">
      <c r="A404" s="238"/>
      <c r="B404" s="159"/>
      <c r="C404" s="158" t="s">
        <v>1085</v>
      </c>
      <c r="D404" s="159" t="s">
        <v>810</v>
      </c>
      <c r="E404" s="239"/>
      <c r="F404" s="162"/>
      <c r="G404" s="240"/>
      <c r="H404" s="162">
        <f>ROUND(H391+H398+H400,1)</f>
        <v>1390307.6</v>
      </c>
    </row>
    <row r="405" spans="1:8" ht="16.5" customHeight="1">
      <c r="A405" s="241"/>
      <c r="B405" s="147"/>
      <c r="C405" s="146" t="s">
        <v>812</v>
      </c>
      <c r="D405" s="147" t="str">
        <f>""</f>
        <v/>
      </c>
      <c r="E405" s="242"/>
      <c r="F405" s="150"/>
      <c r="G405" s="149"/>
      <c r="H405" s="150"/>
    </row>
    <row r="406" spans="1:8" ht="16.5" customHeight="1">
      <c r="A406" s="241"/>
      <c r="B406" s="147"/>
      <c r="C406" s="146" t="str">
        <f>"Chi phí chung ( T x "&amp;HSXL!C$14&amp;" )"</f>
        <v>Chi phí chung ( T x 6,2% )</v>
      </c>
      <c r="D406" s="147" t="s">
        <v>807</v>
      </c>
      <c r="E406" s="242" t="str">
        <f>HSXL!C$14</f>
        <v>6,2%</v>
      </c>
      <c r="F406" s="150"/>
      <c r="G406" s="149"/>
      <c r="H406" s="150">
        <f>ROUND(H404*HSXL!D$14,1)</f>
        <v>86199.1</v>
      </c>
    </row>
    <row r="407" spans="1:8" ht="27.75" customHeight="1">
      <c r="A407" s="241"/>
      <c r="B407" s="147"/>
      <c r="C407" s="146" t="str">
        <f>"Chi phí nhà tạm để ở và điều hành thi công ( T x "&amp;HSXL!C$18&amp;" )"</f>
        <v>Chi phí nhà tạm để ở và điều hành thi công ( T x 2,2% )</v>
      </c>
      <c r="D407" s="147" t="s">
        <v>815</v>
      </c>
      <c r="E407" s="242" t="str">
        <f>HSXL!C$18</f>
        <v>2,2%</v>
      </c>
      <c r="F407" s="150"/>
      <c r="G407" s="149"/>
      <c r="H407" s="150">
        <f>ROUND(H404*HSXL!D$18,1)</f>
        <v>30586.799999999999</v>
      </c>
    </row>
    <row r="408" spans="1:8" ht="39.75" customHeight="1">
      <c r="A408" s="241"/>
      <c r="B408" s="147"/>
      <c r="C408" s="146" t="str">
        <f>"Chi phí một số công việc không xác định được khối lượng từ thiết kế ( T x "&amp;HSXL!C$13&amp;" )"</f>
        <v>Chi phí một số công việc không xác định được khối lượng từ thiết kế ( T x 2% )</v>
      </c>
      <c r="D408" s="147" t="s">
        <v>61</v>
      </c>
      <c r="E408" s="242" t="str">
        <f>HSXL!C$13</f>
        <v>2%</v>
      </c>
      <c r="F408" s="150"/>
      <c r="G408" s="149"/>
      <c r="H408" s="150">
        <f>ROUND(H404*HSXL!D$13,1)</f>
        <v>27806.2</v>
      </c>
    </row>
    <row r="409" spans="1:8" ht="27.75" customHeight="1">
      <c r="A409" s="238"/>
      <c r="B409" s="159"/>
      <c r="C409" s="158" t="s">
        <v>1086</v>
      </c>
      <c r="D409" s="159" t="s">
        <v>818</v>
      </c>
      <c r="E409" s="239"/>
      <c r="F409" s="162"/>
      <c r="G409" s="240"/>
      <c r="H409" s="162">
        <f>ROUND(SUM(H406:H408),1)</f>
        <v>144592.1</v>
      </c>
    </row>
    <row r="410" spans="1:8" ht="27.75" customHeight="1">
      <c r="A410" s="241"/>
      <c r="B410" s="147"/>
      <c r="C410" s="146" t="str">
        <f>"THU NHẬP CHỊU THUẾ TÍNH TRƯỚC (T+GT) x "&amp;HSXL!C$16</f>
        <v>THU NHẬP CHỊU THUẾ TÍNH TRƯỚC (T+GT) x 6%</v>
      </c>
      <c r="D410" s="147" t="s">
        <v>821</v>
      </c>
      <c r="E410" s="242" t="str">
        <f>HSXL!C$16</f>
        <v>6%</v>
      </c>
      <c r="F410" s="150"/>
      <c r="G410" s="149"/>
      <c r="H410" s="150">
        <f>ROUND((H404+H409)*HSXL!D$16,1)</f>
        <v>92094</v>
      </c>
    </row>
    <row r="411" spans="1:8" ht="27.75" customHeight="1">
      <c r="A411" s="241"/>
      <c r="B411" s="147"/>
      <c r="C411" s="146" t="s">
        <v>1087</v>
      </c>
      <c r="D411" s="147" t="s">
        <v>823</v>
      </c>
      <c r="E411" s="242"/>
      <c r="F411" s="150"/>
      <c r="G411" s="149"/>
      <c r="H411" s="150">
        <f>ROUND(H404+H409+H410,0)</f>
        <v>1626994</v>
      </c>
    </row>
    <row r="412" spans="1:8" ht="27.75" customHeight="1">
      <c r="A412" s="241"/>
      <c r="B412" s="147"/>
      <c r="C412" s="146" t="str">
        <f>"THUẾ GIÁ TRỊ GIA TĂNG ( G x "&amp;HSXL!C$17&amp;" )"</f>
        <v>THUẾ GIÁ TRỊ GIA TĂNG ( G x 10% )</v>
      </c>
      <c r="D412" s="147" t="s">
        <v>827</v>
      </c>
      <c r="E412" s="164">
        <f>HSXL!D$17</f>
        <v>0.1</v>
      </c>
      <c r="F412" s="150"/>
      <c r="G412" s="149"/>
      <c r="H412" s="150">
        <f>ROUND(E412*H411,1)</f>
        <v>162699.4</v>
      </c>
    </row>
    <row r="413" spans="1:8" ht="27.75" customHeight="1">
      <c r="A413" s="243"/>
      <c r="B413" s="244"/>
      <c r="C413" s="245" t="s">
        <v>1088</v>
      </c>
      <c r="D413" s="244" t="s">
        <v>830</v>
      </c>
      <c r="E413" s="246"/>
      <c r="F413" s="247"/>
      <c r="G413" s="248"/>
      <c r="H413" s="249">
        <f>ROUND(H411+H412,0)</f>
        <v>1789693</v>
      </c>
    </row>
    <row r="414" spans="1:8" ht="27.75" customHeight="1">
      <c r="A414" s="128">
        <f>'Công trình'!A60</f>
        <v>7</v>
      </c>
      <c r="B414" s="129" t="str">
        <f>'Công trình'!E60</f>
        <v>AE.26213A</v>
      </c>
      <c r="C414" s="130" t="str">
        <f>'Công trình'!F60</f>
        <v>Xây gạch không nung ga VXM M75, dày 22cm</v>
      </c>
      <c r="D414" s="129" t="str">
        <f>'Công trình'!G60</f>
        <v>m3</v>
      </c>
      <c r="E414" s="237">
        <v>1</v>
      </c>
      <c r="F414" s="69"/>
      <c r="G414" s="68"/>
      <c r="H414" s="69"/>
    </row>
    <row r="415" spans="1:8" ht="16.5" customHeight="1">
      <c r="A415" s="131"/>
      <c r="B415" s="91"/>
      <c r="C415" s="90" t="s">
        <v>683</v>
      </c>
      <c r="D415" s="91"/>
      <c r="E415" s="93"/>
      <c r="F415" s="132"/>
      <c r="G415" s="94"/>
      <c r="H415" s="132">
        <f>ROUND(H421,1)</f>
        <v>1079493.5</v>
      </c>
    </row>
    <row r="416" spans="1:8" ht="27.75" customHeight="1">
      <c r="A416" s="127"/>
      <c r="B416" s="13" t="str">
        <f>'Giá tháng'!B$20</f>
        <v>A24.0383A</v>
      </c>
      <c r="C416" s="14" t="str">
        <f>'Giá tháng'!C$20</f>
        <v>Gạch không nung 6,5x10,5x22</v>
      </c>
      <c r="D416" s="13" t="str">
        <f>'Giá tháng'!D$20</f>
        <v>viên</v>
      </c>
      <c r="E416" s="80">
        <f>HaoPhiVatTu!F$167</f>
        <v>550</v>
      </c>
      <c r="F416" s="15">
        <f>ROUND('Tổng hợp VT'!O$25,1)</f>
        <v>1250</v>
      </c>
      <c r="G416" s="81">
        <f>'Giá tháng'!G$20</f>
        <v>1</v>
      </c>
      <c r="H416" s="15">
        <f>ROUND(E416*F416*G416,1)</f>
        <v>687500</v>
      </c>
    </row>
    <row r="417" spans="1:8" ht="27.75" customHeight="1">
      <c r="A417" s="127"/>
      <c r="B417" s="13" t="str">
        <f>'Giá tháng'!B$45</f>
        <v>A24.0797A</v>
      </c>
      <c r="C417" s="14" t="str">
        <f>'Giá tháng'!C$45</f>
        <v>Xi măng PCB30</v>
      </c>
      <c r="D417" s="13" t="str">
        <f>'Giá tháng'!D$45</f>
        <v>kg</v>
      </c>
      <c r="E417" s="80">
        <f>HaoPhiVatTu!F$168</f>
        <v>111.54</v>
      </c>
      <c r="F417" s="15">
        <f>ROUND('Tổng hợp VT'!O$49,1)</f>
        <v>1481</v>
      </c>
      <c r="G417" s="81">
        <f>'Giá tháng'!G$45</f>
        <v>1</v>
      </c>
      <c r="H417" s="15">
        <f>ROUND(E417*F417*G417,1)</f>
        <v>165190.70000000001</v>
      </c>
    </row>
    <row r="418" spans="1:8" ht="16.5" customHeight="1">
      <c r="A418" s="127"/>
      <c r="B418" s="13" t="str">
        <f>'Giá tháng'!B$9</f>
        <v>A24.0176</v>
      </c>
      <c r="C418" s="14" t="str">
        <f>'Giá tháng'!C$9</f>
        <v>Cát mịn ML=1,5-2,0</v>
      </c>
      <c r="D418" s="13" t="str">
        <f>'Giá tháng'!D$9</f>
        <v>m3</v>
      </c>
      <c r="E418" s="80">
        <f>HaoPhiVatTu!F$169</f>
        <v>0.37917000000000001</v>
      </c>
      <c r="F418" s="15">
        <f>ROUND('Tổng hợp VT'!O$14,1)</f>
        <v>445000</v>
      </c>
      <c r="G418" s="81">
        <f>'Giá tháng'!G$9</f>
        <v>1</v>
      </c>
      <c r="H418" s="15">
        <f>ROUND(E418*F418*G418,1)</f>
        <v>168730.7</v>
      </c>
    </row>
    <row r="419" spans="1:8" ht="16.5" customHeight="1">
      <c r="A419" s="127"/>
      <c r="B419" s="13" t="str">
        <f>'Giá tháng'!B$32</f>
        <v>A24.0524</v>
      </c>
      <c r="C419" s="14" t="str">
        <f>'Giá tháng'!C$32</f>
        <v>Nước</v>
      </c>
      <c r="D419" s="13" t="str">
        <f>'Giá tháng'!D$32</f>
        <v>lít</v>
      </c>
      <c r="E419" s="80">
        <f>HaoPhiVatTu!F$170</f>
        <v>89.76</v>
      </c>
      <c r="F419" s="15">
        <f>ROUND('Tổng hợp VT'!O$37,1)</f>
        <v>20</v>
      </c>
      <c r="G419" s="81">
        <f>'Giá tháng'!G$32</f>
        <v>1</v>
      </c>
      <c r="H419" s="15">
        <f>ROUND(E419*F419*G419,1)</f>
        <v>1795.2</v>
      </c>
    </row>
    <row r="420" spans="1:8" ht="16.5" customHeight="1">
      <c r="A420" s="127"/>
      <c r="B420" s="13" t="s">
        <v>684</v>
      </c>
      <c r="C420" s="14" t="s">
        <v>685</v>
      </c>
      <c r="D420" s="13" t="s">
        <v>682</v>
      </c>
      <c r="E420" s="80">
        <f>HaoPhiVatTu!F$171</f>
        <v>5.5</v>
      </c>
      <c r="F420" s="15">
        <f>ROUND(SUM(H416:H419),1)</f>
        <v>1023216.6</v>
      </c>
      <c r="G420" s="81"/>
      <c r="H420" s="15">
        <f>ROUND(E420*F420/100,1)</f>
        <v>56276.9</v>
      </c>
    </row>
    <row r="421" spans="1:8" ht="16.5" customHeight="1">
      <c r="A421" s="127"/>
      <c r="B421" s="13"/>
      <c r="C421" s="14" t="s">
        <v>776</v>
      </c>
      <c r="D421" s="13"/>
      <c r="E421" s="80"/>
      <c r="F421" s="15"/>
      <c r="G421" s="81"/>
      <c r="H421" s="15">
        <f>ROUND(SUM(H416:H420),1)</f>
        <v>1079493.5</v>
      </c>
    </row>
    <row r="422" spans="1:8" ht="16.5" customHeight="1">
      <c r="A422" s="131"/>
      <c r="B422" s="91"/>
      <c r="C422" s="90" t="s">
        <v>678</v>
      </c>
      <c r="D422" s="91"/>
      <c r="E422" s="93"/>
      <c r="F422" s="132"/>
      <c r="G422" s="94"/>
      <c r="H422" s="132">
        <f>ROUND(H423,1)</f>
        <v>838400</v>
      </c>
    </row>
    <row r="423" spans="1:8" ht="16.5" customHeight="1">
      <c r="A423" s="127"/>
      <c r="B423" s="13" t="str">
        <f>'Giá tháng'!B$51</f>
        <v>N2.35</v>
      </c>
      <c r="C423" s="14" t="str">
        <f>'Giá tháng'!C$51</f>
        <v>Nhân công 3,5/7 - Nhóm 2</v>
      </c>
      <c r="D423" s="13" t="str">
        <f>'Giá tháng'!D$51</f>
        <v>công</v>
      </c>
      <c r="E423" s="80">
        <f>HaoPhiVatTu!G$173</f>
        <v>3.2</v>
      </c>
      <c r="F423" s="15">
        <f>ROUND('Tổng hợp VT'!O$59,1)</f>
        <v>262000</v>
      </c>
      <c r="G423" s="81">
        <f>'Giá tháng'!G$51</f>
        <v>1</v>
      </c>
      <c r="H423" s="15">
        <f>ROUND(E423*F423*G423,1)</f>
        <v>838400</v>
      </c>
    </row>
    <row r="424" spans="1:8" ht="16.5" customHeight="1">
      <c r="A424" s="131"/>
      <c r="B424" s="91"/>
      <c r="C424" s="90" t="s">
        <v>679</v>
      </c>
      <c r="D424" s="91"/>
      <c r="E424" s="93"/>
      <c r="F424" s="132"/>
      <c r="G424" s="94"/>
      <c r="H424" s="132">
        <f>ROUND(H425,1)</f>
        <v>11441.1</v>
      </c>
    </row>
    <row r="425" spans="1:8" ht="27.75" customHeight="1">
      <c r="A425" s="127"/>
      <c r="B425" s="13" t="str">
        <f>'Giá tháng'!B$75</f>
        <v>M104.0202</v>
      </c>
      <c r="C425" s="14" t="str">
        <f>'Giá tháng'!C$75</f>
        <v>Máy trộn vữa 150 lít</v>
      </c>
      <c r="D425" s="13" t="str">
        <f>'Giá tháng'!D$75</f>
        <v>ca</v>
      </c>
      <c r="E425" s="80">
        <f>HaoPhiVatTu!H$175</f>
        <v>3.9E-2</v>
      </c>
      <c r="F425" s="15">
        <f>ROUND('Tổng hợp VT'!O$84,1)</f>
        <v>293362</v>
      </c>
      <c r="G425" s="81">
        <f>'Giá tháng'!G$75</f>
        <v>1</v>
      </c>
      <c r="H425" s="15">
        <f>ROUND(E425*F425*G425,1)</f>
        <v>11441.1</v>
      </c>
    </row>
    <row r="426" spans="1:8" ht="27.75" customHeight="1">
      <c r="A426" s="238"/>
      <c r="B426" s="159"/>
      <c r="C426" s="158" t="s">
        <v>1085</v>
      </c>
      <c r="D426" s="159" t="s">
        <v>810</v>
      </c>
      <c r="E426" s="239"/>
      <c r="F426" s="162"/>
      <c r="G426" s="240"/>
      <c r="H426" s="162">
        <f>ROUND(H415+H422+H424,1)</f>
        <v>1929334.6</v>
      </c>
    </row>
    <row r="427" spans="1:8" ht="16.5" customHeight="1">
      <c r="A427" s="241"/>
      <c r="B427" s="147"/>
      <c r="C427" s="146" t="s">
        <v>812</v>
      </c>
      <c r="D427" s="147" t="str">
        <f>""</f>
        <v/>
      </c>
      <c r="E427" s="242"/>
      <c r="F427" s="150"/>
      <c r="G427" s="149"/>
      <c r="H427" s="150"/>
    </row>
    <row r="428" spans="1:8" ht="16.5" customHeight="1">
      <c r="A428" s="241"/>
      <c r="B428" s="147"/>
      <c r="C428" s="146" t="str">
        <f>"Chi phí chung ( T x "&amp;HSXL!C$14&amp;" )"</f>
        <v>Chi phí chung ( T x 6,2% )</v>
      </c>
      <c r="D428" s="147" t="s">
        <v>807</v>
      </c>
      <c r="E428" s="242" t="str">
        <f>HSXL!C$14</f>
        <v>6,2%</v>
      </c>
      <c r="F428" s="150"/>
      <c r="G428" s="149"/>
      <c r="H428" s="150">
        <f>ROUND(H426*HSXL!D$14,1)</f>
        <v>119618.7</v>
      </c>
    </row>
    <row r="429" spans="1:8" ht="27.75" customHeight="1">
      <c r="A429" s="241"/>
      <c r="B429" s="147"/>
      <c r="C429" s="146" t="str">
        <f>"Chi phí nhà tạm để ở và điều hành thi công ( T x "&amp;HSXL!C$18&amp;" )"</f>
        <v>Chi phí nhà tạm để ở và điều hành thi công ( T x 2,2% )</v>
      </c>
      <c r="D429" s="147" t="s">
        <v>815</v>
      </c>
      <c r="E429" s="242" t="str">
        <f>HSXL!C$18</f>
        <v>2,2%</v>
      </c>
      <c r="F429" s="150"/>
      <c r="G429" s="149"/>
      <c r="H429" s="150">
        <f>ROUND(H426*HSXL!D$18,1)</f>
        <v>42445.4</v>
      </c>
    </row>
    <row r="430" spans="1:8" ht="39.75" customHeight="1">
      <c r="A430" s="241"/>
      <c r="B430" s="147"/>
      <c r="C430" s="146" t="str">
        <f>"Chi phí một số công việc không xác định được khối lượng từ thiết kế ( T x "&amp;HSXL!C$13&amp;" )"</f>
        <v>Chi phí một số công việc không xác định được khối lượng từ thiết kế ( T x 2% )</v>
      </c>
      <c r="D430" s="147" t="s">
        <v>61</v>
      </c>
      <c r="E430" s="242" t="str">
        <f>HSXL!C$13</f>
        <v>2%</v>
      </c>
      <c r="F430" s="150"/>
      <c r="G430" s="149"/>
      <c r="H430" s="150">
        <f>ROUND(H426*HSXL!D$13,1)</f>
        <v>38586.699999999997</v>
      </c>
    </row>
    <row r="431" spans="1:8" ht="27.75" customHeight="1">
      <c r="A431" s="238"/>
      <c r="B431" s="159"/>
      <c r="C431" s="158" t="s">
        <v>1086</v>
      </c>
      <c r="D431" s="159" t="s">
        <v>818</v>
      </c>
      <c r="E431" s="239"/>
      <c r="F431" s="162"/>
      <c r="G431" s="240"/>
      <c r="H431" s="162">
        <f>ROUND(SUM(H428:H430),1)</f>
        <v>200650.8</v>
      </c>
    </row>
    <row r="432" spans="1:8" ht="27.75" customHeight="1">
      <c r="A432" s="241"/>
      <c r="B432" s="147"/>
      <c r="C432" s="146" t="str">
        <f>"THU NHẬP CHỊU THUẾ TÍNH TRƯỚC (T+GT) x "&amp;HSXL!C$16</f>
        <v>THU NHẬP CHỊU THUẾ TÍNH TRƯỚC (T+GT) x 6%</v>
      </c>
      <c r="D432" s="147" t="s">
        <v>821</v>
      </c>
      <c r="E432" s="242" t="str">
        <f>HSXL!C$16</f>
        <v>6%</v>
      </c>
      <c r="F432" s="150"/>
      <c r="G432" s="149"/>
      <c r="H432" s="150">
        <f>ROUND((H426+H431)*HSXL!D$16,1)</f>
        <v>127799.1</v>
      </c>
    </row>
    <row r="433" spans="1:8" ht="27.75" customHeight="1">
      <c r="A433" s="241"/>
      <c r="B433" s="147"/>
      <c r="C433" s="146" t="s">
        <v>1087</v>
      </c>
      <c r="D433" s="147" t="s">
        <v>823</v>
      </c>
      <c r="E433" s="242"/>
      <c r="F433" s="150"/>
      <c r="G433" s="149"/>
      <c r="H433" s="150">
        <f>ROUND(H426+H431+H432,0)</f>
        <v>2257785</v>
      </c>
    </row>
    <row r="434" spans="1:8" ht="27.75" customHeight="1">
      <c r="A434" s="241"/>
      <c r="B434" s="147"/>
      <c r="C434" s="146" t="str">
        <f>"THUẾ GIÁ TRỊ GIA TĂNG ( G x "&amp;HSXL!C$17&amp;" )"</f>
        <v>THUẾ GIÁ TRỊ GIA TĂNG ( G x 10% )</v>
      </c>
      <c r="D434" s="147" t="s">
        <v>827</v>
      </c>
      <c r="E434" s="164">
        <f>HSXL!D$17</f>
        <v>0.1</v>
      </c>
      <c r="F434" s="150"/>
      <c r="G434" s="149"/>
      <c r="H434" s="150">
        <f>ROUND(E434*H433,1)</f>
        <v>225778.5</v>
      </c>
    </row>
    <row r="435" spans="1:8" ht="27.75" customHeight="1">
      <c r="A435" s="243"/>
      <c r="B435" s="244"/>
      <c r="C435" s="245" t="s">
        <v>1088</v>
      </c>
      <c r="D435" s="244" t="s">
        <v>830</v>
      </c>
      <c r="E435" s="246"/>
      <c r="F435" s="247"/>
      <c r="G435" s="248"/>
      <c r="H435" s="249">
        <f>ROUND(H433+H434,0)</f>
        <v>2483564</v>
      </c>
    </row>
    <row r="436" spans="1:8" ht="53.25" customHeight="1">
      <c r="A436" s="128">
        <f>'Công trình'!A62</f>
        <v>8</v>
      </c>
      <c r="B436" s="129" t="str">
        <f>'Công trình'!E62</f>
        <v>AK.21533</v>
      </c>
      <c r="C436" s="130" t="str">
        <f>'Công trình'!F62</f>
        <v>Trát tường xây gạch không nung bằng vữa thông thường, trát tường ga, chiều dày trát 2cm, vữa XM mác 75</v>
      </c>
      <c r="D436" s="129" t="str">
        <f>'Công trình'!G62</f>
        <v>m2</v>
      </c>
      <c r="E436" s="237">
        <v>1</v>
      </c>
      <c r="F436" s="69"/>
      <c r="G436" s="68"/>
      <c r="H436" s="69"/>
    </row>
    <row r="437" spans="1:8" ht="16.5" customHeight="1">
      <c r="A437" s="131"/>
      <c r="B437" s="91"/>
      <c r="C437" s="90" t="s">
        <v>683</v>
      </c>
      <c r="D437" s="91"/>
      <c r="E437" s="93"/>
      <c r="F437" s="132"/>
      <c r="G437" s="94"/>
      <c r="H437" s="132">
        <f>ROUND(H442,1)</f>
        <v>21521.3</v>
      </c>
    </row>
    <row r="438" spans="1:8" ht="27.75" customHeight="1">
      <c r="A438" s="127"/>
      <c r="B438" s="13" t="str">
        <f>'Giá tháng'!B$46</f>
        <v>A24.0796A</v>
      </c>
      <c r="C438" s="14" t="str">
        <f>'Giá tháng'!C$46</f>
        <v>Xi măng PCB40</v>
      </c>
      <c r="D438" s="13" t="str">
        <f>'Giá tháng'!D$46</f>
        <v>kg</v>
      </c>
      <c r="E438" s="80">
        <f>HaoPhiVatTu!F$178</f>
        <v>6.0720000000000001</v>
      </c>
      <c r="F438" s="15">
        <f>ROUND('Tổng hợp VT'!O$50,1)</f>
        <v>1500</v>
      </c>
      <c r="G438" s="81">
        <f>'Giá tháng'!G$46</f>
        <v>1</v>
      </c>
      <c r="H438" s="15">
        <f>ROUND(E438*F438*G438,1)</f>
        <v>9108</v>
      </c>
    </row>
    <row r="439" spans="1:8" ht="16.5" customHeight="1">
      <c r="A439" s="127"/>
      <c r="B439" s="13" t="str">
        <f>'Giá tháng'!B$9</f>
        <v>A24.0176</v>
      </c>
      <c r="C439" s="14" t="str">
        <f>'Giá tháng'!C$9</f>
        <v>Cát mịn ML=1,5-2,0</v>
      </c>
      <c r="D439" s="13" t="str">
        <f>'Giá tháng'!D$9</f>
        <v>m3</v>
      </c>
      <c r="E439" s="80">
        <f>HaoPhiVatTu!F$179</f>
        <v>2.7369999999999998E-2</v>
      </c>
      <c r="F439" s="15">
        <f>ROUND('Tổng hợp VT'!O$14,1)</f>
        <v>445000</v>
      </c>
      <c r="G439" s="81">
        <f>'Giá tháng'!G$9</f>
        <v>1</v>
      </c>
      <c r="H439" s="15">
        <f>ROUND(E439*F439*G439,1)</f>
        <v>12179.7</v>
      </c>
    </row>
    <row r="440" spans="1:8" ht="16.5" customHeight="1">
      <c r="A440" s="127"/>
      <c r="B440" s="13" t="str">
        <f>'Giá tháng'!B$32</f>
        <v>A24.0524</v>
      </c>
      <c r="C440" s="14" t="str">
        <f>'Giá tháng'!C$32</f>
        <v>Nước</v>
      </c>
      <c r="D440" s="13" t="str">
        <f>'Giá tháng'!D$32</f>
        <v>lít</v>
      </c>
      <c r="E440" s="80">
        <f>HaoPhiVatTu!F$180</f>
        <v>6.3250000000000002</v>
      </c>
      <c r="F440" s="15">
        <f>ROUND('Tổng hợp VT'!O$37,1)</f>
        <v>20</v>
      </c>
      <c r="G440" s="81">
        <f>'Giá tháng'!G$32</f>
        <v>1</v>
      </c>
      <c r="H440" s="15">
        <f>ROUND(E440*F440*G440,1)</f>
        <v>126.5</v>
      </c>
    </row>
    <row r="441" spans="1:8" ht="16.5" customHeight="1">
      <c r="A441" s="127"/>
      <c r="B441" s="13" t="s">
        <v>684</v>
      </c>
      <c r="C441" s="14" t="s">
        <v>685</v>
      </c>
      <c r="D441" s="13" t="s">
        <v>682</v>
      </c>
      <c r="E441" s="80">
        <f>HaoPhiVatTu!F$181</f>
        <v>0.5</v>
      </c>
      <c r="F441" s="15">
        <f>ROUND(SUM(H438:H440),1)</f>
        <v>21414.2</v>
      </c>
      <c r="G441" s="81"/>
      <c r="H441" s="15">
        <f>ROUND(E441*F441/100,1)</f>
        <v>107.1</v>
      </c>
    </row>
    <row r="442" spans="1:8" ht="16.5" customHeight="1">
      <c r="A442" s="127"/>
      <c r="B442" s="13"/>
      <c r="C442" s="14" t="s">
        <v>776</v>
      </c>
      <c r="D442" s="13"/>
      <c r="E442" s="80"/>
      <c r="F442" s="15"/>
      <c r="G442" s="81"/>
      <c r="H442" s="15">
        <f>ROUND(SUM(H438:H441),1)</f>
        <v>21521.3</v>
      </c>
    </row>
    <row r="443" spans="1:8" ht="16.5" customHeight="1">
      <c r="A443" s="131"/>
      <c r="B443" s="91"/>
      <c r="C443" s="90" t="s">
        <v>678</v>
      </c>
      <c r="D443" s="91"/>
      <c r="E443" s="93"/>
      <c r="F443" s="132"/>
      <c r="G443" s="94"/>
      <c r="H443" s="132">
        <f>ROUND(H444,1)</f>
        <v>91700</v>
      </c>
    </row>
    <row r="444" spans="1:8" ht="16.5" customHeight="1">
      <c r="A444" s="127"/>
      <c r="B444" s="13" t="str">
        <f>'Giá tháng'!B$51</f>
        <v>N2.35</v>
      </c>
      <c r="C444" s="14" t="str">
        <f>'Giá tháng'!C$51</f>
        <v>Nhân công 3,5/7 - Nhóm 2</v>
      </c>
      <c r="D444" s="13" t="str">
        <f>'Giá tháng'!D$51</f>
        <v>công</v>
      </c>
      <c r="E444" s="80">
        <f>HaoPhiVatTu!G$183</f>
        <v>0.35</v>
      </c>
      <c r="F444" s="15">
        <f>ROUND('Tổng hợp VT'!O$59,1)</f>
        <v>262000</v>
      </c>
      <c r="G444" s="81">
        <f>'Giá tháng'!G$51</f>
        <v>1</v>
      </c>
      <c r="H444" s="15">
        <f>ROUND(E444*F444*G444,1)</f>
        <v>91700</v>
      </c>
    </row>
    <row r="445" spans="1:8" ht="16.5" customHeight="1">
      <c r="A445" s="131"/>
      <c r="B445" s="91"/>
      <c r="C445" s="90" t="s">
        <v>679</v>
      </c>
      <c r="D445" s="91"/>
      <c r="E445" s="93"/>
      <c r="F445" s="132"/>
      <c r="G445" s="94"/>
      <c r="H445" s="132">
        <f>ROUND(H446,1)</f>
        <v>880.1</v>
      </c>
    </row>
    <row r="446" spans="1:8" ht="27.75" customHeight="1">
      <c r="A446" s="127"/>
      <c r="B446" s="13" t="str">
        <f>'Giá tháng'!B$75</f>
        <v>M104.0202</v>
      </c>
      <c r="C446" s="14" t="str">
        <f>'Giá tháng'!C$75</f>
        <v>Máy trộn vữa 150 lít</v>
      </c>
      <c r="D446" s="13" t="str">
        <f>'Giá tháng'!D$75</f>
        <v>ca</v>
      </c>
      <c r="E446" s="80">
        <f>HaoPhiVatTu!H$185</f>
        <v>3.0000000000000001E-3</v>
      </c>
      <c r="F446" s="15">
        <f>ROUND('Tổng hợp VT'!O$84,1)</f>
        <v>293362</v>
      </c>
      <c r="G446" s="81">
        <f>'Giá tháng'!G$75</f>
        <v>1</v>
      </c>
      <c r="H446" s="15">
        <f>ROUND(E446*F446*G446,1)</f>
        <v>880.1</v>
      </c>
    </row>
    <row r="447" spans="1:8" ht="27.75" customHeight="1">
      <c r="A447" s="238"/>
      <c r="B447" s="159"/>
      <c r="C447" s="158" t="s">
        <v>1085</v>
      </c>
      <c r="D447" s="159" t="s">
        <v>810</v>
      </c>
      <c r="E447" s="239"/>
      <c r="F447" s="162"/>
      <c r="G447" s="240"/>
      <c r="H447" s="162">
        <f>ROUND(H437+H443+H445,1)</f>
        <v>114101.4</v>
      </c>
    </row>
    <row r="448" spans="1:8" ht="16.5" customHeight="1">
      <c r="A448" s="241"/>
      <c r="B448" s="147"/>
      <c r="C448" s="146" t="s">
        <v>812</v>
      </c>
      <c r="D448" s="147" t="str">
        <f>""</f>
        <v/>
      </c>
      <c r="E448" s="242"/>
      <c r="F448" s="150"/>
      <c r="G448" s="149"/>
      <c r="H448" s="150"/>
    </row>
    <row r="449" spans="1:8" ht="16.5" customHeight="1">
      <c r="A449" s="241"/>
      <c r="B449" s="147"/>
      <c r="C449" s="146" t="str">
        <f>"Chi phí chung ( T x "&amp;HSXL!C$14&amp;" )"</f>
        <v>Chi phí chung ( T x 6,2% )</v>
      </c>
      <c r="D449" s="147" t="s">
        <v>807</v>
      </c>
      <c r="E449" s="242" t="str">
        <f>HSXL!C$14</f>
        <v>6,2%</v>
      </c>
      <c r="F449" s="150"/>
      <c r="G449" s="149"/>
      <c r="H449" s="150">
        <f>ROUND(H447*HSXL!D$14,1)</f>
        <v>7074.3</v>
      </c>
    </row>
    <row r="450" spans="1:8" ht="27.75" customHeight="1">
      <c r="A450" s="241"/>
      <c r="B450" s="147"/>
      <c r="C450" s="146" t="str">
        <f>"Chi phí nhà tạm để ở và điều hành thi công ( T x "&amp;HSXL!C$18&amp;" )"</f>
        <v>Chi phí nhà tạm để ở và điều hành thi công ( T x 2,2% )</v>
      </c>
      <c r="D450" s="147" t="s">
        <v>815</v>
      </c>
      <c r="E450" s="242" t="str">
        <f>HSXL!C$18</f>
        <v>2,2%</v>
      </c>
      <c r="F450" s="150"/>
      <c r="G450" s="149"/>
      <c r="H450" s="150">
        <f>ROUND(H447*HSXL!D$18,1)</f>
        <v>2510.1999999999998</v>
      </c>
    </row>
    <row r="451" spans="1:8" ht="39.75" customHeight="1">
      <c r="A451" s="241"/>
      <c r="B451" s="147"/>
      <c r="C451" s="146" t="str">
        <f>"Chi phí một số công việc không xác định được khối lượng từ thiết kế ( T x "&amp;HSXL!C$13&amp;" )"</f>
        <v>Chi phí một số công việc không xác định được khối lượng từ thiết kế ( T x 2% )</v>
      </c>
      <c r="D451" s="147" t="s">
        <v>61</v>
      </c>
      <c r="E451" s="242" t="str">
        <f>HSXL!C$13</f>
        <v>2%</v>
      </c>
      <c r="F451" s="150"/>
      <c r="G451" s="149"/>
      <c r="H451" s="150">
        <f>ROUND(H447*HSXL!D$13,1)</f>
        <v>2282</v>
      </c>
    </row>
    <row r="452" spans="1:8" ht="27.75" customHeight="1">
      <c r="A452" s="238"/>
      <c r="B452" s="159"/>
      <c r="C452" s="158" t="s">
        <v>1086</v>
      </c>
      <c r="D452" s="159" t="s">
        <v>818</v>
      </c>
      <c r="E452" s="239"/>
      <c r="F452" s="162"/>
      <c r="G452" s="240"/>
      <c r="H452" s="162">
        <f>ROUND(SUM(H449:H451),1)</f>
        <v>11866.5</v>
      </c>
    </row>
    <row r="453" spans="1:8" ht="27.75" customHeight="1">
      <c r="A453" s="241"/>
      <c r="B453" s="147"/>
      <c r="C453" s="146" t="str">
        <f>"THU NHẬP CHỊU THUẾ TÍNH TRƯỚC (T+GT) x "&amp;HSXL!C$16</f>
        <v>THU NHẬP CHỊU THUẾ TÍNH TRƯỚC (T+GT) x 6%</v>
      </c>
      <c r="D453" s="147" t="s">
        <v>821</v>
      </c>
      <c r="E453" s="242" t="str">
        <f>HSXL!C$16</f>
        <v>6%</v>
      </c>
      <c r="F453" s="150"/>
      <c r="G453" s="149"/>
      <c r="H453" s="150">
        <f>ROUND((H447+H452)*HSXL!D$16,1)</f>
        <v>7558.1</v>
      </c>
    </row>
    <row r="454" spans="1:8" ht="27.75" customHeight="1">
      <c r="A454" s="241"/>
      <c r="B454" s="147"/>
      <c r="C454" s="146" t="s">
        <v>1087</v>
      </c>
      <c r="D454" s="147" t="s">
        <v>823</v>
      </c>
      <c r="E454" s="242"/>
      <c r="F454" s="150"/>
      <c r="G454" s="149"/>
      <c r="H454" s="150">
        <f>ROUND(H447+H452+H453,0)</f>
        <v>133526</v>
      </c>
    </row>
    <row r="455" spans="1:8" ht="27.75" customHeight="1">
      <c r="A455" s="241"/>
      <c r="B455" s="147"/>
      <c r="C455" s="146" t="str">
        <f>"THUẾ GIÁ TRỊ GIA TĂNG ( G x "&amp;HSXL!C$17&amp;" )"</f>
        <v>THUẾ GIÁ TRỊ GIA TĂNG ( G x 10% )</v>
      </c>
      <c r="D455" s="147" t="s">
        <v>827</v>
      </c>
      <c r="E455" s="164">
        <f>HSXL!D$17</f>
        <v>0.1</v>
      </c>
      <c r="F455" s="150"/>
      <c r="G455" s="149"/>
      <c r="H455" s="150">
        <f>ROUND(E455*H454,1)</f>
        <v>13352.6</v>
      </c>
    </row>
    <row r="456" spans="1:8" ht="27.75" customHeight="1">
      <c r="A456" s="243"/>
      <c r="B456" s="244"/>
      <c r="C456" s="245" t="s">
        <v>1088</v>
      </c>
      <c r="D456" s="244" t="s">
        <v>830</v>
      </c>
      <c r="E456" s="246"/>
      <c r="F456" s="247"/>
      <c r="G456" s="248"/>
      <c r="H456" s="249">
        <f>ROUND(H454+H455,0)</f>
        <v>146879</v>
      </c>
    </row>
    <row r="457" spans="1:8" ht="27.75" customHeight="1">
      <c r="A457" s="128">
        <f>'Công trình'!A64</f>
        <v>9</v>
      </c>
      <c r="B457" s="129" t="str">
        <f>'Công trình'!E64</f>
        <v>AK.41113</v>
      </c>
      <c r="C457" s="130" t="str">
        <f>'Công trình'!F64</f>
        <v>Láng đáy ga, dày 2cm, vữa XM mác 75</v>
      </c>
      <c r="D457" s="129" t="str">
        <f>'Công trình'!G64</f>
        <v>m2</v>
      </c>
      <c r="E457" s="237">
        <v>1</v>
      </c>
      <c r="F457" s="69"/>
      <c r="G457" s="68"/>
      <c r="H457" s="69"/>
    </row>
    <row r="458" spans="1:8" ht="16.5" customHeight="1">
      <c r="A458" s="131"/>
      <c r="B458" s="91"/>
      <c r="C458" s="90" t="s">
        <v>683</v>
      </c>
      <c r="D458" s="91"/>
      <c r="E458" s="93"/>
      <c r="F458" s="132"/>
      <c r="G458" s="94"/>
      <c r="H458" s="132">
        <f>ROUND(H462,1)</f>
        <v>23276.3</v>
      </c>
    </row>
    <row r="459" spans="1:8" ht="27.75" customHeight="1">
      <c r="A459" s="127"/>
      <c r="B459" s="13" t="str">
        <f>'Giá tháng'!B$46</f>
        <v>A24.0796A</v>
      </c>
      <c r="C459" s="14" t="str">
        <f>'Giá tháng'!C$46</f>
        <v>Xi măng PCB40</v>
      </c>
      <c r="D459" s="13" t="str">
        <f>'Giá tháng'!D$46</f>
        <v>kg</v>
      </c>
      <c r="E459" s="80">
        <f>HaoPhiVatTu!F$188</f>
        <v>6.6</v>
      </c>
      <c r="F459" s="15">
        <f>ROUND('Tổng hợp VT'!O$50,1)</f>
        <v>1500</v>
      </c>
      <c r="G459" s="81">
        <f>'Giá tháng'!G$46</f>
        <v>1</v>
      </c>
      <c r="H459" s="15">
        <f>ROUND(E459*F459*G459,1)</f>
        <v>9900</v>
      </c>
    </row>
    <row r="460" spans="1:8" ht="16.5" customHeight="1">
      <c r="A460" s="127"/>
      <c r="B460" s="13" t="str">
        <f>'Giá tháng'!B$9</f>
        <v>A24.0176</v>
      </c>
      <c r="C460" s="14" t="str">
        <f>'Giá tháng'!C$9</f>
        <v>Cát mịn ML=1,5-2,0</v>
      </c>
      <c r="D460" s="13" t="str">
        <f>'Giá tháng'!D$9</f>
        <v>m3</v>
      </c>
      <c r="E460" s="80">
        <f>HaoPhiVatTu!F$189</f>
        <v>2.9749999999999999E-2</v>
      </c>
      <c r="F460" s="15">
        <f>ROUND('Tổng hợp VT'!O$14,1)</f>
        <v>445000</v>
      </c>
      <c r="G460" s="81">
        <f>'Giá tháng'!G$9</f>
        <v>1</v>
      </c>
      <c r="H460" s="15">
        <f>ROUND(E460*F460*G460,1)</f>
        <v>13238.8</v>
      </c>
    </row>
    <row r="461" spans="1:8" ht="16.5" customHeight="1">
      <c r="A461" s="127"/>
      <c r="B461" s="13" t="str">
        <f>'Giá tháng'!B$32</f>
        <v>A24.0524</v>
      </c>
      <c r="C461" s="14" t="str">
        <f>'Giá tháng'!C$32</f>
        <v>Nước</v>
      </c>
      <c r="D461" s="13" t="str">
        <f>'Giá tháng'!D$32</f>
        <v>lít</v>
      </c>
      <c r="E461" s="80">
        <f>HaoPhiVatTu!F$190</f>
        <v>6.875</v>
      </c>
      <c r="F461" s="15">
        <f>ROUND('Tổng hợp VT'!O$37,1)</f>
        <v>20</v>
      </c>
      <c r="G461" s="81">
        <f>'Giá tháng'!G$32</f>
        <v>1</v>
      </c>
      <c r="H461" s="15">
        <f>ROUND(E461*F461*G461,1)</f>
        <v>137.5</v>
      </c>
    </row>
    <row r="462" spans="1:8" ht="16.5" customHeight="1">
      <c r="A462" s="127"/>
      <c r="B462" s="13"/>
      <c r="C462" s="14" t="s">
        <v>776</v>
      </c>
      <c r="D462" s="13"/>
      <c r="E462" s="80"/>
      <c r="F462" s="15"/>
      <c r="G462" s="81"/>
      <c r="H462" s="15">
        <f>ROUND(SUM(H459:H461),1)</f>
        <v>23276.3</v>
      </c>
    </row>
    <row r="463" spans="1:8" ht="16.5" customHeight="1">
      <c r="A463" s="131"/>
      <c r="B463" s="91"/>
      <c r="C463" s="90" t="s">
        <v>678</v>
      </c>
      <c r="D463" s="91"/>
      <c r="E463" s="93"/>
      <c r="F463" s="132"/>
      <c r="G463" s="94"/>
      <c r="H463" s="132">
        <f>ROUND(H464,1)</f>
        <v>19339.7</v>
      </c>
    </row>
    <row r="464" spans="1:8" ht="16.5" customHeight="1">
      <c r="A464" s="127"/>
      <c r="B464" s="13" t="str">
        <f>'Giá tháng'!B$53</f>
        <v>N2.40</v>
      </c>
      <c r="C464" s="14" t="str">
        <f>'Giá tháng'!C$53</f>
        <v>Nhân công 4,0/7 - Nhóm 2</v>
      </c>
      <c r="D464" s="13" t="str">
        <f>'Giá tháng'!D$53</f>
        <v>công</v>
      </c>
      <c r="E464" s="80">
        <f>HaoPhiVatTu!G$192</f>
        <v>6.8000000000000005E-2</v>
      </c>
      <c r="F464" s="15">
        <f>ROUND('Tổng hợp VT'!O$60,1)</f>
        <v>284408</v>
      </c>
      <c r="G464" s="81">
        <f>'Giá tháng'!G$53</f>
        <v>1</v>
      </c>
      <c r="H464" s="15">
        <f>ROUND(E464*F464*G464,1)</f>
        <v>19339.7</v>
      </c>
    </row>
    <row r="465" spans="1:8" ht="16.5" customHeight="1">
      <c r="A465" s="131"/>
      <c r="B465" s="91"/>
      <c r="C465" s="90" t="s">
        <v>679</v>
      </c>
      <c r="D465" s="91"/>
      <c r="E465" s="93"/>
      <c r="F465" s="132"/>
      <c r="G465" s="94"/>
      <c r="H465" s="132">
        <f>ROUND(H466,1)</f>
        <v>1173.4000000000001</v>
      </c>
    </row>
    <row r="466" spans="1:8" ht="27.75" customHeight="1">
      <c r="A466" s="127"/>
      <c r="B466" s="13" t="str">
        <f>'Giá tháng'!B$75</f>
        <v>M104.0202</v>
      </c>
      <c r="C466" s="14" t="str">
        <f>'Giá tháng'!C$75</f>
        <v>Máy trộn vữa 150 lít</v>
      </c>
      <c r="D466" s="13" t="str">
        <f>'Giá tháng'!D$75</f>
        <v>ca</v>
      </c>
      <c r="E466" s="80">
        <f>HaoPhiVatTu!H$194</f>
        <v>4.0000000000000001E-3</v>
      </c>
      <c r="F466" s="15">
        <f>ROUND('Tổng hợp VT'!O$84,1)</f>
        <v>293362</v>
      </c>
      <c r="G466" s="81">
        <f>'Giá tháng'!G$75</f>
        <v>1</v>
      </c>
      <c r="H466" s="15">
        <f>ROUND(E466*F466*G466,1)</f>
        <v>1173.4000000000001</v>
      </c>
    </row>
    <row r="467" spans="1:8" ht="27.75" customHeight="1">
      <c r="A467" s="238"/>
      <c r="B467" s="159"/>
      <c r="C467" s="158" t="s">
        <v>1085</v>
      </c>
      <c r="D467" s="159" t="s">
        <v>810</v>
      </c>
      <c r="E467" s="239"/>
      <c r="F467" s="162"/>
      <c r="G467" s="240"/>
      <c r="H467" s="162">
        <f>ROUND(H458+H463+H465,1)</f>
        <v>43789.4</v>
      </c>
    </row>
    <row r="468" spans="1:8" ht="16.5" customHeight="1">
      <c r="A468" s="241"/>
      <c r="B468" s="147"/>
      <c r="C468" s="146" t="s">
        <v>812</v>
      </c>
      <c r="D468" s="147" t="str">
        <f>""</f>
        <v/>
      </c>
      <c r="E468" s="242"/>
      <c r="F468" s="150"/>
      <c r="G468" s="149"/>
      <c r="H468" s="150"/>
    </row>
    <row r="469" spans="1:8" ht="16.5" customHeight="1">
      <c r="A469" s="241"/>
      <c r="B469" s="147"/>
      <c r="C469" s="146" t="str">
        <f>"Chi phí chung ( T x "&amp;HSXL!C$14&amp;" )"</f>
        <v>Chi phí chung ( T x 6,2% )</v>
      </c>
      <c r="D469" s="147" t="s">
        <v>807</v>
      </c>
      <c r="E469" s="242" t="str">
        <f>HSXL!C$14</f>
        <v>6,2%</v>
      </c>
      <c r="F469" s="150"/>
      <c r="G469" s="149"/>
      <c r="H469" s="150">
        <f>ROUND(H467*HSXL!D$14,1)</f>
        <v>2714.9</v>
      </c>
    </row>
    <row r="470" spans="1:8" ht="27.75" customHeight="1">
      <c r="A470" s="241"/>
      <c r="B470" s="147"/>
      <c r="C470" s="146" t="str">
        <f>"Chi phí nhà tạm để ở và điều hành thi công ( T x "&amp;HSXL!C$18&amp;" )"</f>
        <v>Chi phí nhà tạm để ở và điều hành thi công ( T x 2,2% )</v>
      </c>
      <c r="D470" s="147" t="s">
        <v>815</v>
      </c>
      <c r="E470" s="242" t="str">
        <f>HSXL!C$18</f>
        <v>2,2%</v>
      </c>
      <c r="F470" s="150"/>
      <c r="G470" s="149"/>
      <c r="H470" s="150">
        <f>ROUND(H467*HSXL!D$18,1)</f>
        <v>963.4</v>
      </c>
    </row>
    <row r="471" spans="1:8" ht="39.75" customHeight="1">
      <c r="A471" s="241"/>
      <c r="B471" s="147"/>
      <c r="C471" s="146" t="str">
        <f>"Chi phí một số công việc không xác định được khối lượng từ thiết kế ( T x "&amp;HSXL!C$13&amp;" )"</f>
        <v>Chi phí một số công việc không xác định được khối lượng từ thiết kế ( T x 2% )</v>
      </c>
      <c r="D471" s="147" t="s">
        <v>61</v>
      </c>
      <c r="E471" s="242" t="str">
        <f>HSXL!C$13</f>
        <v>2%</v>
      </c>
      <c r="F471" s="150"/>
      <c r="G471" s="149"/>
      <c r="H471" s="150">
        <f>ROUND(H467*HSXL!D$13,1)</f>
        <v>875.8</v>
      </c>
    </row>
    <row r="472" spans="1:8" ht="27.75" customHeight="1">
      <c r="A472" s="238"/>
      <c r="B472" s="159"/>
      <c r="C472" s="158" t="s">
        <v>1086</v>
      </c>
      <c r="D472" s="159" t="s">
        <v>818</v>
      </c>
      <c r="E472" s="239"/>
      <c r="F472" s="162"/>
      <c r="G472" s="240"/>
      <c r="H472" s="162">
        <f>ROUND(SUM(H469:H471),1)</f>
        <v>4554.1000000000004</v>
      </c>
    </row>
    <row r="473" spans="1:8" ht="27.75" customHeight="1">
      <c r="A473" s="241"/>
      <c r="B473" s="147"/>
      <c r="C473" s="146" t="str">
        <f>"THU NHẬP CHỊU THUẾ TÍNH TRƯỚC (T+GT) x "&amp;HSXL!C$16</f>
        <v>THU NHẬP CHỊU THUẾ TÍNH TRƯỚC (T+GT) x 6%</v>
      </c>
      <c r="D473" s="147" t="s">
        <v>821</v>
      </c>
      <c r="E473" s="242" t="str">
        <f>HSXL!C$16</f>
        <v>6%</v>
      </c>
      <c r="F473" s="150"/>
      <c r="G473" s="149"/>
      <c r="H473" s="150">
        <f>ROUND((H467+H472)*HSXL!D$16,1)</f>
        <v>2900.6</v>
      </c>
    </row>
    <row r="474" spans="1:8" ht="27.75" customHeight="1">
      <c r="A474" s="241"/>
      <c r="B474" s="147"/>
      <c r="C474" s="146" t="s">
        <v>1087</v>
      </c>
      <c r="D474" s="147" t="s">
        <v>823</v>
      </c>
      <c r="E474" s="242"/>
      <c r="F474" s="150"/>
      <c r="G474" s="149"/>
      <c r="H474" s="150">
        <f>ROUND(H467+H472+H473,0)</f>
        <v>51244</v>
      </c>
    </row>
    <row r="475" spans="1:8" ht="27.75" customHeight="1">
      <c r="A475" s="241"/>
      <c r="B475" s="147"/>
      <c r="C475" s="146" t="str">
        <f>"THUẾ GIÁ TRỊ GIA TĂNG ( G x "&amp;HSXL!C$17&amp;" )"</f>
        <v>THUẾ GIÁ TRỊ GIA TĂNG ( G x 10% )</v>
      </c>
      <c r="D475" s="147" t="s">
        <v>827</v>
      </c>
      <c r="E475" s="164">
        <f>HSXL!D$17</f>
        <v>0.1</v>
      </c>
      <c r="F475" s="150"/>
      <c r="G475" s="149"/>
      <c r="H475" s="150">
        <f>ROUND(E475*H474,1)</f>
        <v>5124.3999999999996</v>
      </c>
    </row>
    <row r="476" spans="1:8" ht="27.75" customHeight="1">
      <c r="A476" s="243"/>
      <c r="B476" s="244"/>
      <c r="C476" s="245" t="s">
        <v>1088</v>
      </c>
      <c r="D476" s="244" t="s">
        <v>830</v>
      </c>
      <c r="E476" s="246"/>
      <c r="F476" s="247"/>
      <c r="G476" s="248"/>
      <c r="H476" s="249">
        <f>ROUND(H474+H475,0)</f>
        <v>56368</v>
      </c>
    </row>
    <row r="477" spans="1:8" ht="16.5" customHeight="1">
      <c r="A477" s="128">
        <f>'Công trình'!A66</f>
        <v>10</v>
      </c>
      <c r="B477" s="129" t="str">
        <f>'Công trình'!E66</f>
        <v>AF.81141</v>
      </c>
      <c r="C477" s="130" t="str">
        <f>'Công trình'!F66</f>
        <v>Ván khuôn gỗ. Ván khuôn cổ ga</v>
      </c>
      <c r="D477" s="129" t="str">
        <f>'Công trình'!G66</f>
        <v>100m2</v>
      </c>
      <c r="E477" s="237">
        <v>1</v>
      </c>
      <c r="F477" s="69"/>
      <c r="G477" s="68"/>
      <c r="H477" s="69"/>
    </row>
    <row r="478" spans="1:8" ht="16.5" customHeight="1">
      <c r="A478" s="131"/>
      <c r="B478" s="91"/>
      <c r="C478" s="90" t="s">
        <v>683</v>
      </c>
      <c r="D478" s="91"/>
      <c r="E478" s="93"/>
      <c r="F478" s="132"/>
      <c r="G478" s="94"/>
      <c r="H478" s="132">
        <f>ROUND(H484,1)</f>
        <v>8793002.5</v>
      </c>
    </row>
    <row r="479" spans="1:8" ht="16.5" customHeight="1">
      <c r="A479" s="127"/>
      <c r="B479" s="13" t="str">
        <f>'Giá tháng'!B$23</f>
        <v>A24.0418</v>
      </c>
      <c r="C479" s="14" t="str">
        <f>'Giá tháng'!C$23</f>
        <v>Gỗ ván</v>
      </c>
      <c r="D479" s="13" t="str">
        <f>'Giá tháng'!D$23</f>
        <v>m3</v>
      </c>
      <c r="E479" s="80">
        <f>HaoPhiVatTu!F$197</f>
        <v>0.79400000000000004</v>
      </c>
      <c r="F479" s="15">
        <f>ROUND('Tổng hợp VT'!O$28,1)</f>
        <v>4318182</v>
      </c>
      <c r="G479" s="81">
        <f>'Giá tháng'!G$23</f>
        <v>1</v>
      </c>
      <c r="H479" s="15">
        <f>ROUND(E479*F479*G479,1)</f>
        <v>3428636.5</v>
      </c>
    </row>
    <row r="480" spans="1:8" ht="16.5" customHeight="1">
      <c r="A480" s="127"/>
      <c r="B480" s="13" t="str">
        <f>'Giá tháng'!B$22</f>
        <v>A24.0404</v>
      </c>
      <c r="C480" s="14" t="str">
        <f>'Giá tháng'!C$22</f>
        <v>Gỗ đà nẹp</v>
      </c>
      <c r="D480" s="13" t="str">
        <f>'Giá tháng'!D$22</f>
        <v>m3</v>
      </c>
      <c r="E480" s="80">
        <f>HaoPhiVatTu!F$198</f>
        <v>0.189</v>
      </c>
      <c r="F480" s="15">
        <f>ROUND('Tổng hợp VT'!O$27,1)</f>
        <v>4318182</v>
      </c>
      <c r="G480" s="81">
        <f>'Giá tháng'!G$22</f>
        <v>1</v>
      </c>
      <c r="H480" s="15">
        <f>ROUND(E480*F480*G480,1)</f>
        <v>816136.4</v>
      </c>
    </row>
    <row r="481" spans="1:8" ht="16.5" customHeight="1">
      <c r="A481" s="127"/>
      <c r="B481" s="13" t="str">
        <f>'Giá tháng'!B$21</f>
        <v>A24.0406</v>
      </c>
      <c r="C481" s="14" t="str">
        <f>'Giá tháng'!C$21</f>
        <v>Gỗ chống</v>
      </c>
      <c r="D481" s="13" t="str">
        <f>'Giá tháng'!D$21</f>
        <v>m3</v>
      </c>
      <c r="E481" s="80">
        <f>HaoPhiVatTu!F$199</f>
        <v>0.95699999999999996</v>
      </c>
      <c r="F481" s="15">
        <f>ROUND('Tổng hợp VT'!O$26,1)</f>
        <v>4318182</v>
      </c>
      <c r="G481" s="81">
        <f>'Giá tháng'!G$21</f>
        <v>1</v>
      </c>
      <c r="H481" s="15">
        <f>ROUND(E481*F481*G481,1)</f>
        <v>4132500.2</v>
      </c>
    </row>
    <row r="482" spans="1:8" ht="16.5" customHeight="1">
      <c r="A482" s="127"/>
      <c r="B482" s="13" t="str">
        <f>'Giá tháng'!B$19</f>
        <v>A24.0054</v>
      </c>
      <c r="C482" s="14" t="str">
        <f>'Giá tháng'!C$19</f>
        <v>Đinh</v>
      </c>
      <c r="D482" s="13" t="str">
        <f>'Giá tháng'!D$19</f>
        <v>kg</v>
      </c>
      <c r="E482" s="80">
        <f>HaoPhiVatTu!F$200</f>
        <v>14.29</v>
      </c>
      <c r="F482" s="15">
        <f>ROUND('Tổng hợp VT'!O$24,1)</f>
        <v>23000</v>
      </c>
      <c r="G482" s="81">
        <f>'Giá tháng'!G$19</f>
        <v>1</v>
      </c>
      <c r="H482" s="15">
        <f>ROUND(E482*F482*G482,1)</f>
        <v>328670</v>
      </c>
    </row>
    <row r="483" spans="1:8" ht="16.5" customHeight="1">
      <c r="A483" s="127"/>
      <c r="B483" s="13" t="s">
        <v>684</v>
      </c>
      <c r="C483" s="14" t="s">
        <v>685</v>
      </c>
      <c r="D483" s="13" t="s">
        <v>682</v>
      </c>
      <c r="E483" s="80">
        <f>HaoPhiVatTu!F$201</f>
        <v>1</v>
      </c>
      <c r="F483" s="15">
        <f>ROUND(SUM(H479:H482),1)</f>
        <v>8705943.0999999996</v>
      </c>
      <c r="G483" s="81"/>
      <c r="H483" s="15">
        <f>ROUND(E483*F483/100,1)</f>
        <v>87059.4</v>
      </c>
    </row>
    <row r="484" spans="1:8" ht="16.5" customHeight="1">
      <c r="A484" s="127"/>
      <c r="B484" s="13"/>
      <c r="C484" s="14" t="s">
        <v>776</v>
      </c>
      <c r="D484" s="13"/>
      <c r="E484" s="80"/>
      <c r="F484" s="15"/>
      <c r="G484" s="81"/>
      <c r="H484" s="15">
        <f>ROUND(SUM(H479:H483),1)</f>
        <v>8793002.5</v>
      </c>
    </row>
    <row r="485" spans="1:8" ht="16.5" customHeight="1">
      <c r="A485" s="131"/>
      <c r="B485" s="91"/>
      <c r="C485" s="90" t="s">
        <v>678</v>
      </c>
      <c r="D485" s="91"/>
      <c r="E485" s="93"/>
      <c r="F485" s="132"/>
      <c r="G485" s="94"/>
      <c r="H485" s="132">
        <f>ROUND(H486,1)</f>
        <v>7205000</v>
      </c>
    </row>
    <row r="486" spans="1:8" ht="16.5" customHeight="1">
      <c r="A486" s="127"/>
      <c r="B486" s="13" t="str">
        <f>'Giá tháng'!B$51</f>
        <v>N2.35</v>
      </c>
      <c r="C486" s="14" t="str">
        <f>'Giá tháng'!C$51</f>
        <v>Nhân công 3,5/7 - Nhóm 2</v>
      </c>
      <c r="D486" s="13" t="str">
        <f>'Giá tháng'!D$51</f>
        <v>công</v>
      </c>
      <c r="E486" s="80">
        <f>HaoPhiVatTu!G$203</f>
        <v>27.5</v>
      </c>
      <c r="F486" s="15">
        <f>ROUND('Tổng hợp VT'!O$59,1)</f>
        <v>262000</v>
      </c>
      <c r="G486" s="81">
        <f>'Giá tháng'!G$51</f>
        <v>1</v>
      </c>
      <c r="H486" s="15">
        <f>ROUND(E486*F486*G486,1)</f>
        <v>7205000</v>
      </c>
    </row>
    <row r="487" spans="1:8" ht="27.75" customHeight="1">
      <c r="A487" s="238"/>
      <c r="B487" s="159"/>
      <c r="C487" s="158" t="s">
        <v>1085</v>
      </c>
      <c r="D487" s="159" t="s">
        <v>810</v>
      </c>
      <c r="E487" s="239"/>
      <c r="F487" s="162"/>
      <c r="G487" s="240"/>
      <c r="H487" s="162">
        <f>ROUND(H478+H485,1)</f>
        <v>15998002.5</v>
      </c>
    </row>
    <row r="488" spans="1:8" ht="16.5" customHeight="1">
      <c r="A488" s="241"/>
      <c r="B488" s="147"/>
      <c r="C488" s="146" t="s">
        <v>812</v>
      </c>
      <c r="D488" s="147" t="str">
        <f>""</f>
        <v/>
      </c>
      <c r="E488" s="242"/>
      <c r="F488" s="150"/>
      <c r="G488" s="149"/>
      <c r="H488" s="150"/>
    </row>
    <row r="489" spans="1:8" ht="16.5" customHeight="1">
      <c r="A489" s="241"/>
      <c r="B489" s="147"/>
      <c r="C489" s="146" t="str">
        <f>"Chi phí chung ( T x "&amp;HSXL!C$14&amp;" )"</f>
        <v>Chi phí chung ( T x 6,2% )</v>
      </c>
      <c r="D489" s="147" t="s">
        <v>807</v>
      </c>
      <c r="E489" s="242" t="str">
        <f>HSXL!C$14</f>
        <v>6,2%</v>
      </c>
      <c r="F489" s="150"/>
      <c r="G489" s="149"/>
      <c r="H489" s="150">
        <f>ROUND(H487*HSXL!D$14,1)</f>
        <v>991876.2</v>
      </c>
    </row>
    <row r="490" spans="1:8" ht="27.75" customHeight="1">
      <c r="A490" s="241"/>
      <c r="B490" s="147"/>
      <c r="C490" s="146" t="str">
        <f>"Chi phí nhà tạm để ở và điều hành thi công ( T x "&amp;HSXL!C$18&amp;" )"</f>
        <v>Chi phí nhà tạm để ở và điều hành thi công ( T x 2,2% )</v>
      </c>
      <c r="D490" s="147" t="s">
        <v>815</v>
      </c>
      <c r="E490" s="242" t="str">
        <f>HSXL!C$18</f>
        <v>2,2%</v>
      </c>
      <c r="F490" s="150"/>
      <c r="G490" s="149"/>
      <c r="H490" s="150">
        <f>ROUND(H487*HSXL!D$18,1)</f>
        <v>351956.1</v>
      </c>
    </row>
    <row r="491" spans="1:8" ht="39.75" customHeight="1">
      <c r="A491" s="241"/>
      <c r="B491" s="147"/>
      <c r="C491" s="146" t="str">
        <f>"Chi phí một số công việc không xác định được khối lượng từ thiết kế ( T x "&amp;HSXL!C$13&amp;" )"</f>
        <v>Chi phí một số công việc không xác định được khối lượng từ thiết kế ( T x 2% )</v>
      </c>
      <c r="D491" s="147" t="s">
        <v>61</v>
      </c>
      <c r="E491" s="242" t="str">
        <f>HSXL!C$13</f>
        <v>2%</v>
      </c>
      <c r="F491" s="150"/>
      <c r="G491" s="149"/>
      <c r="H491" s="150">
        <f>ROUND(H487*HSXL!D$13,1)</f>
        <v>319960.09999999998</v>
      </c>
    </row>
    <row r="492" spans="1:8" ht="27.75" customHeight="1">
      <c r="A492" s="238"/>
      <c r="B492" s="159"/>
      <c r="C492" s="158" t="s">
        <v>1086</v>
      </c>
      <c r="D492" s="159" t="s">
        <v>818</v>
      </c>
      <c r="E492" s="239"/>
      <c r="F492" s="162"/>
      <c r="G492" s="240"/>
      <c r="H492" s="162">
        <f>ROUND(SUM(H489:H491),1)</f>
        <v>1663792.4</v>
      </c>
    </row>
    <row r="493" spans="1:8" ht="27.75" customHeight="1">
      <c r="A493" s="241"/>
      <c r="B493" s="147"/>
      <c r="C493" s="146" t="str">
        <f>"THU NHẬP CHỊU THUẾ TÍNH TRƯỚC (T+GT) x "&amp;HSXL!C$16</f>
        <v>THU NHẬP CHỊU THUẾ TÍNH TRƯỚC (T+GT) x 6%</v>
      </c>
      <c r="D493" s="147" t="s">
        <v>821</v>
      </c>
      <c r="E493" s="242" t="str">
        <f>HSXL!C$16</f>
        <v>6%</v>
      </c>
      <c r="F493" s="150"/>
      <c r="G493" s="149"/>
      <c r="H493" s="150">
        <f>ROUND((H487+H492)*HSXL!D$16,1)</f>
        <v>1059707.7</v>
      </c>
    </row>
    <row r="494" spans="1:8" ht="27.75" customHeight="1">
      <c r="A494" s="241"/>
      <c r="B494" s="147"/>
      <c r="C494" s="146" t="s">
        <v>1087</v>
      </c>
      <c r="D494" s="147" t="s">
        <v>823</v>
      </c>
      <c r="E494" s="242"/>
      <c r="F494" s="150"/>
      <c r="G494" s="149"/>
      <c r="H494" s="150">
        <f>ROUND(H487+H492+H493,0)</f>
        <v>18721503</v>
      </c>
    </row>
    <row r="495" spans="1:8" ht="27.75" customHeight="1">
      <c r="A495" s="241"/>
      <c r="B495" s="147"/>
      <c r="C495" s="146" t="str">
        <f>"THUẾ GIÁ TRỊ GIA TĂNG ( G x "&amp;HSXL!C$17&amp;" )"</f>
        <v>THUẾ GIÁ TRỊ GIA TĂNG ( G x 10% )</v>
      </c>
      <c r="D495" s="147" t="s">
        <v>827</v>
      </c>
      <c r="E495" s="164">
        <f>HSXL!D$17</f>
        <v>0.1</v>
      </c>
      <c r="F495" s="150"/>
      <c r="G495" s="149"/>
      <c r="H495" s="150">
        <f>ROUND(E495*H494,1)</f>
        <v>1872150.3</v>
      </c>
    </row>
    <row r="496" spans="1:8" ht="27.75" customHeight="1">
      <c r="A496" s="243"/>
      <c r="B496" s="244"/>
      <c r="C496" s="245" t="s">
        <v>1088</v>
      </c>
      <c r="D496" s="244" t="s">
        <v>830</v>
      </c>
      <c r="E496" s="246"/>
      <c r="F496" s="247"/>
      <c r="G496" s="248"/>
      <c r="H496" s="249">
        <f>ROUND(H494+H495,0)</f>
        <v>20593653</v>
      </c>
    </row>
    <row r="497" spans="1:8" ht="16.5" customHeight="1">
      <c r="A497" s="128">
        <f>'Công trình'!A68</f>
        <v>11</v>
      </c>
      <c r="B497" s="129" t="str">
        <f>'Công trình'!E68</f>
        <v>AF.12313A</v>
      </c>
      <c r="C497" s="130" t="str">
        <f>'Công trình'!F68</f>
        <v>Đổ bê tông cổ ga, đá 1x2, mác 200</v>
      </c>
      <c r="D497" s="129" t="str">
        <f>'Công trình'!G68</f>
        <v>m3</v>
      </c>
      <c r="E497" s="237">
        <v>1</v>
      </c>
      <c r="F497" s="69"/>
      <c r="G497" s="68"/>
      <c r="H497" s="69"/>
    </row>
    <row r="498" spans="1:8" ht="16.5" customHeight="1">
      <c r="A498" s="131"/>
      <c r="B498" s="91"/>
      <c r="C498" s="90" t="s">
        <v>683</v>
      </c>
      <c r="D498" s="91"/>
      <c r="E498" s="93"/>
      <c r="F498" s="132"/>
      <c r="G498" s="94"/>
      <c r="H498" s="132">
        <f>ROUND(H504,1)</f>
        <v>1040813.5</v>
      </c>
    </row>
    <row r="499" spans="1:8" ht="27.75" customHeight="1">
      <c r="A499" s="127"/>
      <c r="B499" s="13" t="str">
        <f>'Giá tháng'!B$45</f>
        <v>A24.0797A</v>
      </c>
      <c r="C499" s="14" t="str">
        <f>'Giá tháng'!C$45</f>
        <v>Xi măng PCB30</v>
      </c>
      <c r="D499" s="13" t="str">
        <f>'Giá tháng'!D$45</f>
        <v>kg</v>
      </c>
      <c r="E499" s="80">
        <f>HaoPhiVatTu!F$206</f>
        <v>321.85000000000002</v>
      </c>
      <c r="F499" s="15">
        <f>ROUND('Tổng hợp VT'!O$49,1)</f>
        <v>1481</v>
      </c>
      <c r="G499" s="81">
        <f>'Giá tháng'!G$45</f>
        <v>1</v>
      </c>
      <c r="H499" s="15">
        <f>ROUND(E499*F499*G499,1)</f>
        <v>476659.9</v>
      </c>
    </row>
    <row r="500" spans="1:8" ht="16.5" customHeight="1">
      <c r="A500" s="127"/>
      <c r="B500" s="13" t="str">
        <f>'Giá tháng'!B$10</f>
        <v>A24.0180</v>
      </c>
      <c r="C500" s="14" t="str">
        <f>'Giá tháng'!C$10</f>
        <v>Cát vàng</v>
      </c>
      <c r="D500" s="13" t="str">
        <f>'Giá tháng'!D$10</f>
        <v>m3</v>
      </c>
      <c r="E500" s="80">
        <f>HaoPhiVatTu!F$207</f>
        <v>0.52890000000000004</v>
      </c>
      <c r="F500" s="15">
        <f>ROUND('Tổng hợp VT'!O$15,1)</f>
        <v>480000</v>
      </c>
      <c r="G500" s="81">
        <f>'Giá tháng'!G$10</f>
        <v>1</v>
      </c>
      <c r="H500" s="15">
        <f>ROUND(E500*F500*G500,1)</f>
        <v>253872</v>
      </c>
    </row>
    <row r="501" spans="1:8" ht="16.5" customHeight="1">
      <c r="A501" s="127"/>
      <c r="B501" s="13" t="str">
        <f>'Giá tháng'!B$15</f>
        <v>A24.0008</v>
      </c>
      <c r="C501" s="14" t="str">
        <f>'Giá tháng'!C$15</f>
        <v>Đá 1x2</v>
      </c>
      <c r="D501" s="13" t="str">
        <f>'Giá tháng'!D$15</f>
        <v>m3</v>
      </c>
      <c r="E501" s="80">
        <f>HaoPhiVatTu!F$208</f>
        <v>0.87124999999999997</v>
      </c>
      <c r="F501" s="15">
        <f>ROUND('Tổng hợp VT'!O$20,1)</f>
        <v>340000</v>
      </c>
      <c r="G501" s="81">
        <f>'Giá tháng'!G$15</f>
        <v>1</v>
      </c>
      <c r="H501" s="15">
        <f>ROUND(E501*F501*G501,1)</f>
        <v>296225</v>
      </c>
    </row>
    <row r="502" spans="1:8" ht="16.5" customHeight="1">
      <c r="A502" s="127"/>
      <c r="B502" s="13" t="str">
        <f>'Giá tháng'!B$32</f>
        <v>A24.0524</v>
      </c>
      <c r="C502" s="14" t="str">
        <f>'Giá tháng'!C$32</f>
        <v>Nước</v>
      </c>
      <c r="D502" s="13" t="str">
        <f>'Giá tháng'!D$32</f>
        <v>lít</v>
      </c>
      <c r="E502" s="80">
        <f>HaoPhiVatTu!F$209</f>
        <v>187.57499999999999</v>
      </c>
      <c r="F502" s="15">
        <f>ROUND('Tổng hợp VT'!O$37,1)</f>
        <v>20</v>
      </c>
      <c r="G502" s="81">
        <f>'Giá tháng'!G$32</f>
        <v>1</v>
      </c>
      <c r="H502" s="15">
        <f>ROUND(E502*F502*G502,1)</f>
        <v>3751.5</v>
      </c>
    </row>
    <row r="503" spans="1:8" ht="16.5" customHeight="1">
      <c r="A503" s="127"/>
      <c r="B503" s="13" t="s">
        <v>684</v>
      </c>
      <c r="C503" s="14" t="s">
        <v>685</v>
      </c>
      <c r="D503" s="13" t="s">
        <v>682</v>
      </c>
      <c r="E503" s="80">
        <f>HaoPhiVatTu!F$210</f>
        <v>1</v>
      </c>
      <c r="F503" s="15">
        <f>ROUND(SUM(H499:H502),1)</f>
        <v>1030508.4</v>
      </c>
      <c r="G503" s="81"/>
      <c r="H503" s="15">
        <f>ROUND(E503*F503/100,1)</f>
        <v>10305.1</v>
      </c>
    </row>
    <row r="504" spans="1:8" ht="16.5" customHeight="1">
      <c r="A504" s="127"/>
      <c r="B504" s="13"/>
      <c r="C504" s="14" t="s">
        <v>776</v>
      </c>
      <c r="D504" s="13"/>
      <c r="E504" s="80"/>
      <c r="F504" s="15"/>
      <c r="G504" s="81"/>
      <c r="H504" s="15">
        <f>ROUND(SUM(H499:H503),1)</f>
        <v>1040813.5</v>
      </c>
    </row>
    <row r="505" spans="1:8" ht="16.5" customHeight="1">
      <c r="A505" s="131"/>
      <c r="B505" s="91"/>
      <c r="C505" s="90" t="s">
        <v>678</v>
      </c>
      <c r="D505" s="91"/>
      <c r="E505" s="93"/>
      <c r="F505" s="132"/>
      <c r="G505" s="94"/>
      <c r="H505" s="132">
        <f>ROUND(H506,1)</f>
        <v>639710.6</v>
      </c>
    </row>
    <row r="506" spans="1:8" ht="16.5" customHeight="1">
      <c r="A506" s="127"/>
      <c r="B506" s="13" t="str">
        <f>'Giá tháng'!B$49</f>
        <v>N2.30</v>
      </c>
      <c r="C506" s="14" t="str">
        <f>'Giá tháng'!C$49</f>
        <v>Nhân công 3,0/7 - Nhóm 2</v>
      </c>
      <c r="D506" s="13" t="str">
        <f>'Giá tháng'!D$49</f>
        <v>công</v>
      </c>
      <c r="E506" s="80">
        <f>HaoPhiVatTu!G$212</f>
        <v>2.67</v>
      </c>
      <c r="F506" s="15">
        <f>ROUND('Tổng hợp VT'!O$57,1)</f>
        <v>239592</v>
      </c>
      <c r="G506" s="81">
        <f>'Giá tháng'!G$49</f>
        <v>1</v>
      </c>
      <c r="H506" s="15">
        <f>ROUND(E506*F506*G506,1)</f>
        <v>639710.6</v>
      </c>
    </row>
    <row r="507" spans="1:8" ht="16.5" customHeight="1">
      <c r="A507" s="131"/>
      <c r="B507" s="91"/>
      <c r="C507" s="90" t="s">
        <v>679</v>
      </c>
      <c r="D507" s="91"/>
      <c r="E507" s="93"/>
      <c r="F507" s="132"/>
      <c r="G507" s="94"/>
      <c r="H507" s="132">
        <f>ROUND(H510,1)</f>
        <v>79863</v>
      </c>
    </row>
    <row r="508" spans="1:8" ht="27.75" customHeight="1">
      <c r="A508" s="127"/>
      <c r="B508" s="13" t="str">
        <f>'Giá tháng'!B$74</f>
        <v>M104.0102</v>
      </c>
      <c r="C508" s="14" t="str">
        <f>'Giá tháng'!C$74</f>
        <v>Máy trộn bê tông - dung tích : 250,0 lít</v>
      </c>
      <c r="D508" s="13" t="str">
        <f>'Giá tháng'!D$74</f>
        <v>ca</v>
      </c>
      <c r="E508" s="80">
        <f>HaoPhiVatTu!H$214</f>
        <v>9.5000000000000001E-2</v>
      </c>
      <c r="F508" s="15">
        <f>ROUND('Tổng hợp VT'!O$83,1)</f>
        <v>318734</v>
      </c>
      <c r="G508" s="81">
        <f>'Giá tháng'!G$74</f>
        <v>1</v>
      </c>
      <c r="H508" s="15">
        <f>ROUND(E508*F508*G508,1)</f>
        <v>30279.7</v>
      </c>
    </row>
    <row r="509" spans="1:8" ht="27.75" customHeight="1">
      <c r="A509" s="127"/>
      <c r="B509" s="13" t="str">
        <f>'Giá tháng'!B$62</f>
        <v>M112.1301</v>
      </c>
      <c r="C509" s="14" t="str">
        <f>'Giá tháng'!C$62</f>
        <v>Máy đầm bê tông, dầm dùi - công suất : 1,5 kW</v>
      </c>
      <c r="D509" s="13" t="str">
        <f>'Giá tháng'!D$62</f>
        <v>ca</v>
      </c>
      <c r="E509" s="80">
        <f>HaoPhiVatTu!H$215</f>
        <v>0.18</v>
      </c>
      <c r="F509" s="15">
        <f>ROUND('Tổng hợp VT'!O$71,1)</f>
        <v>275463</v>
      </c>
      <c r="G509" s="81">
        <f>'Giá tháng'!G$62</f>
        <v>1</v>
      </c>
      <c r="H509" s="15">
        <f>ROUND(E509*F509*G509,1)</f>
        <v>49583.3</v>
      </c>
    </row>
    <row r="510" spans="1:8" ht="16.5" customHeight="1">
      <c r="A510" s="127"/>
      <c r="B510" s="13"/>
      <c r="C510" s="14" t="s">
        <v>776</v>
      </c>
      <c r="D510" s="13"/>
      <c r="E510" s="19"/>
      <c r="F510" s="15"/>
      <c r="G510" s="18"/>
      <c r="H510" s="15">
        <f>ROUND(SUM(H508:H509),1)</f>
        <v>79863</v>
      </c>
    </row>
    <row r="511" spans="1:8" ht="27.75" customHeight="1">
      <c r="A511" s="238"/>
      <c r="B511" s="159"/>
      <c r="C511" s="158" t="s">
        <v>1085</v>
      </c>
      <c r="D511" s="159" t="s">
        <v>810</v>
      </c>
      <c r="E511" s="239"/>
      <c r="F511" s="162"/>
      <c r="G511" s="240"/>
      <c r="H511" s="162">
        <f>ROUND(H498+H505+H507,1)</f>
        <v>1760387.1</v>
      </c>
    </row>
    <row r="512" spans="1:8" ht="16.5" customHeight="1">
      <c r="A512" s="241"/>
      <c r="B512" s="147"/>
      <c r="C512" s="146" t="s">
        <v>812</v>
      </c>
      <c r="D512" s="147" t="str">
        <f>""</f>
        <v/>
      </c>
      <c r="E512" s="242"/>
      <c r="F512" s="150"/>
      <c r="G512" s="149"/>
      <c r="H512" s="150"/>
    </row>
    <row r="513" spans="1:8" ht="16.5" customHeight="1">
      <c r="A513" s="241"/>
      <c r="B513" s="147"/>
      <c r="C513" s="146" t="str">
        <f>"Chi phí chung ( T x "&amp;HSXL!C$14&amp;" )"</f>
        <v>Chi phí chung ( T x 6,2% )</v>
      </c>
      <c r="D513" s="147" t="s">
        <v>807</v>
      </c>
      <c r="E513" s="242" t="str">
        <f>HSXL!C$14</f>
        <v>6,2%</v>
      </c>
      <c r="F513" s="150"/>
      <c r="G513" s="149"/>
      <c r="H513" s="150">
        <f>ROUND(H511*HSXL!D$14,1)</f>
        <v>109144</v>
      </c>
    </row>
    <row r="514" spans="1:8" ht="27.75" customHeight="1">
      <c r="A514" s="241"/>
      <c r="B514" s="147"/>
      <c r="C514" s="146" t="str">
        <f>"Chi phí nhà tạm để ở và điều hành thi công ( T x "&amp;HSXL!C$18&amp;" )"</f>
        <v>Chi phí nhà tạm để ở và điều hành thi công ( T x 2,2% )</v>
      </c>
      <c r="D514" s="147" t="s">
        <v>815</v>
      </c>
      <c r="E514" s="242" t="str">
        <f>HSXL!C$18</f>
        <v>2,2%</v>
      </c>
      <c r="F514" s="150"/>
      <c r="G514" s="149"/>
      <c r="H514" s="150">
        <f>ROUND(H511*HSXL!D$18,1)</f>
        <v>38728.5</v>
      </c>
    </row>
    <row r="515" spans="1:8" ht="39.75" customHeight="1">
      <c r="A515" s="241"/>
      <c r="B515" s="147"/>
      <c r="C515" s="146" t="str">
        <f>"Chi phí một số công việc không xác định được khối lượng từ thiết kế ( T x "&amp;HSXL!C$13&amp;" )"</f>
        <v>Chi phí một số công việc không xác định được khối lượng từ thiết kế ( T x 2% )</v>
      </c>
      <c r="D515" s="147" t="s">
        <v>61</v>
      </c>
      <c r="E515" s="242" t="str">
        <f>HSXL!C$13</f>
        <v>2%</v>
      </c>
      <c r="F515" s="150"/>
      <c r="G515" s="149"/>
      <c r="H515" s="150">
        <f>ROUND(H511*HSXL!D$13,1)</f>
        <v>35207.699999999997</v>
      </c>
    </row>
    <row r="516" spans="1:8" ht="27.75" customHeight="1">
      <c r="A516" s="238"/>
      <c r="B516" s="159"/>
      <c r="C516" s="158" t="s">
        <v>1086</v>
      </c>
      <c r="D516" s="159" t="s">
        <v>818</v>
      </c>
      <c r="E516" s="239"/>
      <c r="F516" s="162"/>
      <c r="G516" s="240"/>
      <c r="H516" s="162">
        <f>ROUND(SUM(H513:H515),1)</f>
        <v>183080.2</v>
      </c>
    </row>
    <row r="517" spans="1:8" ht="27.75" customHeight="1">
      <c r="A517" s="241"/>
      <c r="B517" s="147"/>
      <c r="C517" s="146" t="str">
        <f>"THU NHẬP CHỊU THUẾ TÍNH TRƯỚC (T+GT) x "&amp;HSXL!C$16</f>
        <v>THU NHẬP CHỊU THUẾ TÍNH TRƯỚC (T+GT) x 6%</v>
      </c>
      <c r="D517" s="147" t="s">
        <v>821</v>
      </c>
      <c r="E517" s="242" t="str">
        <f>HSXL!C$16</f>
        <v>6%</v>
      </c>
      <c r="F517" s="150"/>
      <c r="G517" s="149"/>
      <c r="H517" s="150">
        <f>ROUND((H511+H516)*HSXL!D$16,1)</f>
        <v>116608</v>
      </c>
    </row>
    <row r="518" spans="1:8" ht="27.75" customHeight="1">
      <c r="A518" s="241"/>
      <c r="B518" s="147"/>
      <c r="C518" s="146" t="s">
        <v>1087</v>
      </c>
      <c r="D518" s="147" t="s">
        <v>823</v>
      </c>
      <c r="E518" s="242"/>
      <c r="F518" s="150"/>
      <c r="G518" s="149"/>
      <c r="H518" s="150">
        <f>ROUND(H511+H516+H517,0)</f>
        <v>2060075</v>
      </c>
    </row>
    <row r="519" spans="1:8" ht="27.75" customHeight="1">
      <c r="A519" s="241"/>
      <c r="B519" s="147"/>
      <c r="C519" s="146" t="str">
        <f>"THUẾ GIÁ TRỊ GIA TĂNG ( G x "&amp;HSXL!C$17&amp;" )"</f>
        <v>THUẾ GIÁ TRỊ GIA TĂNG ( G x 10% )</v>
      </c>
      <c r="D519" s="147" t="s">
        <v>827</v>
      </c>
      <c r="E519" s="164">
        <f>HSXL!D$17</f>
        <v>0.1</v>
      </c>
      <c r="F519" s="150"/>
      <c r="G519" s="149"/>
      <c r="H519" s="150">
        <f>ROUND(E519*H518,1)</f>
        <v>206007.5</v>
      </c>
    </row>
    <row r="520" spans="1:8" ht="27.75" customHeight="1">
      <c r="A520" s="243"/>
      <c r="B520" s="244"/>
      <c r="C520" s="245" t="s">
        <v>1088</v>
      </c>
      <c r="D520" s="244" t="s">
        <v>830</v>
      </c>
      <c r="E520" s="246"/>
      <c r="F520" s="247"/>
      <c r="G520" s="248"/>
      <c r="H520" s="249">
        <f>ROUND(H518+H519,0)</f>
        <v>2266083</v>
      </c>
    </row>
    <row r="521" spans="1:8" ht="16.5" customHeight="1">
      <c r="A521" s="128">
        <f>'Công trình'!A70</f>
        <v>12</v>
      </c>
      <c r="B521" s="129" t="str">
        <f>'Công trình'!E70</f>
        <v>AF.61521</v>
      </c>
      <c r="C521" s="130" t="str">
        <f>'Công trình'!F70</f>
        <v>Thép cổ ga</v>
      </c>
      <c r="D521" s="129" t="str">
        <f>'Công trình'!G70</f>
        <v>tấn</v>
      </c>
      <c r="E521" s="237">
        <v>1</v>
      </c>
      <c r="F521" s="69"/>
      <c r="G521" s="68"/>
      <c r="H521" s="69"/>
    </row>
    <row r="522" spans="1:8" ht="16.5" customHeight="1">
      <c r="A522" s="131"/>
      <c r="B522" s="91"/>
      <c r="C522" s="90" t="s">
        <v>683</v>
      </c>
      <c r="D522" s="91"/>
      <c r="E522" s="93"/>
      <c r="F522" s="132"/>
      <c r="G522" s="94"/>
      <c r="H522" s="132">
        <f>ROUND(H526,1)</f>
        <v>17170220</v>
      </c>
    </row>
    <row r="523" spans="1:8" ht="16.5" customHeight="1">
      <c r="A523" s="127"/>
      <c r="B523" s="13" t="str">
        <f>'Giá tháng'!B$43</f>
        <v>A24.0739</v>
      </c>
      <c r="C523" s="14" t="str">
        <f>'Giá tháng'!C$43</f>
        <v>Thép tròn D&lt;=18mm</v>
      </c>
      <c r="D523" s="13" t="str">
        <f>'Giá tháng'!D$43</f>
        <v>kg</v>
      </c>
      <c r="E523" s="80">
        <f>HaoPhiVatTu!F$218</f>
        <v>1020</v>
      </c>
      <c r="F523" s="15">
        <f>ROUND('Tổng hợp VT'!O$48,1)</f>
        <v>16500</v>
      </c>
      <c r="G523" s="81">
        <f>'Giá tháng'!G$43</f>
        <v>1</v>
      </c>
      <c r="H523" s="15">
        <f>ROUND(E523*F523*G523,1)</f>
        <v>16830000</v>
      </c>
    </row>
    <row r="524" spans="1:8" ht="16.5" customHeight="1">
      <c r="A524" s="127"/>
      <c r="B524" s="13" t="str">
        <f>'Giá tháng'!B$14</f>
        <v>A24.0293</v>
      </c>
      <c r="C524" s="14" t="str">
        <f>'Giá tháng'!C$14</f>
        <v>Dây thép</v>
      </c>
      <c r="D524" s="13" t="str">
        <f>'Giá tháng'!D$14</f>
        <v>kg</v>
      </c>
      <c r="E524" s="80">
        <f>HaoPhiVatTu!F$219</f>
        <v>9.2799999999999994</v>
      </c>
      <c r="F524" s="15">
        <f>ROUND('Tổng hợp VT'!O$19,1)</f>
        <v>24000</v>
      </c>
      <c r="G524" s="81">
        <f>'Giá tháng'!G$14</f>
        <v>1</v>
      </c>
      <c r="H524" s="15">
        <f>ROUND(E524*F524*G524,1)</f>
        <v>222720</v>
      </c>
    </row>
    <row r="525" spans="1:8" ht="16.5" customHeight="1">
      <c r="A525" s="127"/>
      <c r="B525" s="13" t="str">
        <f>'Giá tháng'!B$37</f>
        <v>A24.0543</v>
      </c>
      <c r="C525" s="14" t="str">
        <f>'Giá tháng'!C$37</f>
        <v>Que hàn</v>
      </c>
      <c r="D525" s="13" t="str">
        <f>'Giá tháng'!D$37</f>
        <v>kg</v>
      </c>
      <c r="E525" s="80">
        <f>HaoPhiVatTu!F$220</f>
        <v>4.7</v>
      </c>
      <c r="F525" s="15">
        <f>ROUND('Tổng hợp VT'!O$42,1)</f>
        <v>25000</v>
      </c>
      <c r="G525" s="81">
        <f>'Giá tháng'!G$37</f>
        <v>1</v>
      </c>
      <c r="H525" s="15">
        <f>ROUND(E525*F525*G525,1)</f>
        <v>117500</v>
      </c>
    </row>
    <row r="526" spans="1:8" ht="16.5" customHeight="1">
      <c r="A526" s="127"/>
      <c r="B526" s="13"/>
      <c r="C526" s="14" t="s">
        <v>776</v>
      </c>
      <c r="D526" s="13"/>
      <c r="E526" s="80"/>
      <c r="F526" s="15"/>
      <c r="G526" s="81"/>
      <c r="H526" s="15">
        <f>ROUND(SUM(H523:H525),1)</f>
        <v>17170220</v>
      </c>
    </row>
    <row r="527" spans="1:8" ht="16.5" customHeight="1">
      <c r="A527" s="131"/>
      <c r="B527" s="91"/>
      <c r="C527" s="90" t="s">
        <v>678</v>
      </c>
      <c r="D527" s="91"/>
      <c r="E527" s="93"/>
      <c r="F527" s="132"/>
      <c r="G527" s="94"/>
      <c r="H527" s="132">
        <f>ROUND(H528,1)</f>
        <v>2420880</v>
      </c>
    </row>
    <row r="528" spans="1:8" ht="16.5" customHeight="1">
      <c r="A528" s="127"/>
      <c r="B528" s="13" t="str">
        <f>'Giá tháng'!B$51</f>
        <v>N2.35</v>
      </c>
      <c r="C528" s="14" t="str">
        <f>'Giá tháng'!C$51</f>
        <v>Nhân công 3,5/7 - Nhóm 2</v>
      </c>
      <c r="D528" s="13" t="str">
        <f>'Giá tháng'!D$51</f>
        <v>công</v>
      </c>
      <c r="E528" s="80">
        <f>HaoPhiVatTu!G$222</f>
        <v>9.24</v>
      </c>
      <c r="F528" s="15">
        <f>ROUND('Tổng hợp VT'!O$59,1)</f>
        <v>262000</v>
      </c>
      <c r="G528" s="81">
        <f>'Giá tháng'!G$51</f>
        <v>1</v>
      </c>
      <c r="H528" s="15">
        <f>ROUND(E528*F528*G528,1)</f>
        <v>2420880</v>
      </c>
    </row>
    <row r="529" spans="1:8" ht="16.5" customHeight="1">
      <c r="A529" s="131"/>
      <c r="B529" s="91"/>
      <c r="C529" s="90" t="s">
        <v>679</v>
      </c>
      <c r="D529" s="91"/>
      <c r="E529" s="93"/>
      <c r="F529" s="132"/>
      <c r="G529" s="94"/>
      <c r="H529" s="132">
        <f>ROUND(H532,1)</f>
        <v>545678.30000000005</v>
      </c>
    </row>
    <row r="530" spans="1:8" ht="27.75" customHeight="1">
      <c r="A530" s="127"/>
      <c r="B530" s="13" t="str">
        <f>'Giá tháng'!B$64</f>
        <v>M112.4003</v>
      </c>
      <c r="C530" s="14" t="str">
        <f>'Giá tháng'!C$64</f>
        <v>Máy hàn xoay chiều - công suất : 23,0 kW</v>
      </c>
      <c r="D530" s="13" t="str">
        <f>'Giá tháng'!D$64</f>
        <v>ca</v>
      </c>
      <c r="E530" s="80">
        <f>HaoPhiVatTu!H$224</f>
        <v>1.133</v>
      </c>
      <c r="F530" s="15">
        <f>ROUND('Tổng hợp VT'!O$73,1)</f>
        <v>402656</v>
      </c>
      <c r="G530" s="81">
        <f>'Giá tháng'!G$64</f>
        <v>1</v>
      </c>
      <c r="H530" s="15">
        <f>ROUND(E530*F530*G530,1)</f>
        <v>456209.2</v>
      </c>
    </row>
    <row r="531" spans="1:8" ht="27.75" customHeight="1">
      <c r="A531" s="127"/>
      <c r="B531" s="13" t="str">
        <f>'Giá tháng'!B$56</f>
        <v>M112.2601</v>
      </c>
      <c r="C531" s="14" t="str">
        <f>'Giá tháng'!C$56</f>
        <v>Máy cắt uốn cốt thép - công suất : 5,0 kW</v>
      </c>
      <c r="D531" s="13" t="str">
        <f>'Giá tháng'!D$56</f>
        <v>ca</v>
      </c>
      <c r="E531" s="80">
        <f>HaoPhiVatTu!H$225</f>
        <v>0.32</v>
      </c>
      <c r="F531" s="15">
        <f>ROUND('Tổng hợp VT'!O$65,1)</f>
        <v>279591</v>
      </c>
      <c r="G531" s="81">
        <f>'Giá tháng'!G$56</f>
        <v>1</v>
      </c>
      <c r="H531" s="15">
        <f>ROUND(E531*F531*G531,1)</f>
        <v>89469.1</v>
      </c>
    </row>
    <row r="532" spans="1:8" ht="16.5" customHeight="1">
      <c r="A532" s="127"/>
      <c r="B532" s="13"/>
      <c r="C532" s="14" t="s">
        <v>776</v>
      </c>
      <c r="D532" s="13"/>
      <c r="E532" s="19"/>
      <c r="F532" s="15"/>
      <c r="G532" s="18"/>
      <c r="H532" s="15">
        <f>ROUND(SUM(H530:H531),1)</f>
        <v>545678.30000000005</v>
      </c>
    </row>
    <row r="533" spans="1:8" ht="27.75" customHeight="1">
      <c r="A533" s="238"/>
      <c r="B533" s="159"/>
      <c r="C533" s="158" t="s">
        <v>1085</v>
      </c>
      <c r="D533" s="159" t="s">
        <v>810</v>
      </c>
      <c r="E533" s="239"/>
      <c r="F533" s="162"/>
      <c r="G533" s="240"/>
      <c r="H533" s="162">
        <f>ROUND(H522+H527+H529,1)</f>
        <v>20136778.300000001</v>
      </c>
    </row>
    <row r="534" spans="1:8" ht="16.5" customHeight="1">
      <c r="A534" s="241"/>
      <c r="B534" s="147"/>
      <c r="C534" s="146" t="s">
        <v>812</v>
      </c>
      <c r="D534" s="147" t="str">
        <f>""</f>
        <v/>
      </c>
      <c r="E534" s="242"/>
      <c r="F534" s="150"/>
      <c r="G534" s="149"/>
      <c r="H534" s="150"/>
    </row>
    <row r="535" spans="1:8" ht="16.5" customHeight="1">
      <c r="A535" s="241"/>
      <c r="B535" s="147"/>
      <c r="C535" s="146" t="str">
        <f>"Chi phí chung ( T x "&amp;HSXL!C$14&amp;" )"</f>
        <v>Chi phí chung ( T x 6,2% )</v>
      </c>
      <c r="D535" s="147" t="s">
        <v>807</v>
      </c>
      <c r="E535" s="242" t="str">
        <f>HSXL!C$14</f>
        <v>6,2%</v>
      </c>
      <c r="F535" s="150"/>
      <c r="G535" s="149"/>
      <c r="H535" s="150">
        <f>ROUND(H533*HSXL!D$14,1)</f>
        <v>1248480.3</v>
      </c>
    </row>
    <row r="536" spans="1:8" ht="27.75" customHeight="1">
      <c r="A536" s="241"/>
      <c r="B536" s="147"/>
      <c r="C536" s="146" t="str">
        <f>"Chi phí nhà tạm để ở và điều hành thi công ( T x "&amp;HSXL!C$18&amp;" )"</f>
        <v>Chi phí nhà tạm để ở và điều hành thi công ( T x 2,2% )</v>
      </c>
      <c r="D536" s="147" t="s">
        <v>815</v>
      </c>
      <c r="E536" s="242" t="str">
        <f>HSXL!C$18</f>
        <v>2,2%</v>
      </c>
      <c r="F536" s="150"/>
      <c r="G536" s="149"/>
      <c r="H536" s="150">
        <f>ROUND(H533*HSXL!D$18,1)</f>
        <v>443009.1</v>
      </c>
    </row>
    <row r="537" spans="1:8" ht="39.75" customHeight="1">
      <c r="A537" s="241"/>
      <c r="B537" s="147"/>
      <c r="C537" s="146" t="str">
        <f>"Chi phí một số công việc không xác định được khối lượng từ thiết kế ( T x "&amp;HSXL!C$13&amp;" )"</f>
        <v>Chi phí một số công việc không xác định được khối lượng từ thiết kế ( T x 2% )</v>
      </c>
      <c r="D537" s="147" t="s">
        <v>61</v>
      </c>
      <c r="E537" s="242" t="str">
        <f>HSXL!C$13</f>
        <v>2%</v>
      </c>
      <c r="F537" s="150"/>
      <c r="G537" s="149"/>
      <c r="H537" s="150">
        <f>ROUND(H533*HSXL!D$13,1)</f>
        <v>402735.6</v>
      </c>
    </row>
    <row r="538" spans="1:8" ht="27.75" customHeight="1">
      <c r="A538" s="238"/>
      <c r="B538" s="159"/>
      <c r="C538" s="158" t="s">
        <v>1086</v>
      </c>
      <c r="D538" s="159" t="s">
        <v>818</v>
      </c>
      <c r="E538" s="239"/>
      <c r="F538" s="162"/>
      <c r="G538" s="240"/>
      <c r="H538" s="162">
        <f>ROUND(SUM(H535:H537),1)</f>
        <v>2094225</v>
      </c>
    </row>
    <row r="539" spans="1:8" ht="27.75" customHeight="1">
      <c r="A539" s="241"/>
      <c r="B539" s="147"/>
      <c r="C539" s="146" t="str">
        <f>"THU NHẬP CHỊU THUẾ TÍNH TRƯỚC (T+GT) x "&amp;HSXL!C$16</f>
        <v>THU NHẬP CHỊU THUẾ TÍNH TRƯỚC (T+GT) x 6%</v>
      </c>
      <c r="D539" s="147" t="s">
        <v>821</v>
      </c>
      <c r="E539" s="242" t="str">
        <f>HSXL!C$16</f>
        <v>6%</v>
      </c>
      <c r="F539" s="150"/>
      <c r="G539" s="149"/>
      <c r="H539" s="150">
        <f>ROUND((H533+H538)*HSXL!D$16,1)</f>
        <v>1333860.2</v>
      </c>
    </row>
    <row r="540" spans="1:8" ht="27.75" customHeight="1">
      <c r="A540" s="241"/>
      <c r="B540" s="147"/>
      <c r="C540" s="146" t="s">
        <v>1087</v>
      </c>
      <c r="D540" s="147" t="s">
        <v>823</v>
      </c>
      <c r="E540" s="242"/>
      <c r="F540" s="150"/>
      <c r="G540" s="149"/>
      <c r="H540" s="150">
        <f>ROUND(H533+H538+H539,0)</f>
        <v>23564864</v>
      </c>
    </row>
    <row r="541" spans="1:8" ht="27.75" customHeight="1">
      <c r="A541" s="241"/>
      <c r="B541" s="147"/>
      <c r="C541" s="146" t="str">
        <f>"THUẾ GIÁ TRỊ GIA TĂNG ( G x "&amp;HSXL!C$17&amp;" )"</f>
        <v>THUẾ GIÁ TRỊ GIA TĂNG ( G x 10% )</v>
      </c>
      <c r="D541" s="147" t="s">
        <v>827</v>
      </c>
      <c r="E541" s="164">
        <f>HSXL!D$17</f>
        <v>0.1</v>
      </c>
      <c r="F541" s="150"/>
      <c r="G541" s="149"/>
      <c r="H541" s="150">
        <f>ROUND(E541*H540,1)</f>
        <v>2356486.4</v>
      </c>
    </row>
    <row r="542" spans="1:8" ht="27.75" customHeight="1">
      <c r="A542" s="243"/>
      <c r="B542" s="244"/>
      <c r="C542" s="245" t="s">
        <v>1088</v>
      </c>
      <c r="D542" s="244" t="s">
        <v>830</v>
      </c>
      <c r="E542" s="246"/>
      <c r="F542" s="247"/>
      <c r="G542" s="248"/>
      <c r="H542" s="249">
        <f>ROUND(H540+H541,0)</f>
        <v>25921350</v>
      </c>
    </row>
    <row r="543" spans="1:8" ht="16.5" customHeight="1">
      <c r="A543" s="128">
        <f>'Công trình'!A72</f>
        <v>13</v>
      </c>
      <c r="B543" s="129" t="str">
        <f>'Công trình'!E72</f>
        <v>AI.13131</v>
      </c>
      <c r="C543" s="130" t="str">
        <f>'Công trình'!F72</f>
        <v>Thép góc viền cổ ga</v>
      </c>
      <c r="D543" s="129" t="str">
        <f>'Công trình'!G72</f>
        <v>tấn</v>
      </c>
      <c r="E543" s="237">
        <v>1</v>
      </c>
      <c r="F543" s="69"/>
      <c r="G543" s="68"/>
      <c r="H543" s="69"/>
    </row>
    <row r="544" spans="1:8" ht="16.5" customHeight="1">
      <c r="A544" s="131"/>
      <c r="B544" s="91"/>
      <c r="C544" s="90" t="s">
        <v>683</v>
      </c>
      <c r="D544" s="91"/>
      <c r="E544" s="93"/>
      <c r="F544" s="132"/>
      <c r="G544" s="94"/>
      <c r="H544" s="132">
        <f>ROUND(H552,1)</f>
        <v>20495537.899999999</v>
      </c>
    </row>
    <row r="545" spans="1:8" ht="16.5" customHeight="1">
      <c r="A545" s="127"/>
      <c r="B545" s="13" t="str">
        <f>'Giá tháng'!B$40</f>
        <v>A24.0726</v>
      </c>
      <c r="C545" s="14" t="str">
        <f>'Giá tháng'!C$40</f>
        <v>Thép tấm</v>
      </c>
      <c r="D545" s="13" t="str">
        <f>'Giá tháng'!D$40</f>
        <v>kg</v>
      </c>
      <c r="E545" s="80">
        <f>HaoPhiVatTu!F$228</f>
        <v>787</v>
      </c>
      <c r="F545" s="15">
        <f>ROUND('Tổng hợp VT'!O$45,1)</f>
        <v>19500</v>
      </c>
      <c r="G545" s="81">
        <f>'Giá tháng'!G$40</f>
        <v>1</v>
      </c>
      <c r="H545" s="15">
        <f t="shared" ref="H545:H550" si="1">ROUND(E545*F545*G545,1)</f>
        <v>15346500</v>
      </c>
    </row>
    <row r="546" spans="1:8" ht="16.5" customHeight="1">
      <c r="A546" s="127"/>
      <c r="B546" s="13" t="str">
        <f>'Giá tháng'!B$41</f>
        <v>A24.0735</v>
      </c>
      <c r="C546" s="14" t="str">
        <f>'Giá tháng'!C$41</f>
        <v>Thép tròn</v>
      </c>
      <c r="D546" s="13" t="str">
        <f>'Giá tháng'!D$41</f>
        <v>kg</v>
      </c>
      <c r="E546" s="80">
        <f>HaoPhiVatTu!F$229</f>
        <v>263</v>
      </c>
      <c r="F546" s="15">
        <f>ROUND('Tổng hợp VT'!O$46,1)</f>
        <v>16500</v>
      </c>
      <c r="G546" s="81">
        <f>'Giá tháng'!G$41</f>
        <v>1</v>
      </c>
      <c r="H546" s="15">
        <f t="shared" si="1"/>
        <v>4339500</v>
      </c>
    </row>
    <row r="547" spans="1:8" ht="16.5" customHeight="1">
      <c r="A547" s="127"/>
      <c r="B547" s="13" t="str">
        <f>'Giá tháng'!B$34</f>
        <v>A24.0001</v>
      </c>
      <c r="C547" s="14" t="str">
        <f>'Giá tháng'!C$34</f>
        <v>Ô xy</v>
      </c>
      <c r="D547" s="13" t="str">
        <f>'Giá tháng'!D$34</f>
        <v>chai</v>
      </c>
      <c r="E547" s="80">
        <f>HaoPhiVatTu!F$230</f>
        <v>2.69</v>
      </c>
      <c r="F547" s="15">
        <f>ROUND('Tổng hợp VT'!O$39,1)</f>
        <v>83000</v>
      </c>
      <c r="G547" s="81">
        <f>'Giá tháng'!G$34</f>
        <v>1</v>
      </c>
      <c r="H547" s="15">
        <f t="shared" si="1"/>
        <v>223270</v>
      </c>
    </row>
    <row r="548" spans="1:8" ht="16.5" customHeight="1">
      <c r="A548" s="127"/>
      <c r="B548" s="13" t="str">
        <f>'Giá tháng'!B$26</f>
        <v>A24.0931</v>
      </c>
      <c r="C548" s="14" t="str">
        <f>'Giá tháng'!C$26</f>
        <v>Khí gas</v>
      </c>
      <c r="D548" s="13" t="str">
        <f>'Giá tháng'!D$26</f>
        <v>kg</v>
      </c>
      <c r="E548" s="80">
        <f>HaoPhiVatTu!F$231</f>
        <v>5.38</v>
      </c>
      <c r="F548" s="15">
        <f>ROUND('Tổng hợp VT'!O$31,1)</f>
        <v>35000</v>
      </c>
      <c r="G548" s="81">
        <f>'Giá tháng'!G$26</f>
        <v>1</v>
      </c>
      <c r="H548" s="15">
        <f t="shared" si="1"/>
        <v>188300</v>
      </c>
    </row>
    <row r="549" spans="1:8" ht="16.5" customHeight="1">
      <c r="A549" s="127"/>
      <c r="B549" s="13" t="str">
        <f>'Giá tháng'!B$18</f>
        <v>A24.0032</v>
      </c>
      <c r="C549" s="14" t="str">
        <f>'Giá tháng'!C$18</f>
        <v>Đá mài</v>
      </c>
      <c r="D549" s="13" t="str">
        <f>'Giá tháng'!D$18</f>
        <v>viên</v>
      </c>
      <c r="E549" s="80">
        <f>HaoPhiVatTu!F$232</f>
        <v>0.6</v>
      </c>
      <c r="F549" s="15">
        <f>ROUND('Tổng hợp VT'!O$23,1)</f>
        <v>35000</v>
      </c>
      <c r="G549" s="81">
        <f>'Giá tháng'!G$18</f>
        <v>1</v>
      </c>
      <c r="H549" s="15">
        <f t="shared" si="1"/>
        <v>21000</v>
      </c>
    </row>
    <row r="550" spans="1:8" ht="16.5" customHeight="1">
      <c r="A550" s="127"/>
      <c r="B550" s="13" t="str">
        <f>'Giá tháng'!B$37</f>
        <v>A24.0543</v>
      </c>
      <c r="C550" s="14" t="str">
        <f>'Giá tháng'!C$37</f>
        <v>Que hàn</v>
      </c>
      <c r="D550" s="13" t="str">
        <f>'Giá tháng'!D$37</f>
        <v>kg</v>
      </c>
      <c r="E550" s="80">
        <f>HaoPhiVatTu!F$233</f>
        <v>11</v>
      </c>
      <c r="F550" s="15">
        <f>ROUND('Tổng hợp VT'!O$42,1)</f>
        <v>25000</v>
      </c>
      <c r="G550" s="81">
        <f>'Giá tháng'!G$37</f>
        <v>1</v>
      </c>
      <c r="H550" s="15">
        <f t="shared" si="1"/>
        <v>275000</v>
      </c>
    </row>
    <row r="551" spans="1:8" ht="16.5" customHeight="1">
      <c r="A551" s="127"/>
      <c r="B551" s="13" t="s">
        <v>684</v>
      </c>
      <c r="C551" s="14" t="s">
        <v>685</v>
      </c>
      <c r="D551" s="13" t="s">
        <v>682</v>
      </c>
      <c r="E551" s="80">
        <f>HaoPhiVatTu!F$234</f>
        <v>0.5</v>
      </c>
      <c r="F551" s="15">
        <f>ROUND(SUM(H545:H550),1)</f>
        <v>20393570</v>
      </c>
      <c r="G551" s="81"/>
      <c r="H551" s="15">
        <f>ROUND(E551*F551/100,1)</f>
        <v>101967.9</v>
      </c>
    </row>
    <row r="552" spans="1:8" ht="16.5" customHeight="1">
      <c r="A552" s="127"/>
      <c r="B552" s="13"/>
      <c r="C552" s="14" t="s">
        <v>776</v>
      </c>
      <c r="D552" s="13"/>
      <c r="E552" s="80"/>
      <c r="F552" s="15"/>
      <c r="G552" s="81"/>
      <c r="H552" s="15">
        <f>ROUND(SUM(H545:H551),1)</f>
        <v>20495537.899999999</v>
      </c>
    </row>
    <row r="553" spans="1:8" ht="16.5" customHeight="1">
      <c r="A553" s="131"/>
      <c r="B553" s="91"/>
      <c r="C553" s="90" t="s">
        <v>678</v>
      </c>
      <c r="D553" s="91"/>
      <c r="E553" s="93"/>
      <c r="F553" s="132"/>
      <c r="G553" s="94"/>
      <c r="H553" s="132">
        <f>ROUND(H554,1)</f>
        <v>5557332.2999999998</v>
      </c>
    </row>
    <row r="554" spans="1:8" ht="16.5" customHeight="1">
      <c r="A554" s="127"/>
      <c r="B554" s="13" t="str">
        <f>'Giá tháng'!B$53</f>
        <v>N2.40</v>
      </c>
      <c r="C554" s="14" t="str">
        <f>'Giá tháng'!C$53</f>
        <v>Nhân công 4,0/7 - Nhóm 2</v>
      </c>
      <c r="D554" s="13" t="str">
        <f>'Giá tháng'!D$53</f>
        <v>công</v>
      </c>
      <c r="E554" s="80">
        <f>HaoPhiVatTu!G$236</f>
        <v>19.54</v>
      </c>
      <c r="F554" s="15">
        <f>ROUND('Tổng hợp VT'!O$60,1)</f>
        <v>284408</v>
      </c>
      <c r="G554" s="81">
        <f>'Giá tháng'!G$53</f>
        <v>1</v>
      </c>
      <c r="H554" s="15">
        <f>ROUND(E554*F554*G554,1)</f>
        <v>5557332.2999999998</v>
      </c>
    </row>
    <row r="555" spans="1:8" ht="16.5" customHeight="1">
      <c r="A555" s="131"/>
      <c r="B555" s="91"/>
      <c r="C555" s="90" t="s">
        <v>679</v>
      </c>
      <c r="D555" s="91"/>
      <c r="E555" s="93"/>
      <c r="F555" s="132"/>
      <c r="G555" s="94"/>
      <c r="H555" s="132">
        <f>ROUND(H560,1)</f>
        <v>1149945.3</v>
      </c>
    </row>
    <row r="556" spans="1:8" ht="27.75" customHeight="1">
      <c r="A556" s="127"/>
      <c r="B556" s="13" t="str">
        <f>'Giá tháng'!B$64</f>
        <v>M112.4003</v>
      </c>
      <c r="C556" s="14" t="str">
        <f>'Giá tháng'!C$64</f>
        <v>Máy hàn xoay chiều - công suất : 23,0 kW</v>
      </c>
      <c r="D556" s="13" t="str">
        <f>'Giá tháng'!D$64</f>
        <v>ca</v>
      </c>
      <c r="E556" s="80">
        <f>HaoPhiVatTu!H$238</f>
        <v>2.62</v>
      </c>
      <c r="F556" s="15">
        <f>ROUND('Tổng hợp VT'!O$73,1)</f>
        <v>402656</v>
      </c>
      <c r="G556" s="81">
        <f>'Giá tháng'!G$64</f>
        <v>1</v>
      </c>
      <c r="H556" s="15">
        <f>ROUND(E556*F556*G556,1)</f>
        <v>1054958.7</v>
      </c>
    </row>
    <row r="557" spans="1:8" ht="27.75" customHeight="1">
      <c r="A557" s="127"/>
      <c r="B557" s="13" t="str">
        <f>'Giá tháng'!B$71</f>
        <v>M112.3703</v>
      </c>
      <c r="C557" s="14" t="str">
        <f>'Giá tháng'!C$71</f>
        <v>Máy mài - công suất : 2,7 kW</v>
      </c>
      <c r="D557" s="13" t="str">
        <f>'Giá tháng'!D$71</f>
        <v>ca</v>
      </c>
      <c r="E557" s="80">
        <f>HaoPhiVatTu!H$239</f>
        <v>1.29</v>
      </c>
      <c r="F557" s="15">
        <f>ROUND('Tổng hợp VT'!O$80,1)</f>
        <v>18228</v>
      </c>
      <c r="G557" s="81">
        <f>'Giá tháng'!G$71</f>
        <v>1</v>
      </c>
      <c r="H557" s="15">
        <f>ROUND(E557*F557*G557,1)</f>
        <v>23514.1</v>
      </c>
    </row>
    <row r="558" spans="1:8" ht="27.75" customHeight="1">
      <c r="A558" s="127"/>
      <c r="B558" s="13" t="str">
        <f>'Giá tháng'!B$65</f>
        <v>M112.1501</v>
      </c>
      <c r="C558" s="14" t="str">
        <f>'Giá tháng'!C$65</f>
        <v>Máy khoan đứng - công suất : 2,5 kW</v>
      </c>
      <c r="D558" s="13" t="str">
        <f>'Giá tháng'!D$65</f>
        <v>ca</v>
      </c>
      <c r="E558" s="80">
        <f>HaoPhiVatTu!H$240</f>
        <v>1.29</v>
      </c>
      <c r="F558" s="15">
        <f>ROUND('Tổng hợp VT'!O$74,1)</f>
        <v>46579</v>
      </c>
      <c r="G558" s="81">
        <f>'Giá tháng'!G$65</f>
        <v>1</v>
      </c>
      <c r="H558" s="15">
        <f>ROUND(E558*F558*G558,1)</f>
        <v>60086.9</v>
      </c>
    </row>
    <row r="559" spans="1:8" ht="16.5" customHeight="1">
      <c r="A559" s="127"/>
      <c r="B559" s="13" t="s">
        <v>680</v>
      </c>
      <c r="C559" s="14" t="s">
        <v>681</v>
      </c>
      <c r="D559" s="13" t="s">
        <v>682</v>
      </c>
      <c r="E559" s="80">
        <f>HaoPhiVatTu!H$241</f>
        <v>1</v>
      </c>
      <c r="F559" s="15">
        <f>ROUND(SUM(H556:H558),1)</f>
        <v>1138559.7</v>
      </c>
      <c r="G559" s="81"/>
      <c r="H559" s="15">
        <f>ROUND(E559*F559/100,1)</f>
        <v>11385.6</v>
      </c>
    </row>
    <row r="560" spans="1:8" ht="16.5" customHeight="1">
      <c r="A560" s="127"/>
      <c r="B560" s="13"/>
      <c r="C560" s="14" t="s">
        <v>776</v>
      </c>
      <c r="D560" s="13"/>
      <c r="E560" s="19"/>
      <c r="F560" s="15"/>
      <c r="G560" s="18"/>
      <c r="H560" s="15">
        <f>ROUND(SUM(H556:H559),1)</f>
        <v>1149945.3</v>
      </c>
    </row>
    <row r="561" spans="1:8" ht="27.75" customHeight="1">
      <c r="A561" s="238"/>
      <c r="B561" s="159"/>
      <c r="C561" s="158" t="s">
        <v>1085</v>
      </c>
      <c r="D561" s="159" t="s">
        <v>810</v>
      </c>
      <c r="E561" s="239"/>
      <c r="F561" s="162"/>
      <c r="G561" s="240"/>
      <c r="H561" s="162">
        <f>ROUND(H544+H553+H555,1)</f>
        <v>27202815.5</v>
      </c>
    </row>
    <row r="562" spans="1:8" ht="16.5" customHeight="1">
      <c r="A562" s="241"/>
      <c r="B562" s="147"/>
      <c r="C562" s="146" t="s">
        <v>812</v>
      </c>
      <c r="D562" s="147" t="str">
        <f>""</f>
        <v/>
      </c>
      <c r="E562" s="242"/>
      <c r="F562" s="150"/>
      <c r="G562" s="149"/>
      <c r="H562" s="150"/>
    </row>
    <row r="563" spans="1:8" ht="16.5" customHeight="1">
      <c r="A563" s="241"/>
      <c r="B563" s="147"/>
      <c r="C563" s="146" t="str">
        <f>"Chi phí chung ( T x "&amp;HSXL!C$14&amp;" )"</f>
        <v>Chi phí chung ( T x 6,2% )</v>
      </c>
      <c r="D563" s="147" t="s">
        <v>807</v>
      </c>
      <c r="E563" s="242" t="str">
        <f>HSXL!C$14</f>
        <v>6,2%</v>
      </c>
      <c r="F563" s="150"/>
      <c r="G563" s="149"/>
      <c r="H563" s="150">
        <f>ROUND(H561*HSXL!D$14,1)</f>
        <v>1686574.6</v>
      </c>
    </row>
    <row r="564" spans="1:8" ht="27.75" customHeight="1">
      <c r="A564" s="241"/>
      <c r="B564" s="147"/>
      <c r="C564" s="146" t="str">
        <f>"Chi phí nhà tạm để ở và điều hành thi công ( T x "&amp;HSXL!C$18&amp;" )"</f>
        <v>Chi phí nhà tạm để ở và điều hành thi công ( T x 2,2% )</v>
      </c>
      <c r="D564" s="147" t="s">
        <v>815</v>
      </c>
      <c r="E564" s="242" t="str">
        <f>HSXL!C$18</f>
        <v>2,2%</v>
      </c>
      <c r="F564" s="150"/>
      <c r="G564" s="149"/>
      <c r="H564" s="150">
        <f>ROUND(H561*HSXL!D$18,1)</f>
        <v>598461.9</v>
      </c>
    </row>
    <row r="565" spans="1:8" ht="39.75" customHeight="1">
      <c r="A565" s="241"/>
      <c r="B565" s="147"/>
      <c r="C565" s="146" t="str">
        <f>"Chi phí một số công việc không xác định được khối lượng từ thiết kế ( T x "&amp;HSXL!C$13&amp;" )"</f>
        <v>Chi phí một số công việc không xác định được khối lượng từ thiết kế ( T x 2% )</v>
      </c>
      <c r="D565" s="147" t="s">
        <v>61</v>
      </c>
      <c r="E565" s="242" t="str">
        <f>HSXL!C$13</f>
        <v>2%</v>
      </c>
      <c r="F565" s="150"/>
      <c r="G565" s="149"/>
      <c r="H565" s="150">
        <f>ROUND(H561*HSXL!D$13,1)</f>
        <v>544056.30000000005</v>
      </c>
    </row>
    <row r="566" spans="1:8" ht="27.75" customHeight="1">
      <c r="A566" s="238"/>
      <c r="B566" s="159"/>
      <c r="C566" s="158" t="s">
        <v>1086</v>
      </c>
      <c r="D566" s="159" t="s">
        <v>818</v>
      </c>
      <c r="E566" s="239"/>
      <c r="F566" s="162"/>
      <c r="G566" s="240"/>
      <c r="H566" s="162">
        <f>ROUND(SUM(H563:H565),1)</f>
        <v>2829092.8</v>
      </c>
    </row>
    <row r="567" spans="1:8" ht="27.75" customHeight="1">
      <c r="A567" s="241"/>
      <c r="B567" s="147"/>
      <c r="C567" s="146" t="str">
        <f>"THU NHẬP CHỊU THUẾ TÍNH TRƯỚC (T+GT) x "&amp;HSXL!C$16</f>
        <v>THU NHẬP CHỊU THUẾ TÍNH TRƯỚC (T+GT) x 6%</v>
      </c>
      <c r="D567" s="147" t="s">
        <v>821</v>
      </c>
      <c r="E567" s="242" t="str">
        <f>HSXL!C$16</f>
        <v>6%</v>
      </c>
      <c r="F567" s="150"/>
      <c r="G567" s="149"/>
      <c r="H567" s="150">
        <f>ROUND((H561+H566)*HSXL!D$16,1)</f>
        <v>1801914.5</v>
      </c>
    </row>
    <row r="568" spans="1:8" ht="27.75" customHeight="1">
      <c r="A568" s="241"/>
      <c r="B568" s="147"/>
      <c r="C568" s="146" t="s">
        <v>1087</v>
      </c>
      <c r="D568" s="147" t="s">
        <v>823</v>
      </c>
      <c r="E568" s="242"/>
      <c r="F568" s="150"/>
      <c r="G568" s="149"/>
      <c r="H568" s="150">
        <f>ROUND(H561+H566+H567,0)</f>
        <v>31833823</v>
      </c>
    </row>
    <row r="569" spans="1:8" ht="27.75" customHeight="1">
      <c r="A569" s="241"/>
      <c r="B569" s="147"/>
      <c r="C569" s="146" t="str">
        <f>"THUẾ GIÁ TRỊ GIA TĂNG ( G x "&amp;HSXL!C$17&amp;" )"</f>
        <v>THUẾ GIÁ TRỊ GIA TĂNG ( G x 10% )</v>
      </c>
      <c r="D569" s="147" t="s">
        <v>827</v>
      </c>
      <c r="E569" s="164">
        <f>HSXL!D$17</f>
        <v>0.1</v>
      </c>
      <c r="F569" s="150"/>
      <c r="G569" s="149"/>
      <c r="H569" s="150">
        <f>ROUND(E569*H568,1)</f>
        <v>3183382.3</v>
      </c>
    </row>
    <row r="570" spans="1:8" ht="27.75" customHeight="1">
      <c r="A570" s="243"/>
      <c r="B570" s="244"/>
      <c r="C570" s="245" t="s">
        <v>1088</v>
      </c>
      <c r="D570" s="244" t="s">
        <v>830</v>
      </c>
      <c r="E570" s="246"/>
      <c r="F570" s="247"/>
      <c r="G570" s="248"/>
      <c r="H570" s="249">
        <f>ROUND(H568+H569,0)</f>
        <v>35017205</v>
      </c>
    </row>
    <row r="571" spans="1:8" ht="40.5" customHeight="1">
      <c r="A571" s="128">
        <f>'Công trình'!A75</f>
        <v>14</v>
      </c>
      <c r="B571" s="129" t="str">
        <f>'Công trình'!E75</f>
        <v>AG.13231</v>
      </c>
      <c r="C571" s="130" t="str">
        <f>'Công trình'!F75</f>
        <v>Công tác gia công, lắp đặt cốt thép bê tông đúc sẵn. Cốt thép tấm đan</v>
      </c>
      <c r="D571" s="129" t="str">
        <f>'Công trình'!G75</f>
        <v>tấn</v>
      </c>
      <c r="E571" s="237">
        <v>1</v>
      </c>
      <c r="F571" s="69"/>
      <c r="G571" s="68"/>
      <c r="H571" s="69"/>
    </row>
    <row r="572" spans="1:8" ht="16.5" customHeight="1">
      <c r="A572" s="131"/>
      <c r="B572" s="91"/>
      <c r="C572" s="90" t="s">
        <v>683</v>
      </c>
      <c r="D572" s="91"/>
      <c r="E572" s="93"/>
      <c r="F572" s="132"/>
      <c r="G572" s="94"/>
      <c r="H572" s="132">
        <f>ROUND(H575,1)</f>
        <v>17215680</v>
      </c>
    </row>
    <row r="573" spans="1:8" ht="16.5" customHeight="1">
      <c r="A573" s="127"/>
      <c r="B573" s="13" t="str">
        <f>'Giá tháng'!B$41</f>
        <v>A24.0735</v>
      </c>
      <c r="C573" s="14" t="str">
        <f>'Giá tháng'!C$41</f>
        <v>Thép tròn</v>
      </c>
      <c r="D573" s="13" t="str">
        <f>'Giá tháng'!D$41</f>
        <v>kg</v>
      </c>
      <c r="E573" s="80">
        <f>HaoPhiVatTu!F$244</f>
        <v>1020</v>
      </c>
      <c r="F573" s="15">
        <f>ROUND('Tổng hợp VT'!O$46,1)</f>
        <v>16500</v>
      </c>
      <c r="G573" s="81">
        <f>'Giá tháng'!G$41</f>
        <v>1</v>
      </c>
      <c r="H573" s="15">
        <f>ROUND(E573*F573*G573,1)</f>
        <v>16830000</v>
      </c>
    </row>
    <row r="574" spans="1:8" ht="16.5" customHeight="1">
      <c r="A574" s="127"/>
      <c r="B574" s="13" t="str">
        <f>'Giá tháng'!B$14</f>
        <v>A24.0293</v>
      </c>
      <c r="C574" s="14" t="str">
        <f>'Giá tháng'!C$14</f>
        <v>Dây thép</v>
      </c>
      <c r="D574" s="13" t="str">
        <f>'Giá tháng'!D$14</f>
        <v>kg</v>
      </c>
      <c r="E574" s="80">
        <f>HaoPhiVatTu!F$245</f>
        <v>16.07</v>
      </c>
      <c r="F574" s="15">
        <f>ROUND('Tổng hợp VT'!O$19,1)</f>
        <v>24000</v>
      </c>
      <c r="G574" s="81">
        <f>'Giá tháng'!G$14</f>
        <v>1</v>
      </c>
      <c r="H574" s="15">
        <f>ROUND(E574*F574*G574,1)</f>
        <v>385680</v>
      </c>
    </row>
    <row r="575" spans="1:8" ht="16.5" customHeight="1">
      <c r="A575" s="127"/>
      <c r="B575" s="13"/>
      <c r="C575" s="14" t="s">
        <v>776</v>
      </c>
      <c r="D575" s="13"/>
      <c r="E575" s="80"/>
      <c r="F575" s="15"/>
      <c r="G575" s="81"/>
      <c r="H575" s="15">
        <f>ROUND(SUM(H573:H574),1)</f>
        <v>17215680</v>
      </c>
    </row>
    <row r="576" spans="1:8" ht="16.5" customHeight="1">
      <c r="A576" s="131"/>
      <c r="B576" s="91"/>
      <c r="C576" s="90" t="s">
        <v>678</v>
      </c>
      <c r="D576" s="91"/>
      <c r="E576" s="93"/>
      <c r="F576" s="132"/>
      <c r="G576" s="94"/>
      <c r="H576" s="132">
        <f>ROUND(H577,1)</f>
        <v>4257500</v>
      </c>
    </row>
    <row r="577" spans="1:8" ht="16.5" customHeight="1">
      <c r="A577" s="127"/>
      <c r="B577" s="13" t="str">
        <f>'Giá tháng'!B$51</f>
        <v>N2.35</v>
      </c>
      <c r="C577" s="14" t="str">
        <f>'Giá tháng'!C$51</f>
        <v>Nhân công 3,5/7 - Nhóm 2</v>
      </c>
      <c r="D577" s="13" t="str">
        <f>'Giá tháng'!D$51</f>
        <v>công</v>
      </c>
      <c r="E577" s="80">
        <f>HaoPhiVatTu!G$247</f>
        <v>16.25</v>
      </c>
      <c r="F577" s="15">
        <f>ROUND('Tổng hợp VT'!O$59,1)</f>
        <v>262000</v>
      </c>
      <c r="G577" s="81">
        <f>'Giá tháng'!G$51</f>
        <v>1</v>
      </c>
      <c r="H577" s="15">
        <f>ROUND(E577*F577*G577,1)</f>
        <v>4257500</v>
      </c>
    </row>
    <row r="578" spans="1:8" ht="16.5" customHeight="1">
      <c r="A578" s="131"/>
      <c r="B578" s="91"/>
      <c r="C578" s="90" t="s">
        <v>679</v>
      </c>
      <c r="D578" s="91"/>
      <c r="E578" s="93"/>
      <c r="F578" s="132"/>
      <c r="G578" s="94"/>
      <c r="H578" s="132">
        <f>ROUND(H579,1)</f>
        <v>111836.4</v>
      </c>
    </row>
    <row r="579" spans="1:8" ht="27.75" customHeight="1">
      <c r="A579" s="127"/>
      <c r="B579" s="13" t="str">
        <f>'Giá tháng'!B$56</f>
        <v>M112.2601</v>
      </c>
      <c r="C579" s="14" t="str">
        <f>'Giá tháng'!C$56</f>
        <v>Máy cắt uốn cốt thép - công suất : 5,0 kW</v>
      </c>
      <c r="D579" s="13" t="str">
        <f>'Giá tháng'!D$56</f>
        <v>ca</v>
      </c>
      <c r="E579" s="80">
        <f>HaoPhiVatTu!H$249</f>
        <v>0.4</v>
      </c>
      <c r="F579" s="15">
        <f>ROUND('Tổng hợp VT'!O$65,1)</f>
        <v>279591</v>
      </c>
      <c r="G579" s="81">
        <f>'Giá tháng'!G$56</f>
        <v>1</v>
      </c>
      <c r="H579" s="15">
        <f>ROUND(E579*F579*G579,1)</f>
        <v>111836.4</v>
      </c>
    </row>
    <row r="580" spans="1:8" ht="27.75" customHeight="1">
      <c r="A580" s="238"/>
      <c r="B580" s="159"/>
      <c r="C580" s="158" t="s">
        <v>1085</v>
      </c>
      <c r="D580" s="159" t="s">
        <v>810</v>
      </c>
      <c r="E580" s="239"/>
      <c r="F580" s="162"/>
      <c r="G580" s="240"/>
      <c r="H580" s="162">
        <f>ROUND(H572+H576+H578,1)</f>
        <v>21585016.399999999</v>
      </c>
    </row>
    <row r="581" spans="1:8" ht="16.5" customHeight="1">
      <c r="A581" s="241"/>
      <c r="B581" s="147"/>
      <c r="C581" s="146" t="s">
        <v>812</v>
      </c>
      <c r="D581" s="147" t="str">
        <f>""</f>
        <v/>
      </c>
      <c r="E581" s="242"/>
      <c r="F581" s="150"/>
      <c r="G581" s="149"/>
      <c r="H581" s="150"/>
    </row>
    <row r="582" spans="1:8" ht="16.5" customHeight="1">
      <c r="A582" s="241"/>
      <c r="B582" s="147"/>
      <c r="C582" s="146" t="str">
        <f>"Chi phí chung ( T x "&amp;HSXL!C$14&amp;" )"</f>
        <v>Chi phí chung ( T x 6,2% )</v>
      </c>
      <c r="D582" s="147" t="s">
        <v>807</v>
      </c>
      <c r="E582" s="242" t="str">
        <f>HSXL!C$14</f>
        <v>6,2%</v>
      </c>
      <c r="F582" s="150"/>
      <c r="G582" s="149"/>
      <c r="H582" s="150">
        <f>ROUND(H580*HSXL!D$14,1)</f>
        <v>1338271</v>
      </c>
    </row>
    <row r="583" spans="1:8" ht="27.75" customHeight="1">
      <c r="A583" s="241"/>
      <c r="B583" s="147"/>
      <c r="C583" s="146" t="str">
        <f>"Chi phí nhà tạm để ở và điều hành thi công ( T x "&amp;HSXL!C$18&amp;" )"</f>
        <v>Chi phí nhà tạm để ở và điều hành thi công ( T x 2,2% )</v>
      </c>
      <c r="D583" s="147" t="s">
        <v>815</v>
      </c>
      <c r="E583" s="242" t="str">
        <f>HSXL!C$18</f>
        <v>2,2%</v>
      </c>
      <c r="F583" s="150"/>
      <c r="G583" s="149"/>
      <c r="H583" s="150">
        <f>ROUND(H580*HSXL!D$18,1)</f>
        <v>474870.4</v>
      </c>
    </row>
    <row r="584" spans="1:8" ht="39.75" customHeight="1">
      <c r="A584" s="241"/>
      <c r="B584" s="147"/>
      <c r="C584" s="146" t="str">
        <f>"Chi phí một số công việc không xác định được khối lượng từ thiết kế ( T x "&amp;HSXL!C$13&amp;" )"</f>
        <v>Chi phí một số công việc không xác định được khối lượng từ thiết kế ( T x 2% )</v>
      </c>
      <c r="D584" s="147" t="s">
        <v>61</v>
      </c>
      <c r="E584" s="242" t="str">
        <f>HSXL!C$13</f>
        <v>2%</v>
      </c>
      <c r="F584" s="150"/>
      <c r="G584" s="149"/>
      <c r="H584" s="150">
        <f>ROUND(H580*HSXL!D$13,1)</f>
        <v>431700.3</v>
      </c>
    </row>
    <row r="585" spans="1:8" ht="27.75" customHeight="1">
      <c r="A585" s="238"/>
      <c r="B585" s="159"/>
      <c r="C585" s="158" t="s">
        <v>1086</v>
      </c>
      <c r="D585" s="159" t="s">
        <v>818</v>
      </c>
      <c r="E585" s="239"/>
      <c r="F585" s="162"/>
      <c r="G585" s="240"/>
      <c r="H585" s="162">
        <f>ROUND(SUM(H582:H584),1)</f>
        <v>2244841.7000000002</v>
      </c>
    </row>
    <row r="586" spans="1:8" ht="27.75" customHeight="1">
      <c r="A586" s="241"/>
      <c r="B586" s="147"/>
      <c r="C586" s="146" t="str">
        <f>"THU NHẬP CHỊU THUẾ TÍNH TRƯỚC (T+GT) x "&amp;HSXL!C$16</f>
        <v>THU NHẬP CHỊU THUẾ TÍNH TRƯỚC (T+GT) x 6%</v>
      </c>
      <c r="D586" s="147" t="s">
        <v>821</v>
      </c>
      <c r="E586" s="242" t="str">
        <f>HSXL!C$16</f>
        <v>6%</v>
      </c>
      <c r="F586" s="150"/>
      <c r="G586" s="149"/>
      <c r="H586" s="150">
        <f>ROUND((H580+H585)*HSXL!D$16,1)</f>
        <v>1429791.5</v>
      </c>
    </row>
    <row r="587" spans="1:8" ht="27.75" customHeight="1">
      <c r="A587" s="241"/>
      <c r="B587" s="147"/>
      <c r="C587" s="146" t="s">
        <v>1087</v>
      </c>
      <c r="D587" s="147" t="s">
        <v>823</v>
      </c>
      <c r="E587" s="242"/>
      <c r="F587" s="150"/>
      <c r="G587" s="149"/>
      <c r="H587" s="150">
        <f>ROUND(H580+H585+H586,0)</f>
        <v>25259650</v>
      </c>
    </row>
    <row r="588" spans="1:8" ht="27.75" customHeight="1">
      <c r="A588" s="241"/>
      <c r="B588" s="147"/>
      <c r="C588" s="146" t="str">
        <f>"THUẾ GIÁ TRỊ GIA TĂNG ( G x "&amp;HSXL!C$17&amp;" )"</f>
        <v>THUẾ GIÁ TRỊ GIA TĂNG ( G x 10% )</v>
      </c>
      <c r="D588" s="147" t="s">
        <v>827</v>
      </c>
      <c r="E588" s="164">
        <f>HSXL!D$17</f>
        <v>0.1</v>
      </c>
      <c r="F588" s="150"/>
      <c r="G588" s="149"/>
      <c r="H588" s="150">
        <f>ROUND(E588*H587,1)</f>
        <v>2525965</v>
      </c>
    </row>
    <row r="589" spans="1:8" ht="27.75" customHeight="1">
      <c r="A589" s="243"/>
      <c r="B589" s="244"/>
      <c r="C589" s="245" t="s">
        <v>1088</v>
      </c>
      <c r="D589" s="244" t="s">
        <v>830</v>
      </c>
      <c r="E589" s="246"/>
      <c r="F589" s="247"/>
      <c r="G589" s="248"/>
      <c r="H589" s="249">
        <f>ROUND(H587+H588,0)</f>
        <v>27785615</v>
      </c>
    </row>
    <row r="590" spans="1:8" ht="16.5" customHeight="1">
      <c r="A590" s="128">
        <f>'Công trình'!A78</f>
        <v>15</v>
      </c>
      <c r="B590" s="129" t="str">
        <f>'Công trình'!E78</f>
        <v>AG.11414A</v>
      </c>
      <c r="C590" s="130" t="str">
        <f>'Công trình'!F78</f>
        <v>Bê tông tấm đan, đá 1x2 mác 250</v>
      </c>
      <c r="D590" s="129" t="str">
        <f>'Công trình'!G78</f>
        <v>m3</v>
      </c>
      <c r="E590" s="237">
        <v>1</v>
      </c>
      <c r="F590" s="69"/>
      <c r="G590" s="68"/>
      <c r="H590" s="69"/>
    </row>
    <row r="591" spans="1:8" ht="16.5" customHeight="1">
      <c r="A591" s="131"/>
      <c r="B591" s="91"/>
      <c r="C591" s="90" t="s">
        <v>683</v>
      </c>
      <c r="D591" s="91"/>
      <c r="E591" s="93"/>
      <c r="F591" s="132"/>
      <c r="G591" s="94"/>
      <c r="H591" s="132">
        <f>ROUND(H597,1)</f>
        <v>1083421.7</v>
      </c>
    </row>
    <row r="592" spans="1:8" ht="27.75" customHeight="1">
      <c r="A592" s="127"/>
      <c r="B592" s="13" t="str">
        <f>'Giá tháng'!B$45</f>
        <v>A24.0797A</v>
      </c>
      <c r="C592" s="14" t="str">
        <f>'Giá tháng'!C$45</f>
        <v>Xi măng PCB30</v>
      </c>
      <c r="D592" s="13" t="str">
        <f>'Giá tháng'!D$45</f>
        <v>kg</v>
      </c>
      <c r="E592" s="80">
        <f>HaoPhiVatTu!F$252</f>
        <v>365.4</v>
      </c>
      <c r="F592" s="15">
        <f>ROUND('Tổng hợp VT'!O$49,1)</f>
        <v>1481</v>
      </c>
      <c r="G592" s="81">
        <f>'Giá tháng'!G$45</f>
        <v>1</v>
      </c>
      <c r="H592" s="15">
        <f>ROUND(E592*F592*G592,1)</f>
        <v>541157.4</v>
      </c>
    </row>
    <row r="593" spans="1:8" ht="16.5" customHeight="1">
      <c r="A593" s="127"/>
      <c r="B593" s="13" t="str">
        <f>'Giá tháng'!B$10</f>
        <v>A24.0180</v>
      </c>
      <c r="C593" s="14" t="str">
        <f>'Giá tháng'!C$10</f>
        <v>Cát vàng</v>
      </c>
      <c r="D593" s="13" t="str">
        <f>'Giá tháng'!D$10</f>
        <v>m3</v>
      </c>
      <c r="E593" s="80">
        <f>HaoPhiVatTu!F$253</f>
        <v>0.512575</v>
      </c>
      <c r="F593" s="15">
        <f>ROUND('Tổng hợp VT'!O$15,1)</f>
        <v>480000</v>
      </c>
      <c r="G593" s="81">
        <f>'Giá tháng'!G$10</f>
        <v>1</v>
      </c>
      <c r="H593" s="15">
        <f>ROUND(E593*F593*G593,1)</f>
        <v>246036</v>
      </c>
    </row>
    <row r="594" spans="1:8" ht="16.5" customHeight="1">
      <c r="A594" s="127"/>
      <c r="B594" s="13" t="str">
        <f>'Giá tháng'!B$15</f>
        <v>A24.0008</v>
      </c>
      <c r="C594" s="14" t="str">
        <f>'Giá tháng'!C$15</f>
        <v>Đá 1x2</v>
      </c>
      <c r="D594" s="13" t="str">
        <f>'Giá tháng'!D$15</f>
        <v>m3</v>
      </c>
      <c r="E594" s="80">
        <f>HaoPhiVatTu!F$254</f>
        <v>0.84448000000000001</v>
      </c>
      <c r="F594" s="15">
        <f>ROUND('Tổng hợp VT'!O$20,1)</f>
        <v>340000</v>
      </c>
      <c r="G594" s="81">
        <f>'Giá tháng'!G$15</f>
        <v>1</v>
      </c>
      <c r="H594" s="15">
        <f>ROUND(E594*F594*G594,1)</f>
        <v>287123.20000000001</v>
      </c>
    </row>
    <row r="595" spans="1:8" ht="16.5" customHeight="1">
      <c r="A595" s="127"/>
      <c r="B595" s="13" t="str">
        <f>'Giá tháng'!B$32</f>
        <v>A24.0524</v>
      </c>
      <c r="C595" s="14" t="str">
        <f>'Giá tháng'!C$32</f>
        <v>Nước</v>
      </c>
      <c r="D595" s="13" t="str">
        <f>'Giá tháng'!D$32</f>
        <v>lít</v>
      </c>
      <c r="E595" s="80">
        <f>HaoPhiVatTu!F$255</f>
        <v>185.745</v>
      </c>
      <c r="F595" s="15">
        <f>ROUND('Tổng hợp VT'!O$37,1)</f>
        <v>20</v>
      </c>
      <c r="G595" s="81">
        <f>'Giá tháng'!G$32</f>
        <v>1</v>
      </c>
      <c r="H595" s="15">
        <f>ROUND(E595*F595*G595,1)</f>
        <v>3714.9</v>
      </c>
    </row>
    <row r="596" spans="1:8" ht="16.5" customHeight="1">
      <c r="A596" s="127"/>
      <c r="B596" s="13" t="s">
        <v>684</v>
      </c>
      <c r="C596" s="14" t="s">
        <v>685</v>
      </c>
      <c r="D596" s="13" t="s">
        <v>682</v>
      </c>
      <c r="E596" s="80">
        <f>HaoPhiVatTu!F$256</f>
        <v>0.5</v>
      </c>
      <c r="F596" s="15">
        <f>ROUND(SUM(H592:H595),1)</f>
        <v>1078031.5</v>
      </c>
      <c r="G596" s="81"/>
      <c r="H596" s="15">
        <f>ROUND(E596*F596/100,1)</f>
        <v>5390.2</v>
      </c>
    </row>
    <row r="597" spans="1:8" ht="16.5" customHeight="1">
      <c r="A597" s="127"/>
      <c r="B597" s="13"/>
      <c r="C597" s="14" t="s">
        <v>776</v>
      </c>
      <c r="D597" s="13"/>
      <c r="E597" s="80"/>
      <c r="F597" s="15"/>
      <c r="G597" s="81"/>
      <c r="H597" s="15">
        <f>ROUND(SUM(H592:H596),1)</f>
        <v>1083421.7</v>
      </c>
    </row>
    <row r="598" spans="1:8" ht="16.5" customHeight="1">
      <c r="A598" s="131"/>
      <c r="B598" s="91"/>
      <c r="C598" s="90" t="s">
        <v>678</v>
      </c>
      <c r="D598" s="91"/>
      <c r="E598" s="93"/>
      <c r="F598" s="132"/>
      <c r="G598" s="94"/>
      <c r="H598" s="132">
        <f>ROUND(H599,1)</f>
        <v>462412.6</v>
      </c>
    </row>
    <row r="599" spans="1:8" ht="16.5" customHeight="1">
      <c r="A599" s="127"/>
      <c r="B599" s="13" t="str">
        <f>'Giá tháng'!B$49</f>
        <v>N2.30</v>
      </c>
      <c r="C599" s="14" t="str">
        <f>'Giá tháng'!C$49</f>
        <v>Nhân công 3,0/7 - Nhóm 2</v>
      </c>
      <c r="D599" s="13" t="str">
        <f>'Giá tháng'!D$49</f>
        <v>công</v>
      </c>
      <c r="E599" s="80">
        <f>HaoPhiVatTu!G$258</f>
        <v>1.93</v>
      </c>
      <c r="F599" s="15">
        <f>ROUND('Tổng hợp VT'!O$57,1)</f>
        <v>239592</v>
      </c>
      <c r="G599" s="81">
        <f>'Giá tháng'!G$49</f>
        <v>1</v>
      </c>
      <c r="H599" s="15">
        <f>ROUND(E599*F599*G599,1)</f>
        <v>462412.6</v>
      </c>
    </row>
    <row r="600" spans="1:8" ht="16.5" customHeight="1">
      <c r="A600" s="131"/>
      <c r="B600" s="91"/>
      <c r="C600" s="90" t="s">
        <v>679</v>
      </c>
      <c r="D600" s="91"/>
      <c r="E600" s="93"/>
      <c r="F600" s="132"/>
      <c r="G600" s="94"/>
      <c r="H600" s="132">
        <f>ROUND(H601,1)</f>
        <v>30279.7</v>
      </c>
    </row>
    <row r="601" spans="1:8" ht="27.75" customHeight="1">
      <c r="A601" s="127"/>
      <c r="B601" s="13" t="str">
        <f>'Giá tháng'!B$74</f>
        <v>M104.0102</v>
      </c>
      <c r="C601" s="14" t="str">
        <f>'Giá tháng'!C$74</f>
        <v>Máy trộn bê tông - dung tích : 250,0 lít</v>
      </c>
      <c r="D601" s="13" t="str">
        <f>'Giá tháng'!D$74</f>
        <v>ca</v>
      </c>
      <c r="E601" s="80">
        <f>HaoPhiVatTu!H$260</f>
        <v>9.5000000000000001E-2</v>
      </c>
      <c r="F601" s="15">
        <f>ROUND('Tổng hợp VT'!O$83,1)</f>
        <v>318734</v>
      </c>
      <c r="G601" s="81">
        <f>'Giá tháng'!G$74</f>
        <v>1</v>
      </c>
      <c r="H601" s="15">
        <f>ROUND(E601*F601*G601,1)</f>
        <v>30279.7</v>
      </c>
    </row>
    <row r="602" spans="1:8" ht="27.75" customHeight="1">
      <c r="A602" s="238"/>
      <c r="B602" s="159"/>
      <c r="C602" s="158" t="s">
        <v>1085</v>
      </c>
      <c r="D602" s="159" t="s">
        <v>810</v>
      </c>
      <c r="E602" s="239"/>
      <c r="F602" s="162"/>
      <c r="G602" s="240"/>
      <c r="H602" s="162">
        <f>ROUND(H591+H598+H600,1)</f>
        <v>1576114</v>
      </c>
    </row>
    <row r="603" spans="1:8" ht="16.5" customHeight="1">
      <c r="A603" s="241"/>
      <c r="B603" s="147"/>
      <c r="C603" s="146" t="s">
        <v>812</v>
      </c>
      <c r="D603" s="147" t="str">
        <f>""</f>
        <v/>
      </c>
      <c r="E603" s="242"/>
      <c r="F603" s="150"/>
      <c r="G603" s="149"/>
      <c r="H603" s="150"/>
    </row>
    <row r="604" spans="1:8" ht="16.5" customHeight="1">
      <c r="A604" s="241"/>
      <c r="B604" s="147"/>
      <c r="C604" s="146" t="str">
        <f>"Chi phí chung ( T x "&amp;HSXL!C$14&amp;" )"</f>
        <v>Chi phí chung ( T x 6,2% )</v>
      </c>
      <c r="D604" s="147" t="s">
        <v>807</v>
      </c>
      <c r="E604" s="242" t="str">
        <f>HSXL!C$14</f>
        <v>6,2%</v>
      </c>
      <c r="F604" s="150"/>
      <c r="G604" s="149"/>
      <c r="H604" s="150">
        <f>ROUND(H602*HSXL!D$14,1)</f>
        <v>97719.1</v>
      </c>
    </row>
    <row r="605" spans="1:8" ht="27.75" customHeight="1">
      <c r="A605" s="241"/>
      <c r="B605" s="147"/>
      <c r="C605" s="146" t="str">
        <f>"Chi phí nhà tạm để ở và điều hành thi công ( T x "&amp;HSXL!C$18&amp;" )"</f>
        <v>Chi phí nhà tạm để ở và điều hành thi công ( T x 2,2% )</v>
      </c>
      <c r="D605" s="147" t="s">
        <v>815</v>
      </c>
      <c r="E605" s="242" t="str">
        <f>HSXL!C$18</f>
        <v>2,2%</v>
      </c>
      <c r="F605" s="150"/>
      <c r="G605" s="149"/>
      <c r="H605" s="150">
        <f>ROUND(H602*HSXL!D$18,1)</f>
        <v>34674.5</v>
      </c>
    </row>
    <row r="606" spans="1:8" ht="39.75" customHeight="1">
      <c r="A606" s="241"/>
      <c r="B606" s="147"/>
      <c r="C606" s="146" t="str">
        <f>"Chi phí một số công việc không xác định được khối lượng từ thiết kế ( T x "&amp;HSXL!C$13&amp;" )"</f>
        <v>Chi phí một số công việc không xác định được khối lượng từ thiết kế ( T x 2% )</v>
      </c>
      <c r="D606" s="147" t="s">
        <v>61</v>
      </c>
      <c r="E606" s="242" t="str">
        <f>HSXL!C$13</f>
        <v>2%</v>
      </c>
      <c r="F606" s="150"/>
      <c r="G606" s="149"/>
      <c r="H606" s="150">
        <f>ROUND(H602*HSXL!D$13,1)</f>
        <v>31522.3</v>
      </c>
    </row>
    <row r="607" spans="1:8" ht="27.75" customHeight="1">
      <c r="A607" s="238"/>
      <c r="B607" s="159"/>
      <c r="C607" s="158" t="s">
        <v>1086</v>
      </c>
      <c r="D607" s="159" t="s">
        <v>818</v>
      </c>
      <c r="E607" s="239"/>
      <c r="F607" s="162"/>
      <c r="G607" s="240"/>
      <c r="H607" s="162">
        <f>ROUND(SUM(H604:H606),1)</f>
        <v>163915.9</v>
      </c>
    </row>
    <row r="608" spans="1:8" ht="27.75" customHeight="1">
      <c r="A608" s="241"/>
      <c r="B608" s="147"/>
      <c r="C608" s="146" t="str">
        <f>"THU NHẬP CHỊU THUẾ TÍNH TRƯỚC (T+GT) x "&amp;HSXL!C$16</f>
        <v>THU NHẬP CHỊU THUẾ TÍNH TRƯỚC (T+GT) x 6%</v>
      </c>
      <c r="D608" s="147" t="s">
        <v>821</v>
      </c>
      <c r="E608" s="242" t="str">
        <f>HSXL!C$16</f>
        <v>6%</v>
      </c>
      <c r="F608" s="150"/>
      <c r="G608" s="149"/>
      <c r="H608" s="150">
        <f>ROUND((H602+H607)*HSXL!D$16,1)</f>
        <v>104401.8</v>
      </c>
    </row>
    <row r="609" spans="1:8" ht="27.75" customHeight="1">
      <c r="A609" s="241"/>
      <c r="B609" s="147"/>
      <c r="C609" s="146" t="s">
        <v>1087</v>
      </c>
      <c r="D609" s="147" t="s">
        <v>823</v>
      </c>
      <c r="E609" s="242"/>
      <c r="F609" s="150"/>
      <c r="G609" s="149"/>
      <c r="H609" s="150">
        <f>ROUND(H602+H607+H608,0)</f>
        <v>1844432</v>
      </c>
    </row>
    <row r="610" spans="1:8" ht="27.75" customHeight="1">
      <c r="A610" s="241"/>
      <c r="B610" s="147"/>
      <c r="C610" s="146" t="str">
        <f>"THUẾ GIÁ TRỊ GIA TĂNG ( G x "&amp;HSXL!C$17&amp;" )"</f>
        <v>THUẾ GIÁ TRỊ GIA TĂNG ( G x 10% )</v>
      </c>
      <c r="D610" s="147" t="s">
        <v>827</v>
      </c>
      <c r="E610" s="164">
        <f>HSXL!D$17</f>
        <v>0.1</v>
      </c>
      <c r="F610" s="150"/>
      <c r="G610" s="149"/>
      <c r="H610" s="150">
        <f>ROUND(E610*H609,1)</f>
        <v>184443.2</v>
      </c>
    </row>
    <row r="611" spans="1:8" ht="27.75" customHeight="1">
      <c r="A611" s="243"/>
      <c r="B611" s="244"/>
      <c r="C611" s="245" t="s">
        <v>1088</v>
      </c>
      <c r="D611" s="244" t="s">
        <v>830</v>
      </c>
      <c r="E611" s="246"/>
      <c r="F611" s="247"/>
      <c r="G611" s="248"/>
      <c r="H611" s="249">
        <f>ROUND(H609+H610,0)</f>
        <v>2028875</v>
      </c>
    </row>
    <row r="612" spans="1:8" ht="16.5" customHeight="1">
      <c r="A612" s="128">
        <f>'Công trình'!A80</f>
        <v>16</v>
      </c>
      <c r="B612" s="129" t="str">
        <f>'Công trình'!E80</f>
        <v>AG.41610</v>
      </c>
      <c r="C612" s="130" t="str">
        <f>'Công trình'!F80</f>
        <v>Lăp đặt tấm đan 110kg/tấm</v>
      </c>
      <c r="D612" s="129" t="str">
        <f>'Công trình'!G80</f>
        <v>1 cấu kiện</v>
      </c>
      <c r="E612" s="237">
        <v>1</v>
      </c>
      <c r="F612" s="69"/>
      <c r="G612" s="68"/>
      <c r="H612" s="69"/>
    </row>
    <row r="613" spans="1:8" ht="16.5" customHeight="1">
      <c r="A613" s="131"/>
      <c r="B613" s="91"/>
      <c r="C613" s="90" t="s">
        <v>678</v>
      </c>
      <c r="D613" s="91"/>
      <c r="E613" s="93"/>
      <c r="F613" s="132"/>
      <c r="G613" s="94"/>
      <c r="H613" s="132">
        <f>ROUND(H614,1)</f>
        <v>7187.8</v>
      </c>
    </row>
    <row r="614" spans="1:8" ht="16.5" customHeight="1">
      <c r="A614" s="127"/>
      <c r="B614" s="13" t="str">
        <f>'Giá tháng'!B$49</f>
        <v>N2.30</v>
      </c>
      <c r="C614" s="14" t="str">
        <f>'Giá tháng'!C$49</f>
        <v>Nhân công 3,0/7 - Nhóm 2</v>
      </c>
      <c r="D614" s="13" t="str">
        <f>'Giá tháng'!D$49</f>
        <v>công</v>
      </c>
      <c r="E614" s="80">
        <f>HaoPhiVatTu!G$263</f>
        <v>0.03</v>
      </c>
      <c r="F614" s="15">
        <f>ROUND('Tổng hợp VT'!O$57,1)</f>
        <v>239592</v>
      </c>
      <c r="G614" s="81">
        <f>'Giá tháng'!G$49</f>
        <v>1</v>
      </c>
      <c r="H614" s="15">
        <f>ROUND(E614*F614*G614,1)</f>
        <v>7187.8</v>
      </c>
    </row>
    <row r="615" spans="1:8" ht="16.5" customHeight="1">
      <c r="A615" s="131"/>
      <c r="B615" s="91"/>
      <c r="C615" s="90" t="s">
        <v>679</v>
      </c>
      <c r="D615" s="91"/>
      <c r="E615" s="93"/>
      <c r="F615" s="132"/>
      <c r="G615" s="94"/>
      <c r="H615" s="132">
        <f>ROUND(H616,1)</f>
        <v>26465.599999999999</v>
      </c>
    </row>
    <row r="616" spans="1:8" ht="27.75" customHeight="1">
      <c r="A616" s="127"/>
      <c r="B616" s="13" t="str">
        <f>'Giá tháng'!B$55</f>
        <v>M102.0201</v>
      </c>
      <c r="C616" s="14" t="str">
        <f>'Giá tháng'!C$55</f>
        <v>Cần cẩu bánh hơi 6 T</v>
      </c>
      <c r="D616" s="13" t="str">
        <f>'Giá tháng'!D$55</f>
        <v>ca</v>
      </c>
      <c r="E616" s="80">
        <f>HaoPhiVatTu!H$265</f>
        <v>1.4999999999999999E-2</v>
      </c>
      <c r="F616" s="15">
        <f>ROUND('Tổng hợp VT'!O$64,1)</f>
        <v>1764371</v>
      </c>
      <c r="G616" s="81">
        <f>'Giá tháng'!G$55</f>
        <v>1</v>
      </c>
      <c r="H616" s="15">
        <f>ROUND(E616*F616*G616,1)</f>
        <v>26465.599999999999</v>
      </c>
    </row>
    <row r="617" spans="1:8" ht="27.75" customHeight="1">
      <c r="A617" s="238"/>
      <c r="B617" s="159"/>
      <c r="C617" s="158" t="s">
        <v>1085</v>
      </c>
      <c r="D617" s="159" t="s">
        <v>810</v>
      </c>
      <c r="E617" s="239"/>
      <c r="F617" s="162"/>
      <c r="G617" s="240"/>
      <c r="H617" s="162">
        <f>ROUND(+H613+H615,1)</f>
        <v>33653.4</v>
      </c>
    </row>
    <row r="618" spans="1:8" ht="16.5" customHeight="1">
      <c r="A618" s="241"/>
      <c r="B618" s="147"/>
      <c r="C618" s="146" t="s">
        <v>812</v>
      </c>
      <c r="D618" s="147" t="str">
        <f>""</f>
        <v/>
      </c>
      <c r="E618" s="242"/>
      <c r="F618" s="150"/>
      <c r="G618" s="149"/>
      <c r="H618" s="150"/>
    </row>
    <row r="619" spans="1:8" ht="16.5" customHeight="1">
      <c r="A619" s="241"/>
      <c r="B619" s="147"/>
      <c r="C619" s="146" t="str">
        <f>"Chi phí chung ( T x "&amp;HSXL!C$14&amp;" )"</f>
        <v>Chi phí chung ( T x 6,2% )</v>
      </c>
      <c r="D619" s="147" t="s">
        <v>807</v>
      </c>
      <c r="E619" s="242" t="str">
        <f>HSXL!C$14</f>
        <v>6,2%</v>
      </c>
      <c r="F619" s="150"/>
      <c r="G619" s="149"/>
      <c r="H619" s="150">
        <f>ROUND(H617*HSXL!D$14,1)</f>
        <v>2086.5</v>
      </c>
    </row>
    <row r="620" spans="1:8" ht="27.75" customHeight="1">
      <c r="A620" s="241"/>
      <c r="B620" s="147"/>
      <c r="C620" s="146" t="str">
        <f>"Chi phí nhà tạm để ở và điều hành thi công ( T x "&amp;HSXL!C$18&amp;" )"</f>
        <v>Chi phí nhà tạm để ở và điều hành thi công ( T x 2,2% )</v>
      </c>
      <c r="D620" s="147" t="s">
        <v>815</v>
      </c>
      <c r="E620" s="242" t="str">
        <f>HSXL!C$18</f>
        <v>2,2%</v>
      </c>
      <c r="F620" s="150"/>
      <c r="G620" s="149"/>
      <c r="H620" s="150">
        <f>ROUND(H617*HSXL!D$18,1)</f>
        <v>740.4</v>
      </c>
    </row>
    <row r="621" spans="1:8" ht="39.75" customHeight="1">
      <c r="A621" s="241"/>
      <c r="B621" s="147"/>
      <c r="C621" s="146" t="str">
        <f>"Chi phí một số công việc không xác định được khối lượng từ thiết kế ( T x "&amp;HSXL!C$13&amp;" )"</f>
        <v>Chi phí một số công việc không xác định được khối lượng từ thiết kế ( T x 2% )</v>
      </c>
      <c r="D621" s="147" t="s">
        <v>61</v>
      </c>
      <c r="E621" s="242" t="str">
        <f>HSXL!C$13</f>
        <v>2%</v>
      </c>
      <c r="F621" s="150"/>
      <c r="G621" s="149"/>
      <c r="H621" s="150">
        <f>ROUND(H617*HSXL!D$13,1)</f>
        <v>673.1</v>
      </c>
    </row>
    <row r="622" spans="1:8" ht="27.75" customHeight="1">
      <c r="A622" s="238"/>
      <c r="B622" s="159"/>
      <c r="C622" s="158" t="s">
        <v>1086</v>
      </c>
      <c r="D622" s="159" t="s">
        <v>818</v>
      </c>
      <c r="E622" s="239"/>
      <c r="F622" s="162"/>
      <c r="G622" s="240"/>
      <c r="H622" s="162">
        <f>ROUND(SUM(H619:H621),1)</f>
        <v>3500</v>
      </c>
    </row>
    <row r="623" spans="1:8" ht="27.75" customHeight="1">
      <c r="A623" s="241"/>
      <c r="B623" s="147"/>
      <c r="C623" s="146" t="str">
        <f>"THU NHẬP CHỊU THUẾ TÍNH TRƯỚC (T+GT) x "&amp;HSXL!C$16</f>
        <v>THU NHẬP CHỊU THUẾ TÍNH TRƯỚC (T+GT) x 6%</v>
      </c>
      <c r="D623" s="147" t="s">
        <v>821</v>
      </c>
      <c r="E623" s="242" t="str">
        <f>HSXL!C$16</f>
        <v>6%</v>
      </c>
      <c r="F623" s="150"/>
      <c r="G623" s="149"/>
      <c r="H623" s="150">
        <f>ROUND((H617+H622)*HSXL!D$16,1)</f>
        <v>2229.1999999999998</v>
      </c>
    </row>
    <row r="624" spans="1:8" ht="27.75" customHeight="1">
      <c r="A624" s="241"/>
      <c r="B624" s="147"/>
      <c r="C624" s="146" t="s">
        <v>1087</v>
      </c>
      <c r="D624" s="147" t="s">
        <v>823</v>
      </c>
      <c r="E624" s="242"/>
      <c r="F624" s="150"/>
      <c r="G624" s="149"/>
      <c r="H624" s="150">
        <f>ROUND(H617+H622+H623,0)</f>
        <v>39383</v>
      </c>
    </row>
    <row r="625" spans="1:8" ht="27.75" customHeight="1">
      <c r="A625" s="241"/>
      <c r="B625" s="147"/>
      <c r="C625" s="146" t="str">
        <f>"THUẾ GIÁ TRỊ GIA TĂNG ( G x "&amp;HSXL!C$17&amp;" )"</f>
        <v>THUẾ GIÁ TRỊ GIA TĂNG ( G x 10% )</v>
      </c>
      <c r="D625" s="147" t="s">
        <v>827</v>
      </c>
      <c r="E625" s="164">
        <f>HSXL!D$17</f>
        <v>0.1</v>
      </c>
      <c r="F625" s="150"/>
      <c r="G625" s="149"/>
      <c r="H625" s="150">
        <f>ROUND(E625*H624,1)</f>
        <v>3938.3</v>
      </c>
    </row>
    <row r="626" spans="1:8" ht="27.75" customHeight="1">
      <c r="A626" s="243"/>
      <c r="B626" s="244"/>
      <c r="C626" s="245" t="s">
        <v>1088</v>
      </c>
      <c r="D626" s="244" t="s">
        <v>830</v>
      </c>
      <c r="E626" s="246"/>
      <c r="F626" s="247"/>
      <c r="G626" s="248"/>
      <c r="H626" s="249">
        <f>ROUND(H624+H625,0)</f>
        <v>43321</v>
      </c>
    </row>
    <row r="627" spans="1:8" ht="40.5" customHeight="1">
      <c r="A627" s="128">
        <f>'Công trình'!A84</f>
        <v>17</v>
      </c>
      <c r="B627" s="129" t="str">
        <f>'Công trình'!E84</f>
        <v>AG.31311</v>
      </c>
      <c r="C627" s="130" t="str">
        <f>'Công trình'!F84</f>
        <v>Công tác gia công, lắp dựng, tháo dỡ ván khuôn. Ván khuôn gỗ, ván khuôn tấm đan hố tụ</v>
      </c>
      <c r="D627" s="129" t="str">
        <f>'Công trình'!G84</f>
        <v>100m2</v>
      </c>
      <c r="E627" s="237">
        <v>1</v>
      </c>
      <c r="F627" s="69"/>
      <c r="G627" s="68"/>
      <c r="H627" s="69"/>
    </row>
    <row r="628" spans="1:8" ht="16.5" customHeight="1">
      <c r="A628" s="131"/>
      <c r="B628" s="91"/>
      <c r="C628" s="90" t="s">
        <v>683</v>
      </c>
      <c r="D628" s="91"/>
      <c r="E628" s="93"/>
      <c r="F628" s="132"/>
      <c r="G628" s="94"/>
      <c r="H628" s="132">
        <f>ROUND(H632,1)</f>
        <v>908127.8</v>
      </c>
    </row>
    <row r="629" spans="1:8" ht="16.5" customHeight="1">
      <c r="A629" s="127"/>
      <c r="B629" s="13" t="str">
        <f>'Giá tháng'!B$24</f>
        <v>A24.0420</v>
      </c>
      <c r="C629" s="14" t="str">
        <f>'Giá tháng'!C$24</f>
        <v>Gỗ ván ( cả nẹp)</v>
      </c>
      <c r="D629" s="13" t="str">
        <f>'Giá tháng'!D$24</f>
        <v>m3</v>
      </c>
      <c r="E629" s="80">
        <f>HaoPhiVatTu!F$268</f>
        <v>0.123</v>
      </c>
      <c r="F629" s="15">
        <f>ROUND('Tổng hợp VT'!O$29,1)</f>
        <v>4318182</v>
      </c>
      <c r="G629" s="81">
        <f>'Giá tháng'!G$24</f>
        <v>1</v>
      </c>
      <c r="H629" s="15">
        <f>ROUND(E629*F629*G629,1)</f>
        <v>531136.4</v>
      </c>
    </row>
    <row r="630" spans="1:8" ht="16.5" customHeight="1">
      <c r="A630" s="127"/>
      <c r="B630" s="13" t="str">
        <f>'Giá tháng'!B$19</f>
        <v>A24.0054</v>
      </c>
      <c r="C630" s="14" t="str">
        <f>'Giá tháng'!C$19</f>
        <v>Đinh</v>
      </c>
      <c r="D630" s="13" t="str">
        <f>'Giá tháng'!D$19</f>
        <v>kg</v>
      </c>
      <c r="E630" s="80">
        <f>HaoPhiVatTu!F$269</f>
        <v>16</v>
      </c>
      <c r="F630" s="15">
        <f>ROUND('Tổng hợp VT'!O$24,1)</f>
        <v>23000</v>
      </c>
      <c r="G630" s="81">
        <f>'Giá tháng'!G$19</f>
        <v>1</v>
      </c>
      <c r="H630" s="15">
        <f>ROUND(E630*F630*G630,1)</f>
        <v>368000</v>
      </c>
    </row>
    <row r="631" spans="1:8" ht="16.5" customHeight="1">
      <c r="A631" s="127"/>
      <c r="B631" s="13" t="s">
        <v>684</v>
      </c>
      <c r="C631" s="14" t="s">
        <v>685</v>
      </c>
      <c r="D631" s="13" t="s">
        <v>682</v>
      </c>
      <c r="E631" s="80">
        <f>HaoPhiVatTu!F$270</f>
        <v>1</v>
      </c>
      <c r="F631" s="15">
        <f>ROUND(SUM(H629:H630),1)</f>
        <v>899136.4</v>
      </c>
      <c r="G631" s="81"/>
      <c r="H631" s="15">
        <f>ROUND(E631*F631/100,1)</f>
        <v>8991.4</v>
      </c>
    </row>
    <row r="632" spans="1:8" ht="16.5" customHeight="1">
      <c r="A632" s="127"/>
      <c r="B632" s="13"/>
      <c r="C632" s="14" t="s">
        <v>776</v>
      </c>
      <c r="D632" s="13"/>
      <c r="E632" s="80"/>
      <c r="F632" s="15"/>
      <c r="G632" s="81"/>
      <c r="H632" s="15">
        <f>ROUND(SUM(H629:H631),1)</f>
        <v>908127.8</v>
      </c>
    </row>
    <row r="633" spans="1:8" ht="16.5" customHeight="1">
      <c r="A633" s="131"/>
      <c r="B633" s="91"/>
      <c r="C633" s="90" t="s">
        <v>678</v>
      </c>
      <c r="D633" s="91"/>
      <c r="E633" s="93"/>
      <c r="F633" s="132"/>
      <c r="G633" s="94"/>
      <c r="H633" s="132">
        <f>ROUND(H634,1)</f>
        <v>6200040</v>
      </c>
    </row>
    <row r="634" spans="1:8" ht="16.5" customHeight="1">
      <c r="A634" s="127"/>
      <c r="B634" s="13" t="str">
        <f>'Giá tháng'!B$50</f>
        <v>N1.35</v>
      </c>
      <c r="C634" s="14" t="str">
        <f>'Giá tháng'!C$50</f>
        <v>Nhân công 3,5/7 - Nhóm 1</v>
      </c>
      <c r="D634" s="13" t="str">
        <f>'Giá tháng'!D$50</f>
        <v>công</v>
      </c>
      <c r="E634" s="80">
        <f>HaoPhiVatTu!G$272</f>
        <v>25.62</v>
      </c>
      <c r="F634" s="15">
        <f>ROUND('Tổng hợp VT'!O$58,1)</f>
        <v>242000</v>
      </c>
      <c r="G634" s="81">
        <f>'Giá tháng'!G$50</f>
        <v>1</v>
      </c>
      <c r="H634" s="15">
        <f>ROUND(E634*F634*G634,1)</f>
        <v>6200040</v>
      </c>
    </row>
    <row r="635" spans="1:8" ht="27.75" customHeight="1">
      <c r="A635" s="238"/>
      <c r="B635" s="159"/>
      <c r="C635" s="158" t="s">
        <v>1085</v>
      </c>
      <c r="D635" s="159" t="s">
        <v>810</v>
      </c>
      <c r="E635" s="239"/>
      <c r="F635" s="162"/>
      <c r="G635" s="240"/>
      <c r="H635" s="162">
        <f>ROUND(H628+H633,1)</f>
        <v>7108167.7999999998</v>
      </c>
    </row>
    <row r="636" spans="1:8" ht="16.5" customHeight="1">
      <c r="A636" s="241"/>
      <c r="B636" s="147"/>
      <c r="C636" s="146" t="s">
        <v>812</v>
      </c>
      <c r="D636" s="147" t="str">
        <f>""</f>
        <v/>
      </c>
      <c r="E636" s="242"/>
      <c r="F636" s="150"/>
      <c r="G636" s="149"/>
      <c r="H636" s="150"/>
    </row>
    <row r="637" spans="1:8" ht="16.5" customHeight="1">
      <c r="A637" s="241"/>
      <c r="B637" s="147"/>
      <c r="C637" s="146" t="str">
        <f>"Chi phí chung ( T x "&amp;HSXL!C$14&amp;" )"</f>
        <v>Chi phí chung ( T x 6,2% )</v>
      </c>
      <c r="D637" s="147" t="s">
        <v>807</v>
      </c>
      <c r="E637" s="242" t="str">
        <f>HSXL!C$14</f>
        <v>6,2%</v>
      </c>
      <c r="F637" s="150"/>
      <c r="G637" s="149"/>
      <c r="H637" s="150">
        <f>ROUND(H635*HSXL!D$14,1)</f>
        <v>440706.4</v>
      </c>
    </row>
    <row r="638" spans="1:8" ht="27.75" customHeight="1">
      <c r="A638" s="241"/>
      <c r="B638" s="147"/>
      <c r="C638" s="146" t="str">
        <f>"Chi phí nhà tạm để ở và điều hành thi công ( T x "&amp;HSXL!C$18&amp;" )"</f>
        <v>Chi phí nhà tạm để ở và điều hành thi công ( T x 2,2% )</v>
      </c>
      <c r="D638" s="147" t="s">
        <v>815</v>
      </c>
      <c r="E638" s="242" t="str">
        <f>HSXL!C$18</f>
        <v>2,2%</v>
      </c>
      <c r="F638" s="150"/>
      <c r="G638" s="149"/>
      <c r="H638" s="150">
        <f>ROUND(H635*HSXL!D$18,1)</f>
        <v>156379.70000000001</v>
      </c>
    </row>
    <row r="639" spans="1:8" ht="39.75" customHeight="1">
      <c r="A639" s="241"/>
      <c r="B639" s="147"/>
      <c r="C639" s="146" t="str">
        <f>"Chi phí một số công việc không xác định được khối lượng từ thiết kế ( T x "&amp;HSXL!C$13&amp;" )"</f>
        <v>Chi phí một số công việc không xác định được khối lượng từ thiết kế ( T x 2% )</v>
      </c>
      <c r="D639" s="147" t="s">
        <v>61</v>
      </c>
      <c r="E639" s="242" t="str">
        <f>HSXL!C$13</f>
        <v>2%</v>
      </c>
      <c r="F639" s="150"/>
      <c r="G639" s="149"/>
      <c r="H639" s="150">
        <f>ROUND(H635*HSXL!D$13,1)</f>
        <v>142163.4</v>
      </c>
    </row>
    <row r="640" spans="1:8" ht="27.75" customHeight="1">
      <c r="A640" s="238"/>
      <c r="B640" s="159"/>
      <c r="C640" s="158" t="s">
        <v>1086</v>
      </c>
      <c r="D640" s="159" t="s">
        <v>818</v>
      </c>
      <c r="E640" s="239"/>
      <c r="F640" s="162"/>
      <c r="G640" s="240"/>
      <c r="H640" s="162">
        <f>ROUND(SUM(H637:H639),1)</f>
        <v>739249.5</v>
      </c>
    </row>
    <row r="641" spans="1:8" ht="27.75" customHeight="1">
      <c r="A641" s="241"/>
      <c r="B641" s="147"/>
      <c r="C641" s="146" t="str">
        <f>"THU NHẬP CHỊU THUẾ TÍNH TRƯỚC (T+GT) x "&amp;HSXL!C$16</f>
        <v>THU NHẬP CHỊU THUẾ TÍNH TRƯỚC (T+GT) x 6%</v>
      </c>
      <c r="D641" s="147" t="s">
        <v>821</v>
      </c>
      <c r="E641" s="242" t="str">
        <f>HSXL!C$16</f>
        <v>6%</v>
      </c>
      <c r="F641" s="150"/>
      <c r="G641" s="149"/>
      <c r="H641" s="150">
        <f>ROUND((H635+H640)*HSXL!D$16,1)</f>
        <v>470845</v>
      </c>
    </row>
    <row r="642" spans="1:8" ht="27.75" customHeight="1">
      <c r="A642" s="241"/>
      <c r="B642" s="147"/>
      <c r="C642" s="146" t="s">
        <v>1087</v>
      </c>
      <c r="D642" s="147" t="s">
        <v>823</v>
      </c>
      <c r="E642" s="242"/>
      <c r="F642" s="150"/>
      <c r="G642" s="149"/>
      <c r="H642" s="150">
        <f>ROUND(H635+H640+H641,0)</f>
        <v>8318262</v>
      </c>
    </row>
    <row r="643" spans="1:8" ht="27.75" customHeight="1">
      <c r="A643" s="241"/>
      <c r="B643" s="147"/>
      <c r="C643" s="146" t="str">
        <f>"THUẾ GIÁ TRỊ GIA TĂNG ( G x "&amp;HSXL!C$17&amp;" )"</f>
        <v>THUẾ GIÁ TRỊ GIA TĂNG ( G x 10% )</v>
      </c>
      <c r="D643" s="147" t="s">
        <v>827</v>
      </c>
      <c r="E643" s="164">
        <f>HSXL!D$17</f>
        <v>0.1</v>
      </c>
      <c r="F643" s="150"/>
      <c r="G643" s="149"/>
      <c r="H643" s="150">
        <f>ROUND(E643*H642,1)</f>
        <v>831826.2</v>
      </c>
    </row>
    <row r="644" spans="1:8" ht="27.75" customHeight="1">
      <c r="A644" s="243"/>
      <c r="B644" s="244"/>
      <c r="C644" s="245" t="s">
        <v>1088</v>
      </c>
      <c r="D644" s="244" t="s">
        <v>830</v>
      </c>
      <c r="E644" s="246"/>
      <c r="F644" s="247"/>
      <c r="G644" s="248"/>
      <c r="H644" s="249">
        <f>ROUND(H642+H643,0)</f>
        <v>9150088</v>
      </c>
    </row>
    <row r="645" spans="1:8" ht="40.5" customHeight="1">
      <c r="A645" s="128">
        <f>'Công trình'!A86</f>
        <v>18</v>
      </c>
      <c r="B645" s="129" t="str">
        <f>'Công trình'!E86</f>
        <v>AG.13231</v>
      </c>
      <c r="C645" s="130" t="str">
        <f>'Công trình'!F86</f>
        <v>Công tác gia công, lắp đặt cốt thép bê tông đúc sẵn. Cốt thép tấm đan</v>
      </c>
      <c r="D645" s="129" t="str">
        <f>'Công trình'!G86</f>
        <v>tấn</v>
      </c>
      <c r="E645" s="237">
        <v>1</v>
      </c>
      <c r="F645" s="69"/>
      <c r="G645" s="68"/>
      <c r="H645" s="69"/>
    </row>
    <row r="646" spans="1:8" ht="16.5" customHeight="1">
      <c r="A646" s="131"/>
      <c r="B646" s="91"/>
      <c r="C646" s="90" t="s">
        <v>683</v>
      </c>
      <c r="D646" s="91"/>
      <c r="E646" s="93"/>
      <c r="F646" s="132"/>
      <c r="G646" s="94"/>
      <c r="H646" s="132">
        <f>ROUND(H649,1)</f>
        <v>17215680</v>
      </c>
    </row>
    <row r="647" spans="1:8" ht="16.5" customHeight="1">
      <c r="A647" s="127"/>
      <c r="B647" s="13" t="str">
        <f>'Giá tháng'!B$41</f>
        <v>A24.0735</v>
      </c>
      <c r="C647" s="14" t="str">
        <f>'Giá tháng'!C$41</f>
        <v>Thép tròn</v>
      </c>
      <c r="D647" s="13" t="str">
        <f>'Giá tháng'!D$41</f>
        <v>kg</v>
      </c>
      <c r="E647" s="80">
        <f>HaoPhiVatTu!F$275</f>
        <v>1020</v>
      </c>
      <c r="F647" s="15">
        <f>ROUND('Tổng hợp VT'!O$46,1)</f>
        <v>16500</v>
      </c>
      <c r="G647" s="81">
        <f>'Giá tháng'!G$41</f>
        <v>1</v>
      </c>
      <c r="H647" s="15">
        <f>ROUND(E647*F647*G647,1)</f>
        <v>16830000</v>
      </c>
    </row>
    <row r="648" spans="1:8" ht="16.5" customHeight="1">
      <c r="A648" s="127"/>
      <c r="B648" s="13" t="str">
        <f>'Giá tháng'!B$14</f>
        <v>A24.0293</v>
      </c>
      <c r="C648" s="14" t="str">
        <f>'Giá tháng'!C$14</f>
        <v>Dây thép</v>
      </c>
      <c r="D648" s="13" t="str">
        <f>'Giá tháng'!D$14</f>
        <v>kg</v>
      </c>
      <c r="E648" s="80">
        <f>HaoPhiVatTu!F$276</f>
        <v>16.07</v>
      </c>
      <c r="F648" s="15">
        <f>ROUND('Tổng hợp VT'!O$19,1)</f>
        <v>24000</v>
      </c>
      <c r="G648" s="81">
        <f>'Giá tháng'!G$14</f>
        <v>1</v>
      </c>
      <c r="H648" s="15">
        <f>ROUND(E648*F648*G648,1)</f>
        <v>385680</v>
      </c>
    </row>
    <row r="649" spans="1:8" ht="16.5" customHeight="1">
      <c r="A649" s="127"/>
      <c r="B649" s="13"/>
      <c r="C649" s="14" t="s">
        <v>776</v>
      </c>
      <c r="D649" s="13"/>
      <c r="E649" s="80"/>
      <c r="F649" s="15"/>
      <c r="G649" s="81"/>
      <c r="H649" s="15">
        <f>ROUND(SUM(H647:H648),1)</f>
        <v>17215680</v>
      </c>
    </row>
    <row r="650" spans="1:8" ht="16.5" customHeight="1">
      <c r="A650" s="131"/>
      <c r="B650" s="91"/>
      <c r="C650" s="90" t="s">
        <v>678</v>
      </c>
      <c r="D650" s="91"/>
      <c r="E650" s="93"/>
      <c r="F650" s="132"/>
      <c r="G650" s="94"/>
      <c r="H650" s="132">
        <f>ROUND(H651,1)</f>
        <v>4257500</v>
      </c>
    </row>
    <row r="651" spans="1:8" ht="16.5" customHeight="1">
      <c r="A651" s="127"/>
      <c r="B651" s="13" t="str">
        <f>'Giá tháng'!B$51</f>
        <v>N2.35</v>
      </c>
      <c r="C651" s="14" t="str">
        <f>'Giá tháng'!C$51</f>
        <v>Nhân công 3,5/7 - Nhóm 2</v>
      </c>
      <c r="D651" s="13" t="str">
        <f>'Giá tháng'!D$51</f>
        <v>công</v>
      </c>
      <c r="E651" s="80">
        <f>HaoPhiVatTu!G$278</f>
        <v>16.25</v>
      </c>
      <c r="F651" s="15">
        <f>ROUND('Tổng hợp VT'!O$59,1)</f>
        <v>262000</v>
      </c>
      <c r="G651" s="81">
        <f>'Giá tháng'!G$51</f>
        <v>1</v>
      </c>
      <c r="H651" s="15">
        <f>ROUND(E651*F651*G651,1)</f>
        <v>4257500</v>
      </c>
    </row>
    <row r="652" spans="1:8" ht="16.5" customHeight="1">
      <c r="A652" s="131"/>
      <c r="B652" s="91"/>
      <c r="C652" s="90" t="s">
        <v>679</v>
      </c>
      <c r="D652" s="91"/>
      <c r="E652" s="93"/>
      <c r="F652" s="132"/>
      <c r="G652" s="94"/>
      <c r="H652" s="132">
        <f>ROUND(H653,1)</f>
        <v>111836.4</v>
      </c>
    </row>
    <row r="653" spans="1:8" ht="27.75" customHeight="1">
      <c r="A653" s="127"/>
      <c r="B653" s="13" t="str">
        <f>'Giá tháng'!B$56</f>
        <v>M112.2601</v>
      </c>
      <c r="C653" s="14" t="str">
        <f>'Giá tháng'!C$56</f>
        <v>Máy cắt uốn cốt thép - công suất : 5,0 kW</v>
      </c>
      <c r="D653" s="13" t="str">
        <f>'Giá tháng'!D$56</f>
        <v>ca</v>
      </c>
      <c r="E653" s="80">
        <f>HaoPhiVatTu!H$280</f>
        <v>0.4</v>
      </c>
      <c r="F653" s="15">
        <f>ROUND('Tổng hợp VT'!O$65,1)</f>
        <v>279591</v>
      </c>
      <c r="G653" s="81">
        <f>'Giá tháng'!G$56</f>
        <v>1</v>
      </c>
      <c r="H653" s="15">
        <f>ROUND(E653*F653*G653,1)</f>
        <v>111836.4</v>
      </c>
    </row>
    <row r="654" spans="1:8" ht="27.75" customHeight="1">
      <c r="A654" s="238"/>
      <c r="B654" s="159"/>
      <c r="C654" s="158" t="s">
        <v>1085</v>
      </c>
      <c r="D654" s="159" t="s">
        <v>810</v>
      </c>
      <c r="E654" s="239"/>
      <c r="F654" s="162"/>
      <c r="G654" s="240"/>
      <c r="H654" s="162">
        <f>ROUND(H646+H650+H652,1)</f>
        <v>21585016.399999999</v>
      </c>
    </row>
    <row r="655" spans="1:8" ht="16.5" customHeight="1">
      <c r="A655" s="241"/>
      <c r="B655" s="147"/>
      <c r="C655" s="146" t="s">
        <v>812</v>
      </c>
      <c r="D655" s="147" t="str">
        <f>""</f>
        <v/>
      </c>
      <c r="E655" s="242"/>
      <c r="F655" s="150"/>
      <c r="G655" s="149"/>
      <c r="H655" s="150"/>
    </row>
    <row r="656" spans="1:8" ht="16.5" customHeight="1">
      <c r="A656" s="241"/>
      <c r="B656" s="147"/>
      <c r="C656" s="146" t="str">
        <f>"Chi phí chung ( T x "&amp;HSXL!C$14&amp;" )"</f>
        <v>Chi phí chung ( T x 6,2% )</v>
      </c>
      <c r="D656" s="147" t="s">
        <v>807</v>
      </c>
      <c r="E656" s="242" t="str">
        <f>HSXL!C$14</f>
        <v>6,2%</v>
      </c>
      <c r="F656" s="150"/>
      <c r="G656" s="149"/>
      <c r="H656" s="150">
        <f>ROUND(H654*HSXL!D$14,1)</f>
        <v>1338271</v>
      </c>
    </row>
    <row r="657" spans="1:8" ht="27.75" customHeight="1">
      <c r="A657" s="241"/>
      <c r="B657" s="147"/>
      <c r="C657" s="146" t="str">
        <f>"Chi phí nhà tạm để ở và điều hành thi công ( T x "&amp;HSXL!C$18&amp;" )"</f>
        <v>Chi phí nhà tạm để ở và điều hành thi công ( T x 2,2% )</v>
      </c>
      <c r="D657" s="147" t="s">
        <v>815</v>
      </c>
      <c r="E657" s="242" t="str">
        <f>HSXL!C$18</f>
        <v>2,2%</v>
      </c>
      <c r="F657" s="150"/>
      <c r="G657" s="149"/>
      <c r="H657" s="150">
        <f>ROUND(H654*HSXL!D$18,1)</f>
        <v>474870.4</v>
      </c>
    </row>
    <row r="658" spans="1:8" ht="39.75" customHeight="1">
      <c r="A658" s="241"/>
      <c r="B658" s="147"/>
      <c r="C658" s="146" t="str">
        <f>"Chi phí một số công việc không xác định được khối lượng từ thiết kế ( T x "&amp;HSXL!C$13&amp;" )"</f>
        <v>Chi phí một số công việc không xác định được khối lượng từ thiết kế ( T x 2% )</v>
      </c>
      <c r="D658" s="147" t="s">
        <v>61</v>
      </c>
      <c r="E658" s="242" t="str">
        <f>HSXL!C$13</f>
        <v>2%</v>
      </c>
      <c r="F658" s="150"/>
      <c r="G658" s="149"/>
      <c r="H658" s="150">
        <f>ROUND(H654*HSXL!D$13,1)</f>
        <v>431700.3</v>
      </c>
    </row>
    <row r="659" spans="1:8" ht="27.75" customHeight="1">
      <c r="A659" s="238"/>
      <c r="B659" s="159"/>
      <c r="C659" s="158" t="s">
        <v>1086</v>
      </c>
      <c r="D659" s="159" t="s">
        <v>818</v>
      </c>
      <c r="E659" s="239"/>
      <c r="F659" s="162"/>
      <c r="G659" s="240"/>
      <c r="H659" s="162">
        <f>ROUND(SUM(H656:H658),1)</f>
        <v>2244841.7000000002</v>
      </c>
    </row>
    <row r="660" spans="1:8" ht="27.75" customHeight="1">
      <c r="A660" s="241"/>
      <c r="B660" s="147"/>
      <c r="C660" s="146" t="str">
        <f>"THU NHẬP CHỊU THUẾ TÍNH TRƯỚC (T+GT) x "&amp;HSXL!C$16</f>
        <v>THU NHẬP CHỊU THUẾ TÍNH TRƯỚC (T+GT) x 6%</v>
      </c>
      <c r="D660" s="147" t="s">
        <v>821</v>
      </c>
      <c r="E660" s="242" t="str">
        <f>HSXL!C$16</f>
        <v>6%</v>
      </c>
      <c r="F660" s="150"/>
      <c r="G660" s="149"/>
      <c r="H660" s="150">
        <f>ROUND((H654+H659)*HSXL!D$16,1)</f>
        <v>1429791.5</v>
      </c>
    </row>
    <row r="661" spans="1:8" ht="27.75" customHeight="1">
      <c r="A661" s="241"/>
      <c r="B661" s="147"/>
      <c r="C661" s="146" t="s">
        <v>1087</v>
      </c>
      <c r="D661" s="147" t="s">
        <v>823</v>
      </c>
      <c r="E661" s="242"/>
      <c r="F661" s="150"/>
      <c r="G661" s="149"/>
      <c r="H661" s="150">
        <f>ROUND(H654+H659+H660,0)</f>
        <v>25259650</v>
      </c>
    </row>
    <row r="662" spans="1:8" ht="27.75" customHeight="1">
      <c r="A662" s="241"/>
      <c r="B662" s="147"/>
      <c r="C662" s="146" t="str">
        <f>"THUẾ GIÁ TRỊ GIA TĂNG ( G x "&amp;HSXL!C$17&amp;" )"</f>
        <v>THUẾ GIÁ TRỊ GIA TĂNG ( G x 10% )</v>
      </c>
      <c r="D662" s="147" t="s">
        <v>827</v>
      </c>
      <c r="E662" s="164">
        <f>HSXL!D$17</f>
        <v>0.1</v>
      </c>
      <c r="F662" s="150"/>
      <c r="G662" s="149"/>
      <c r="H662" s="150">
        <f>ROUND(E662*H661,1)</f>
        <v>2525965</v>
      </c>
    </row>
    <row r="663" spans="1:8" ht="27.75" customHeight="1">
      <c r="A663" s="243"/>
      <c r="B663" s="244"/>
      <c r="C663" s="245" t="s">
        <v>1088</v>
      </c>
      <c r="D663" s="244" t="s">
        <v>830</v>
      </c>
      <c r="E663" s="246"/>
      <c r="F663" s="247"/>
      <c r="G663" s="248"/>
      <c r="H663" s="249">
        <f>ROUND(H661+H662,0)</f>
        <v>27785615</v>
      </c>
    </row>
    <row r="664" spans="1:8" ht="27.75" customHeight="1">
      <c r="A664" s="128">
        <f>'Công trình'!A88</f>
        <v>19</v>
      </c>
      <c r="B664" s="129" t="str">
        <f>'Công trình'!E88</f>
        <v>AG.11414A</v>
      </c>
      <c r="C664" s="130" t="str">
        <f>'Công trình'!F88</f>
        <v>Bê tông tấm đan hố tụ, đá 1x2 mác 250</v>
      </c>
      <c r="D664" s="129" t="str">
        <f>'Công trình'!G88</f>
        <v>m3</v>
      </c>
      <c r="E664" s="237">
        <v>1</v>
      </c>
      <c r="F664" s="69"/>
      <c r="G664" s="68"/>
      <c r="H664" s="69"/>
    </row>
    <row r="665" spans="1:8" ht="16.5" customHeight="1">
      <c r="A665" s="131"/>
      <c r="B665" s="91"/>
      <c r="C665" s="90" t="s">
        <v>683</v>
      </c>
      <c r="D665" s="91"/>
      <c r="E665" s="93"/>
      <c r="F665" s="132"/>
      <c r="G665" s="94"/>
      <c r="H665" s="132">
        <f>ROUND(H671,1)</f>
        <v>1083421.7</v>
      </c>
    </row>
    <row r="666" spans="1:8" ht="27.75" customHeight="1">
      <c r="A666" s="127"/>
      <c r="B666" s="13" t="str">
        <f>'Giá tháng'!B$45</f>
        <v>A24.0797A</v>
      </c>
      <c r="C666" s="14" t="str">
        <f>'Giá tháng'!C$45</f>
        <v>Xi măng PCB30</v>
      </c>
      <c r="D666" s="13" t="str">
        <f>'Giá tháng'!D$45</f>
        <v>kg</v>
      </c>
      <c r="E666" s="80">
        <f>HaoPhiVatTu!F$283</f>
        <v>365.4</v>
      </c>
      <c r="F666" s="15">
        <f>ROUND('Tổng hợp VT'!O$49,1)</f>
        <v>1481</v>
      </c>
      <c r="G666" s="81">
        <f>'Giá tháng'!G$45</f>
        <v>1</v>
      </c>
      <c r="H666" s="15">
        <f>ROUND(E666*F666*G666,1)</f>
        <v>541157.4</v>
      </c>
    </row>
    <row r="667" spans="1:8" ht="16.5" customHeight="1">
      <c r="A667" s="127"/>
      <c r="B667" s="13" t="str">
        <f>'Giá tháng'!B$10</f>
        <v>A24.0180</v>
      </c>
      <c r="C667" s="14" t="str">
        <f>'Giá tháng'!C$10</f>
        <v>Cát vàng</v>
      </c>
      <c r="D667" s="13" t="str">
        <f>'Giá tháng'!D$10</f>
        <v>m3</v>
      </c>
      <c r="E667" s="80">
        <f>HaoPhiVatTu!F$284</f>
        <v>0.512575</v>
      </c>
      <c r="F667" s="15">
        <f>ROUND('Tổng hợp VT'!O$15,1)</f>
        <v>480000</v>
      </c>
      <c r="G667" s="81">
        <f>'Giá tháng'!G$10</f>
        <v>1</v>
      </c>
      <c r="H667" s="15">
        <f>ROUND(E667*F667*G667,1)</f>
        <v>246036</v>
      </c>
    </row>
    <row r="668" spans="1:8" ht="16.5" customHeight="1">
      <c r="A668" s="127"/>
      <c r="B668" s="13" t="str">
        <f>'Giá tháng'!B$15</f>
        <v>A24.0008</v>
      </c>
      <c r="C668" s="14" t="str">
        <f>'Giá tháng'!C$15</f>
        <v>Đá 1x2</v>
      </c>
      <c r="D668" s="13" t="str">
        <f>'Giá tháng'!D$15</f>
        <v>m3</v>
      </c>
      <c r="E668" s="80">
        <f>HaoPhiVatTu!F$285</f>
        <v>0.84448000000000001</v>
      </c>
      <c r="F668" s="15">
        <f>ROUND('Tổng hợp VT'!O$20,1)</f>
        <v>340000</v>
      </c>
      <c r="G668" s="81">
        <f>'Giá tháng'!G$15</f>
        <v>1</v>
      </c>
      <c r="H668" s="15">
        <f>ROUND(E668*F668*G668,1)</f>
        <v>287123.20000000001</v>
      </c>
    </row>
    <row r="669" spans="1:8" ht="16.5" customHeight="1">
      <c r="A669" s="127"/>
      <c r="B669" s="13" t="str">
        <f>'Giá tháng'!B$32</f>
        <v>A24.0524</v>
      </c>
      <c r="C669" s="14" t="str">
        <f>'Giá tháng'!C$32</f>
        <v>Nước</v>
      </c>
      <c r="D669" s="13" t="str">
        <f>'Giá tháng'!D$32</f>
        <v>lít</v>
      </c>
      <c r="E669" s="80">
        <f>HaoPhiVatTu!F$286</f>
        <v>185.745</v>
      </c>
      <c r="F669" s="15">
        <f>ROUND('Tổng hợp VT'!O$37,1)</f>
        <v>20</v>
      </c>
      <c r="G669" s="81">
        <f>'Giá tháng'!G$32</f>
        <v>1</v>
      </c>
      <c r="H669" s="15">
        <f>ROUND(E669*F669*G669,1)</f>
        <v>3714.9</v>
      </c>
    </row>
    <row r="670" spans="1:8" ht="16.5" customHeight="1">
      <c r="A670" s="127"/>
      <c r="B670" s="13" t="s">
        <v>684</v>
      </c>
      <c r="C670" s="14" t="s">
        <v>685</v>
      </c>
      <c r="D670" s="13" t="s">
        <v>682</v>
      </c>
      <c r="E670" s="80">
        <f>HaoPhiVatTu!F$287</f>
        <v>0.5</v>
      </c>
      <c r="F670" s="15">
        <f>ROUND(SUM(H666:H669),1)</f>
        <v>1078031.5</v>
      </c>
      <c r="G670" s="81"/>
      <c r="H670" s="15">
        <f>ROUND(E670*F670/100,1)</f>
        <v>5390.2</v>
      </c>
    </row>
    <row r="671" spans="1:8" ht="16.5" customHeight="1">
      <c r="A671" s="127"/>
      <c r="B671" s="13"/>
      <c r="C671" s="14" t="s">
        <v>776</v>
      </c>
      <c r="D671" s="13"/>
      <c r="E671" s="80"/>
      <c r="F671" s="15"/>
      <c r="G671" s="81"/>
      <c r="H671" s="15">
        <f>ROUND(SUM(H666:H670),1)</f>
        <v>1083421.7</v>
      </c>
    </row>
    <row r="672" spans="1:8" ht="16.5" customHeight="1">
      <c r="A672" s="131"/>
      <c r="B672" s="91"/>
      <c r="C672" s="90" t="s">
        <v>678</v>
      </c>
      <c r="D672" s="91"/>
      <c r="E672" s="93"/>
      <c r="F672" s="132"/>
      <c r="G672" s="94"/>
      <c r="H672" s="132">
        <f>ROUND(H673,1)</f>
        <v>462412.6</v>
      </c>
    </row>
    <row r="673" spans="1:8" ht="16.5" customHeight="1">
      <c r="A673" s="127"/>
      <c r="B673" s="13" t="str">
        <f>'Giá tháng'!B$49</f>
        <v>N2.30</v>
      </c>
      <c r="C673" s="14" t="str">
        <f>'Giá tháng'!C$49</f>
        <v>Nhân công 3,0/7 - Nhóm 2</v>
      </c>
      <c r="D673" s="13" t="str">
        <f>'Giá tháng'!D$49</f>
        <v>công</v>
      </c>
      <c r="E673" s="80">
        <f>HaoPhiVatTu!G$289</f>
        <v>1.93</v>
      </c>
      <c r="F673" s="15">
        <f>ROUND('Tổng hợp VT'!O$57,1)</f>
        <v>239592</v>
      </c>
      <c r="G673" s="81">
        <f>'Giá tháng'!G$49</f>
        <v>1</v>
      </c>
      <c r="H673" s="15">
        <f>ROUND(E673*F673*G673,1)</f>
        <v>462412.6</v>
      </c>
    </row>
    <row r="674" spans="1:8" ht="16.5" customHeight="1">
      <c r="A674" s="131"/>
      <c r="B674" s="91"/>
      <c r="C674" s="90" t="s">
        <v>679</v>
      </c>
      <c r="D674" s="91"/>
      <c r="E674" s="93"/>
      <c r="F674" s="132"/>
      <c r="G674" s="94"/>
      <c r="H674" s="132">
        <f>ROUND(H675,1)</f>
        <v>30279.7</v>
      </c>
    </row>
    <row r="675" spans="1:8" ht="27.75" customHeight="1">
      <c r="A675" s="127"/>
      <c r="B675" s="13" t="str">
        <f>'Giá tháng'!B$74</f>
        <v>M104.0102</v>
      </c>
      <c r="C675" s="14" t="str">
        <f>'Giá tháng'!C$74</f>
        <v>Máy trộn bê tông - dung tích : 250,0 lít</v>
      </c>
      <c r="D675" s="13" t="str">
        <f>'Giá tháng'!D$74</f>
        <v>ca</v>
      </c>
      <c r="E675" s="80">
        <f>HaoPhiVatTu!H$291</f>
        <v>9.5000000000000001E-2</v>
      </c>
      <c r="F675" s="15">
        <f>ROUND('Tổng hợp VT'!O$83,1)</f>
        <v>318734</v>
      </c>
      <c r="G675" s="81">
        <f>'Giá tháng'!G$74</f>
        <v>1</v>
      </c>
      <c r="H675" s="15">
        <f>ROUND(E675*F675*G675,1)</f>
        <v>30279.7</v>
      </c>
    </row>
    <row r="676" spans="1:8" ht="27.75" customHeight="1">
      <c r="A676" s="238"/>
      <c r="B676" s="159"/>
      <c r="C676" s="158" t="s">
        <v>1085</v>
      </c>
      <c r="D676" s="159" t="s">
        <v>810</v>
      </c>
      <c r="E676" s="239"/>
      <c r="F676" s="162"/>
      <c r="G676" s="240"/>
      <c r="H676" s="162">
        <f>ROUND(H665+H672+H674,1)</f>
        <v>1576114</v>
      </c>
    </row>
    <row r="677" spans="1:8" ht="16.5" customHeight="1">
      <c r="A677" s="241"/>
      <c r="B677" s="147"/>
      <c r="C677" s="146" t="s">
        <v>812</v>
      </c>
      <c r="D677" s="147" t="str">
        <f>""</f>
        <v/>
      </c>
      <c r="E677" s="242"/>
      <c r="F677" s="150"/>
      <c r="G677" s="149"/>
      <c r="H677" s="150"/>
    </row>
    <row r="678" spans="1:8" ht="16.5" customHeight="1">
      <c r="A678" s="241"/>
      <c r="B678" s="147"/>
      <c r="C678" s="146" t="str">
        <f>"Chi phí chung ( T x "&amp;HSXL!C$14&amp;" )"</f>
        <v>Chi phí chung ( T x 6,2% )</v>
      </c>
      <c r="D678" s="147" t="s">
        <v>807</v>
      </c>
      <c r="E678" s="242" t="str">
        <f>HSXL!C$14</f>
        <v>6,2%</v>
      </c>
      <c r="F678" s="150"/>
      <c r="G678" s="149"/>
      <c r="H678" s="150">
        <f>ROUND(H676*HSXL!D$14,1)</f>
        <v>97719.1</v>
      </c>
    </row>
    <row r="679" spans="1:8" ht="27.75" customHeight="1">
      <c r="A679" s="241"/>
      <c r="B679" s="147"/>
      <c r="C679" s="146" t="str">
        <f>"Chi phí nhà tạm để ở và điều hành thi công ( T x "&amp;HSXL!C$18&amp;" )"</f>
        <v>Chi phí nhà tạm để ở và điều hành thi công ( T x 2,2% )</v>
      </c>
      <c r="D679" s="147" t="s">
        <v>815</v>
      </c>
      <c r="E679" s="242" t="str">
        <f>HSXL!C$18</f>
        <v>2,2%</v>
      </c>
      <c r="F679" s="150"/>
      <c r="G679" s="149"/>
      <c r="H679" s="150">
        <f>ROUND(H676*HSXL!D$18,1)</f>
        <v>34674.5</v>
      </c>
    </row>
    <row r="680" spans="1:8" ht="39.75" customHeight="1">
      <c r="A680" s="241"/>
      <c r="B680" s="147"/>
      <c r="C680" s="146" t="str">
        <f>"Chi phí một số công việc không xác định được khối lượng từ thiết kế ( T x "&amp;HSXL!C$13&amp;" )"</f>
        <v>Chi phí một số công việc không xác định được khối lượng từ thiết kế ( T x 2% )</v>
      </c>
      <c r="D680" s="147" t="s">
        <v>61</v>
      </c>
      <c r="E680" s="242" t="str">
        <f>HSXL!C$13</f>
        <v>2%</v>
      </c>
      <c r="F680" s="150"/>
      <c r="G680" s="149"/>
      <c r="H680" s="150">
        <f>ROUND(H676*HSXL!D$13,1)</f>
        <v>31522.3</v>
      </c>
    </row>
    <row r="681" spans="1:8" ht="27.75" customHeight="1">
      <c r="A681" s="238"/>
      <c r="B681" s="159"/>
      <c r="C681" s="158" t="s">
        <v>1086</v>
      </c>
      <c r="D681" s="159" t="s">
        <v>818</v>
      </c>
      <c r="E681" s="239"/>
      <c r="F681" s="162"/>
      <c r="G681" s="240"/>
      <c r="H681" s="162">
        <f>ROUND(SUM(H678:H680),1)</f>
        <v>163915.9</v>
      </c>
    </row>
    <row r="682" spans="1:8" ht="27.75" customHeight="1">
      <c r="A682" s="241"/>
      <c r="B682" s="147"/>
      <c r="C682" s="146" t="str">
        <f>"THU NHẬP CHỊU THUẾ TÍNH TRƯỚC (T+GT) x "&amp;HSXL!C$16</f>
        <v>THU NHẬP CHỊU THUẾ TÍNH TRƯỚC (T+GT) x 6%</v>
      </c>
      <c r="D682" s="147" t="s">
        <v>821</v>
      </c>
      <c r="E682" s="242" t="str">
        <f>HSXL!C$16</f>
        <v>6%</v>
      </c>
      <c r="F682" s="150"/>
      <c r="G682" s="149"/>
      <c r="H682" s="150">
        <f>ROUND((H676+H681)*HSXL!D$16,1)</f>
        <v>104401.8</v>
      </c>
    </row>
    <row r="683" spans="1:8" ht="27.75" customHeight="1">
      <c r="A683" s="241"/>
      <c r="B683" s="147"/>
      <c r="C683" s="146" t="s">
        <v>1087</v>
      </c>
      <c r="D683" s="147" t="s">
        <v>823</v>
      </c>
      <c r="E683" s="242"/>
      <c r="F683" s="150"/>
      <c r="G683" s="149"/>
      <c r="H683" s="150">
        <f>ROUND(H676+H681+H682,0)</f>
        <v>1844432</v>
      </c>
    </row>
    <row r="684" spans="1:8" ht="27.75" customHeight="1">
      <c r="A684" s="241"/>
      <c r="B684" s="147"/>
      <c r="C684" s="146" t="str">
        <f>"THUẾ GIÁ TRỊ GIA TĂNG ( G x "&amp;HSXL!C$17&amp;" )"</f>
        <v>THUẾ GIÁ TRỊ GIA TĂNG ( G x 10% )</v>
      </c>
      <c r="D684" s="147" t="s">
        <v>827</v>
      </c>
      <c r="E684" s="164">
        <f>HSXL!D$17</f>
        <v>0.1</v>
      </c>
      <c r="F684" s="150"/>
      <c r="G684" s="149"/>
      <c r="H684" s="150">
        <f>ROUND(E684*H683,1)</f>
        <v>184443.2</v>
      </c>
    </row>
    <row r="685" spans="1:8" ht="27.75" customHeight="1">
      <c r="A685" s="243"/>
      <c r="B685" s="244"/>
      <c r="C685" s="245" t="s">
        <v>1088</v>
      </c>
      <c r="D685" s="244" t="s">
        <v>830</v>
      </c>
      <c r="E685" s="246"/>
      <c r="F685" s="247"/>
      <c r="G685" s="248"/>
      <c r="H685" s="249">
        <f>ROUND(H683+H684,0)</f>
        <v>2028875</v>
      </c>
    </row>
    <row r="686" spans="1:8" ht="16.5" customHeight="1">
      <c r="A686" s="128">
        <f>'Công trình'!A90</f>
        <v>20</v>
      </c>
      <c r="B686" s="129" t="str">
        <f>'Công trình'!E90</f>
        <v>AG.41610</v>
      </c>
      <c r="C686" s="130" t="str">
        <f>'Công trình'!F90</f>
        <v>Lăp đặt tấm đan 200kg/tấm</v>
      </c>
      <c r="D686" s="129" t="str">
        <f>'Công trình'!G90</f>
        <v>1 cấu kiện</v>
      </c>
      <c r="E686" s="237">
        <v>1</v>
      </c>
      <c r="F686" s="69"/>
      <c r="G686" s="68"/>
      <c r="H686" s="69"/>
    </row>
    <row r="687" spans="1:8" ht="16.5" customHeight="1">
      <c r="A687" s="131"/>
      <c r="B687" s="91"/>
      <c r="C687" s="90" t="s">
        <v>678</v>
      </c>
      <c r="D687" s="91"/>
      <c r="E687" s="93"/>
      <c r="F687" s="132"/>
      <c r="G687" s="94"/>
      <c r="H687" s="132">
        <f>ROUND(H688,1)</f>
        <v>7187.8</v>
      </c>
    </row>
    <row r="688" spans="1:8" ht="16.5" customHeight="1">
      <c r="A688" s="127"/>
      <c r="B688" s="13" t="str">
        <f>'Giá tháng'!B$49</f>
        <v>N2.30</v>
      </c>
      <c r="C688" s="14" t="str">
        <f>'Giá tháng'!C$49</f>
        <v>Nhân công 3,0/7 - Nhóm 2</v>
      </c>
      <c r="D688" s="13" t="str">
        <f>'Giá tháng'!D$49</f>
        <v>công</v>
      </c>
      <c r="E688" s="80">
        <f>HaoPhiVatTu!G$294</f>
        <v>0.03</v>
      </c>
      <c r="F688" s="15">
        <f>ROUND('Tổng hợp VT'!O$57,1)</f>
        <v>239592</v>
      </c>
      <c r="G688" s="81">
        <f>'Giá tháng'!G$49</f>
        <v>1</v>
      </c>
      <c r="H688" s="15">
        <f>ROUND(E688*F688*G688,1)</f>
        <v>7187.8</v>
      </c>
    </row>
    <row r="689" spans="1:8" ht="16.5" customHeight="1">
      <c r="A689" s="131"/>
      <c r="B689" s="91"/>
      <c r="C689" s="90" t="s">
        <v>679</v>
      </c>
      <c r="D689" s="91"/>
      <c r="E689" s="93"/>
      <c r="F689" s="132"/>
      <c r="G689" s="94"/>
      <c r="H689" s="132">
        <f>ROUND(H690,1)</f>
        <v>26465.599999999999</v>
      </c>
    </row>
    <row r="690" spans="1:8" ht="27.75" customHeight="1">
      <c r="A690" s="127"/>
      <c r="B690" s="13" t="str">
        <f>'Giá tháng'!B$55</f>
        <v>M102.0201</v>
      </c>
      <c r="C690" s="14" t="str">
        <f>'Giá tháng'!C$55</f>
        <v>Cần cẩu bánh hơi 6 T</v>
      </c>
      <c r="D690" s="13" t="str">
        <f>'Giá tháng'!D$55</f>
        <v>ca</v>
      </c>
      <c r="E690" s="80">
        <f>HaoPhiVatTu!H$296</f>
        <v>1.4999999999999999E-2</v>
      </c>
      <c r="F690" s="15">
        <f>ROUND('Tổng hợp VT'!O$64,1)</f>
        <v>1764371</v>
      </c>
      <c r="G690" s="81">
        <f>'Giá tháng'!G$55</f>
        <v>1</v>
      </c>
      <c r="H690" s="15">
        <f>ROUND(E690*F690*G690,1)</f>
        <v>26465.599999999999</v>
      </c>
    </row>
    <row r="691" spans="1:8" ht="27.75" customHeight="1">
      <c r="A691" s="238"/>
      <c r="B691" s="159"/>
      <c r="C691" s="158" t="s">
        <v>1085</v>
      </c>
      <c r="D691" s="159" t="s">
        <v>810</v>
      </c>
      <c r="E691" s="239"/>
      <c r="F691" s="162"/>
      <c r="G691" s="240"/>
      <c r="H691" s="162">
        <f>ROUND(+H687+H689,1)</f>
        <v>33653.4</v>
      </c>
    </row>
    <row r="692" spans="1:8" ht="16.5" customHeight="1">
      <c r="A692" s="241"/>
      <c r="B692" s="147"/>
      <c r="C692" s="146" t="s">
        <v>812</v>
      </c>
      <c r="D692" s="147" t="str">
        <f>""</f>
        <v/>
      </c>
      <c r="E692" s="242"/>
      <c r="F692" s="150"/>
      <c r="G692" s="149"/>
      <c r="H692" s="150"/>
    </row>
    <row r="693" spans="1:8" ht="16.5" customHeight="1">
      <c r="A693" s="241"/>
      <c r="B693" s="147"/>
      <c r="C693" s="146" t="str">
        <f>"Chi phí chung ( T x "&amp;HSXL!C$14&amp;" )"</f>
        <v>Chi phí chung ( T x 6,2% )</v>
      </c>
      <c r="D693" s="147" t="s">
        <v>807</v>
      </c>
      <c r="E693" s="242" t="str">
        <f>HSXL!C$14</f>
        <v>6,2%</v>
      </c>
      <c r="F693" s="150"/>
      <c r="G693" s="149"/>
      <c r="H693" s="150">
        <f>ROUND(H691*HSXL!D$14,1)</f>
        <v>2086.5</v>
      </c>
    </row>
    <row r="694" spans="1:8" ht="27.75" customHeight="1">
      <c r="A694" s="241"/>
      <c r="B694" s="147"/>
      <c r="C694" s="146" t="str">
        <f>"Chi phí nhà tạm để ở và điều hành thi công ( T x "&amp;HSXL!C$18&amp;" )"</f>
        <v>Chi phí nhà tạm để ở và điều hành thi công ( T x 2,2% )</v>
      </c>
      <c r="D694" s="147" t="s">
        <v>815</v>
      </c>
      <c r="E694" s="242" t="str">
        <f>HSXL!C$18</f>
        <v>2,2%</v>
      </c>
      <c r="F694" s="150"/>
      <c r="G694" s="149"/>
      <c r="H694" s="150">
        <f>ROUND(H691*HSXL!D$18,1)</f>
        <v>740.4</v>
      </c>
    </row>
    <row r="695" spans="1:8" ht="39.75" customHeight="1">
      <c r="A695" s="241"/>
      <c r="B695" s="147"/>
      <c r="C695" s="146" t="str">
        <f>"Chi phí một số công việc không xác định được khối lượng từ thiết kế ( T x "&amp;HSXL!C$13&amp;" )"</f>
        <v>Chi phí một số công việc không xác định được khối lượng từ thiết kế ( T x 2% )</v>
      </c>
      <c r="D695" s="147" t="s">
        <v>61</v>
      </c>
      <c r="E695" s="242" t="str">
        <f>HSXL!C$13</f>
        <v>2%</v>
      </c>
      <c r="F695" s="150"/>
      <c r="G695" s="149"/>
      <c r="H695" s="150">
        <f>ROUND(H691*HSXL!D$13,1)</f>
        <v>673.1</v>
      </c>
    </row>
    <row r="696" spans="1:8" ht="27.75" customHeight="1">
      <c r="A696" s="238"/>
      <c r="B696" s="159"/>
      <c r="C696" s="158" t="s">
        <v>1086</v>
      </c>
      <c r="D696" s="159" t="s">
        <v>818</v>
      </c>
      <c r="E696" s="239"/>
      <c r="F696" s="162"/>
      <c r="G696" s="240"/>
      <c r="H696" s="162">
        <f>ROUND(SUM(H693:H695),1)</f>
        <v>3500</v>
      </c>
    </row>
    <row r="697" spans="1:8" ht="27.75" customHeight="1">
      <c r="A697" s="241"/>
      <c r="B697" s="147"/>
      <c r="C697" s="146" t="str">
        <f>"THU NHẬP CHỊU THUẾ TÍNH TRƯỚC (T+GT) x "&amp;HSXL!C$16</f>
        <v>THU NHẬP CHỊU THUẾ TÍNH TRƯỚC (T+GT) x 6%</v>
      </c>
      <c r="D697" s="147" t="s">
        <v>821</v>
      </c>
      <c r="E697" s="242" t="str">
        <f>HSXL!C$16</f>
        <v>6%</v>
      </c>
      <c r="F697" s="150"/>
      <c r="G697" s="149"/>
      <c r="H697" s="150">
        <f>ROUND((H691+H696)*HSXL!D$16,1)</f>
        <v>2229.1999999999998</v>
      </c>
    </row>
    <row r="698" spans="1:8" ht="27.75" customHeight="1">
      <c r="A698" s="241"/>
      <c r="B698" s="147"/>
      <c r="C698" s="146" t="s">
        <v>1087</v>
      </c>
      <c r="D698" s="147" t="s">
        <v>823</v>
      </c>
      <c r="E698" s="242"/>
      <c r="F698" s="150"/>
      <c r="G698" s="149"/>
      <c r="H698" s="150">
        <f>ROUND(H691+H696+H697,0)</f>
        <v>39383</v>
      </c>
    </row>
    <row r="699" spans="1:8" ht="27.75" customHeight="1">
      <c r="A699" s="241"/>
      <c r="B699" s="147"/>
      <c r="C699" s="146" t="str">
        <f>"THUẾ GIÁ TRỊ GIA TĂNG ( G x "&amp;HSXL!C$17&amp;" )"</f>
        <v>THUẾ GIÁ TRỊ GIA TĂNG ( G x 10% )</v>
      </c>
      <c r="D699" s="147" t="s">
        <v>827</v>
      </c>
      <c r="E699" s="164">
        <f>HSXL!D$17</f>
        <v>0.1</v>
      </c>
      <c r="F699" s="150"/>
      <c r="G699" s="149"/>
      <c r="H699" s="150">
        <f>ROUND(E699*H698,1)</f>
        <v>3938.3</v>
      </c>
    </row>
    <row r="700" spans="1:8" ht="27.75" customHeight="1">
      <c r="A700" s="243"/>
      <c r="B700" s="244"/>
      <c r="C700" s="245" t="s">
        <v>1088</v>
      </c>
      <c r="D700" s="244" t="s">
        <v>830</v>
      </c>
      <c r="E700" s="246"/>
      <c r="F700" s="247"/>
      <c r="G700" s="248"/>
      <c r="H700" s="249">
        <f>ROUND(H698+H699,0)</f>
        <v>43321</v>
      </c>
    </row>
    <row r="701" spans="1:8" ht="27.75" customHeight="1">
      <c r="A701" s="128">
        <f>'Công trình'!A93</f>
        <v>21</v>
      </c>
      <c r="B701" s="129" t="str">
        <f>'Công trình'!E93</f>
        <v>AE.26213A</v>
      </c>
      <c r="C701" s="130" t="str">
        <f>'Công trình'!F93</f>
        <v>Xây gạch không nung 6,5x10,5x22, xây hố tụ nước, vữa XM mác 75</v>
      </c>
      <c r="D701" s="129" t="str">
        <f>'Công trình'!G93</f>
        <v>m3</v>
      </c>
      <c r="E701" s="237">
        <v>1</v>
      </c>
      <c r="F701" s="69"/>
      <c r="G701" s="68"/>
      <c r="H701" s="69"/>
    </row>
    <row r="702" spans="1:8" ht="16.5" customHeight="1">
      <c r="A702" s="131"/>
      <c r="B702" s="91"/>
      <c r="C702" s="90" t="s">
        <v>683</v>
      </c>
      <c r="D702" s="91"/>
      <c r="E702" s="93"/>
      <c r="F702" s="132"/>
      <c r="G702" s="94"/>
      <c r="H702" s="132">
        <f>ROUND(H708,1)</f>
        <v>1079493.5</v>
      </c>
    </row>
    <row r="703" spans="1:8" ht="27.75" customHeight="1">
      <c r="A703" s="127"/>
      <c r="B703" s="13" t="str">
        <f>'Giá tháng'!B$20</f>
        <v>A24.0383A</v>
      </c>
      <c r="C703" s="14" t="str">
        <f>'Giá tháng'!C$20</f>
        <v>Gạch không nung 6,5x10,5x22</v>
      </c>
      <c r="D703" s="13" t="str">
        <f>'Giá tháng'!D$20</f>
        <v>viên</v>
      </c>
      <c r="E703" s="80">
        <f>HaoPhiVatTu!F$299</f>
        <v>550</v>
      </c>
      <c r="F703" s="15">
        <f>ROUND('Tổng hợp VT'!O$25,1)</f>
        <v>1250</v>
      </c>
      <c r="G703" s="81">
        <f>'Giá tháng'!G$20</f>
        <v>1</v>
      </c>
      <c r="H703" s="15">
        <f>ROUND(E703*F703*G703,1)</f>
        <v>687500</v>
      </c>
    </row>
    <row r="704" spans="1:8" ht="27.75" customHeight="1">
      <c r="A704" s="127"/>
      <c r="B704" s="13" t="str">
        <f>'Giá tháng'!B$45</f>
        <v>A24.0797A</v>
      </c>
      <c r="C704" s="14" t="str">
        <f>'Giá tháng'!C$45</f>
        <v>Xi măng PCB30</v>
      </c>
      <c r="D704" s="13" t="str">
        <f>'Giá tháng'!D$45</f>
        <v>kg</v>
      </c>
      <c r="E704" s="80">
        <f>HaoPhiVatTu!F$300</f>
        <v>111.54</v>
      </c>
      <c r="F704" s="15">
        <f>ROUND('Tổng hợp VT'!O$49,1)</f>
        <v>1481</v>
      </c>
      <c r="G704" s="81">
        <f>'Giá tháng'!G$45</f>
        <v>1</v>
      </c>
      <c r="H704" s="15">
        <f>ROUND(E704*F704*G704,1)</f>
        <v>165190.70000000001</v>
      </c>
    </row>
    <row r="705" spans="1:8" ht="16.5" customHeight="1">
      <c r="A705" s="127"/>
      <c r="B705" s="13" t="str">
        <f>'Giá tháng'!B$9</f>
        <v>A24.0176</v>
      </c>
      <c r="C705" s="14" t="str">
        <f>'Giá tháng'!C$9</f>
        <v>Cát mịn ML=1,5-2,0</v>
      </c>
      <c r="D705" s="13" t="str">
        <f>'Giá tháng'!D$9</f>
        <v>m3</v>
      </c>
      <c r="E705" s="80">
        <f>HaoPhiVatTu!F$301</f>
        <v>0.37917000000000001</v>
      </c>
      <c r="F705" s="15">
        <f>ROUND('Tổng hợp VT'!O$14,1)</f>
        <v>445000</v>
      </c>
      <c r="G705" s="81">
        <f>'Giá tháng'!G$9</f>
        <v>1</v>
      </c>
      <c r="H705" s="15">
        <f>ROUND(E705*F705*G705,1)</f>
        <v>168730.7</v>
      </c>
    </row>
    <row r="706" spans="1:8" ht="16.5" customHeight="1">
      <c r="A706" s="127"/>
      <c r="B706" s="13" t="str">
        <f>'Giá tháng'!B$32</f>
        <v>A24.0524</v>
      </c>
      <c r="C706" s="14" t="str">
        <f>'Giá tháng'!C$32</f>
        <v>Nước</v>
      </c>
      <c r="D706" s="13" t="str">
        <f>'Giá tháng'!D$32</f>
        <v>lít</v>
      </c>
      <c r="E706" s="80">
        <f>HaoPhiVatTu!F$302</f>
        <v>89.76</v>
      </c>
      <c r="F706" s="15">
        <f>ROUND('Tổng hợp VT'!O$37,1)</f>
        <v>20</v>
      </c>
      <c r="G706" s="81">
        <f>'Giá tháng'!G$32</f>
        <v>1</v>
      </c>
      <c r="H706" s="15">
        <f>ROUND(E706*F706*G706,1)</f>
        <v>1795.2</v>
      </c>
    </row>
    <row r="707" spans="1:8" ht="16.5" customHeight="1">
      <c r="A707" s="127"/>
      <c r="B707" s="13" t="s">
        <v>684</v>
      </c>
      <c r="C707" s="14" t="s">
        <v>685</v>
      </c>
      <c r="D707" s="13" t="s">
        <v>682</v>
      </c>
      <c r="E707" s="80">
        <f>HaoPhiVatTu!F$303</f>
        <v>5.5</v>
      </c>
      <c r="F707" s="15">
        <f>ROUND(SUM(H703:H706),1)</f>
        <v>1023216.6</v>
      </c>
      <c r="G707" s="81"/>
      <c r="H707" s="15">
        <f>ROUND(E707*F707/100,1)</f>
        <v>56276.9</v>
      </c>
    </row>
    <row r="708" spans="1:8" ht="16.5" customHeight="1">
      <c r="A708" s="127"/>
      <c r="B708" s="13"/>
      <c r="C708" s="14" t="s">
        <v>776</v>
      </c>
      <c r="D708" s="13"/>
      <c r="E708" s="80"/>
      <c r="F708" s="15"/>
      <c r="G708" s="81"/>
      <c r="H708" s="15">
        <f>ROUND(SUM(H703:H707),1)</f>
        <v>1079493.5</v>
      </c>
    </row>
    <row r="709" spans="1:8" ht="16.5" customHeight="1">
      <c r="A709" s="131"/>
      <c r="B709" s="91"/>
      <c r="C709" s="90" t="s">
        <v>678</v>
      </c>
      <c r="D709" s="91"/>
      <c r="E709" s="93"/>
      <c r="F709" s="132"/>
      <c r="G709" s="94"/>
      <c r="H709" s="132">
        <f>ROUND(H710,1)</f>
        <v>838400</v>
      </c>
    </row>
    <row r="710" spans="1:8" ht="16.5" customHeight="1">
      <c r="A710" s="127"/>
      <c r="B710" s="13" t="str">
        <f>'Giá tháng'!B$51</f>
        <v>N2.35</v>
      </c>
      <c r="C710" s="14" t="str">
        <f>'Giá tháng'!C$51</f>
        <v>Nhân công 3,5/7 - Nhóm 2</v>
      </c>
      <c r="D710" s="13" t="str">
        <f>'Giá tháng'!D$51</f>
        <v>công</v>
      </c>
      <c r="E710" s="80">
        <f>HaoPhiVatTu!G$305</f>
        <v>3.2</v>
      </c>
      <c r="F710" s="15">
        <f>ROUND('Tổng hợp VT'!O$59,1)</f>
        <v>262000</v>
      </c>
      <c r="G710" s="81">
        <f>'Giá tháng'!G$51</f>
        <v>1</v>
      </c>
      <c r="H710" s="15">
        <f>ROUND(E710*F710*G710,1)</f>
        <v>838400</v>
      </c>
    </row>
    <row r="711" spans="1:8" ht="16.5" customHeight="1">
      <c r="A711" s="131"/>
      <c r="B711" s="91"/>
      <c r="C711" s="90" t="s">
        <v>679</v>
      </c>
      <c r="D711" s="91"/>
      <c r="E711" s="93"/>
      <c r="F711" s="132"/>
      <c r="G711" s="94"/>
      <c r="H711" s="132">
        <f>ROUND(H712,1)</f>
        <v>11441.1</v>
      </c>
    </row>
    <row r="712" spans="1:8" ht="27.75" customHeight="1">
      <c r="A712" s="127"/>
      <c r="B712" s="13" t="str">
        <f>'Giá tháng'!B$75</f>
        <v>M104.0202</v>
      </c>
      <c r="C712" s="14" t="str">
        <f>'Giá tháng'!C$75</f>
        <v>Máy trộn vữa 150 lít</v>
      </c>
      <c r="D712" s="13" t="str">
        <f>'Giá tháng'!D$75</f>
        <v>ca</v>
      </c>
      <c r="E712" s="80">
        <f>HaoPhiVatTu!H$307</f>
        <v>3.9E-2</v>
      </c>
      <c r="F712" s="15">
        <f>ROUND('Tổng hợp VT'!O$84,1)</f>
        <v>293362</v>
      </c>
      <c r="G712" s="81">
        <f>'Giá tháng'!G$75</f>
        <v>1</v>
      </c>
      <c r="H712" s="15">
        <f>ROUND(E712*F712*G712,1)</f>
        <v>11441.1</v>
      </c>
    </row>
    <row r="713" spans="1:8" ht="27.75" customHeight="1">
      <c r="A713" s="238"/>
      <c r="B713" s="159"/>
      <c r="C713" s="158" t="s">
        <v>1085</v>
      </c>
      <c r="D713" s="159" t="s">
        <v>810</v>
      </c>
      <c r="E713" s="239"/>
      <c r="F713" s="162"/>
      <c r="G713" s="240"/>
      <c r="H713" s="162">
        <f>ROUND(H702+H709+H711,1)</f>
        <v>1929334.6</v>
      </c>
    </row>
    <row r="714" spans="1:8" ht="16.5" customHeight="1">
      <c r="A714" s="241"/>
      <c r="B714" s="147"/>
      <c r="C714" s="146" t="s">
        <v>812</v>
      </c>
      <c r="D714" s="147" t="str">
        <f>""</f>
        <v/>
      </c>
      <c r="E714" s="242"/>
      <c r="F714" s="150"/>
      <c r="G714" s="149"/>
      <c r="H714" s="150"/>
    </row>
    <row r="715" spans="1:8" ht="16.5" customHeight="1">
      <c r="A715" s="241"/>
      <c r="B715" s="147"/>
      <c r="C715" s="146" t="str">
        <f>"Chi phí chung ( T x "&amp;HSXL!C$14&amp;" )"</f>
        <v>Chi phí chung ( T x 6,2% )</v>
      </c>
      <c r="D715" s="147" t="s">
        <v>807</v>
      </c>
      <c r="E715" s="242" t="str">
        <f>HSXL!C$14</f>
        <v>6,2%</v>
      </c>
      <c r="F715" s="150"/>
      <c r="G715" s="149"/>
      <c r="H715" s="150">
        <f>ROUND(H713*HSXL!D$14,1)</f>
        <v>119618.7</v>
      </c>
    </row>
    <row r="716" spans="1:8" ht="27.75" customHeight="1">
      <c r="A716" s="241"/>
      <c r="B716" s="147"/>
      <c r="C716" s="146" t="str">
        <f>"Chi phí nhà tạm để ở và điều hành thi công ( T x "&amp;HSXL!C$18&amp;" )"</f>
        <v>Chi phí nhà tạm để ở và điều hành thi công ( T x 2,2% )</v>
      </c>
      <c r="D716" s="147" t="s">
        <v>815</v>
      </c>
      <c r="E716" s="242" t="str">
        <f>HSXL!C$18</f>
        <v>2,2%</v>
      </c>
      <c r="F716" s="150"/>
      <c r="G716" s="149"/>
      <c r="H716" s="150">
        <f>ROUND(H713*HSXL!D$18,1)</f>
        <v>42445.4</v>
      </c>
    </row>
    <row r="717" spans="1:8" ht="39.75" customHeight="1">
      <c r="A717" s="241"/>
      <c r="B717" s="147"/>
      <c r="C717" s="146" t="str">
        <f>"Chi phí một số công việc không xác định được khối lượng từ thiết kế ( T x "&amp;HSXL!C$13&amp;" )"</f>
        <v>Chi phí một số công việc không xác định được khối lượng từ thiết kế ( T x 2% )</v>
      </c>
      <c r="D717" s="147" t="s">
        <v>61</v>
      </c>
      <c r="E717" s="242" t="str">
        <f>HSXL!C$13</f>
        <v>2%</v>
      </c>
      <c r="F717" s="150"/>
      <c r="G717" s="149"/>
      <c r="H717" s="150">
        <f>ROUND(H713*HSXL!D$13,1)</f>
        <v>38586.699999999997</v>
      </c>
    </row>
    <row r="718" spans="1:8" ht="27.75" customHeight="1">
      <c r="A718" s="238"/>
      <c r="B718" s="159"/>
      <c r="C718" s="158" t="s">
        <v>1086</v>
      </c>
      <c r="D718" s="159" t="s">
        <v>818</v>
      </c>
      <c r="E718" s="239"/>
      <c r="F718" s="162"/>
      <c r="G718" s="240"/>
      <c r="H718" s="162">
        <f>ROUND(SUM(H715:H717),1)</f>
        <v>200650.8</v>
      </c>
    </row>
    <row r="719" spans="1:8" ht="27.75" customHeight="1">
      <c r="A719" s="241"/>
      <c r="B719" s="147"/>
      <c r="C719" s="146" t="str">
        <f>"THU NHẬP CHỊU THUẾ TÍNH TRƯỚC (T+GT) x "&amp;HSXL!C$16</f>
        <v>THU NHẬP CHỊU THUẾ TÍNH TRƯỚC (T+GT) x 6%</v>
      </c>
      <c r="D719" s="147" t="s">
        <v>821</v>
      </c>
      <c r="E719" s="242" t="str">
        <f>HSXL!C$16</f>
        <v>6%</v>
      </c>
      <c r="F719" s="150"/>
      <c r="G719" s="149"/>
      <c r="H719" s="150">
        <f>ROUND((H713+H718)*HSXL!D$16,1)</f>
        <v>127799.1</v>
      </c>
    </row>
    <row r="720" spans="1:8" ht="27.75" customHeight="1">
      <c r="A720" s="241"/>
      <c r="B720" s="147"/>
      <c r="C720" s="146" t="s">
        <v>1087</v>
      </c>
      <c r="D720" s="147" t="s">
        <v>823</v>
      </c>
      <c r="E720" s="242"/>
      <c r="F720" s="150"/>
      <c r="G720" s="149"/>
      <c r="H720" s="150">
        <f>ROUND(H713+H718+H719,0)</f>
        <v>2257785</v>
      </c>
    </row>
    <row r="721" spans="1:8" ht="27.75" customHeight="1">
      <c r="A721" s="241"/>
      <c r="B721" s="147"/>
      <c r="C721" s="146" t="str">
        <f>"THUẾ GIÁ TRỊ GIA TĂNG ( G x "&amp;HSXL!C$17&amp;" )"</f>
        <v>THUẾ GIÁ TRỊ GIA TĂNG ( G x 10% )</v>
      </c>
      <c r="D721" s="147" t="s">
        <v>827</v>
      </c>
      <c r="E721" s="164">
        <f>HSXL!D$17</f>
        <v>0.1</v>
      </c>
      <c r="F721" s="150"/>
      <c r="G721" s="149"/>
      <c r="H721" s="150">
        <f>ROUND(E721*H720,1)</f>
        <v>225778.5</v>
      </c>
    </row>
    <row r="722" spans="1:8" ht="27.75" customHeight="1">
      <c r="A722" s="243"/>
      <c r="B722" s="244"/>
      <c r="C722" s="245" t="s">
        <v>1088</v>
      </c>
      <c r="D722" s="244" t="s">
        <v>830</v>
      </c>
      <c r="E722" s="246"/>
      <c r="F722" s="247"/>
      <c r="G722" s="248"/>
      <c r="H722" s="249">
        <f>ROUND(H720+H721,0)</f>
        <v>2483564</v>
      </c>
    </row>
    <row r="723" spans="1:8" ht="27.75" customHeight="1">
      <c r="A723" s="128">
        <f>'Công trình'!A95</f>
        <v>22</v>
      </c>
      <c r="B723" s="129" t="str">
        <f>'Công trình'!E95</f>
        <v>AK.21533A</v>
      </c>
      <c r="C723" s="130" t="str">
        <f>'Công trình'!F95</f>
        <v>Trát tường hố tụ, chiều dày trát 2cm, vữa XM mác 75, PCB30</v>
      </c>
      <c r="D723" s="129" t="str">
        <f>'Công trình'!G95</f>
        <v>m2</v>
      </c>
      <c r="E723" s="237">
        <v>1</v>
      </c>
      <c r="F723" s="69"/>
      <c r="G723" s="68"/>
      <c r="H723" s="69"/>
    </row>
    <row r="724" spans="1:8" ht="16.5" customHeight="1">
      <c r="A724" s="131"/>
      <c r="B724" s="91"/>
      <c r="C724" s="90" t="s">
        <v>683</v>
      </c>
      <c r="D724" s="91"/>
      <c r="E724" s="93"/>
      <c r="F724" s="132"/>
      <c r="G724" s="94"/>
      <c r="H724" s="132">
        <f>ROUND(H729,1)</f>
        <v>23515.4</v>
      </c>
    </row>
    <row r="725" spans="1:8" ht="27.75" customHeight="1">
      <c r="A725" s="127"/>
      <c r="B725" s="13" t="str">
        <f>'Giá tháng'!B$45</f>
        <v>A24.0797A</v>
      </c>
      <c r="C725" s="14" t="str">
        <f>'Giá tháng'!C$45</f>
        <v>Xi măng PCB30</v>
      </c>
      <c r="D725" s="13" t="str">
        <f>'Giá tháng'!D$45</f>
        <v>kg</v>
      </c>
      <c r="E725" s="80">
        <f>HaoPhiVatTu!F$310</f>
        <v>7.774</v>
      </c>
      <c r="F725" s="15">
        <f>ROUND('Tổng hợp VT'!O$49,1)</f>
        <v>1481</v>
      </c>
      <c r="G725" s="81">
        <f>'Giá tháng'!G$45</f>
        <v>1</v>
      </c>
      <c r="H725" s="15">
        <f>ROUND(E725*F725*G725,1)</f>
        <v>11513.3</v>
      </c>
    </row>
    <row r="726" spans="1:8" ht="16.5" customHeight="1">
      <c r="A726" s="127"/>
      <c r="B726" s="13" t="str">
        <f>'Giá tháng'!B$9</f>
        <v>A24.0176</v>
      </c>
      <c r="C726" s="14" t="str">
        <f>'Giá tháng'!C$9</f>
        <v>Cát mịn ML=1,5-2,0</v>
      </c>
      <c r="D726" s="13" t="str">
        <f>'Giá tháng'!D$9</f>
        <v>m3</v>
      </c>
      <c r="E726" s="80">
        <f>HaoPhiVatTu!F$311</f>
        <v>2.6426999999999999E-2</v>
      </c>
      <c r="F726" s="15">
        <f>ROUND('Tổng hợp VT'!O$14,1)</f>
        <v>445000</v>
      </c>
      <c r="G726" s="81">
        <f>'Giá tháng'!G$9</f>
        <v>1</v>
      </c>
      <c r="H726" s="15">
        <f>ROUND(E726*F726*G726,1)</f>
        <v>11760</v>
      </c>
    </row>
    <row r="727" spans="1:8" ht="16.5" customHeight="1">
      <c r="A727" s="127"/>
      <c r="B727" s="13" t="str">
        <f>'Giá tháng'!B$32</f>
        <v>A24.0524</v>
      </c>
      <c r="C727" s="14" t="str">
        <f>'Giá tháng'!C$32</f>
        <v>Nước</v>
      </c>
      <c r="D727" s="13" t="str">
        <f>'Giá tháng'!D$32</f>
        <v>lít</v>
      </c>
      <c r="E727" s="80">
        <f>HaoPhiVatTu!F$312</f>
        <v>6.2560000000000002</v>
      </c>
      <c r="F727" s="15">
        <f>ROUND('Tổng hợp VT'!O$37,1)</f>
        <v>20</v>
      </c>
      <c r="G727" s="81">
        <f>'Giá tháng'!G$32</f>
        <v>1</v>
      </c>
      <c r="H727" s="15">
        <f>ROUND(E727*F727*G727,1)</f>
        <v>125.1</v>
      </c>
    </row>
    <row r="728" spans="1:8" ht="16.5" customHeight="1">
      <c r="A728" s="127"/>
      <c r="B728" s="13" t="s">
        <v>684</v>
      </c>
      <c r="C728" s="14" t="s">
        <v>685</v>
      </c>
      <c r="D728" s="13" t="s">
        <v>682</v>
      </c>
      <c r="E728" s="80">
        <f>HaoPhiVatTu!F$313</f>
        <v>0.5</v>
      </c>
      <c r="F728" s="15">
        <f>ROUND(SUM(H725:H727),1)</f>
        <v>23398.400000000001</v>
      </c>
      <c r="G728" s="81"/>
      <c r="H728" s="15">
        <f>ROUND(E728*F728/100,1)</f>
        <v>117</v>
      </c>
    </row>
    <row r="729" spans="1:8" ht="16.5" customHeight="1">
      <c r="A729" s="127"/>
      <c r="B729" s="13"/>
      <c r="C729" s="14" t="s">
        <v>776</v>
      </c>
      <c r="D729" s="13"/>
      <c r="E729" s="80"/>
      <c r="F729" s="15"/>
      <c r="G729" s="81"/>
      <c r="H729" s="15">
        <f>ROUND(SUM(H725:H728),1)</f>
        <v>23515.4</v>
      </c>
    </row>
    <row r="730" spans="1:8" ht="16.5" customHeight="1">
      <c r="A730" s="131"/>
      <c r="B730" s="91"/>
      <c r="C730" s="90" t="s">
        <v>678</v>
      </c>
      <c r="D730" s="91"/>
      <c r="E730" s="93"/>
      <c r="F730" s="132"/>
      <c r="G730" s="94"/>
      <c r="H730" s="132">
        <f>ROUND(H731,1)</f>
        <v>91700</v>
      </c>
    </row>
    <row r="731" spans="1:8" ht="16.5" customHeight="1">
      <c r="A731" s="127"/>
      <c r="B731" s="13" t="str">
        <f>'Giá tháng'!B$51</f>
        <v>N2.35</v>
      </c>
      <c r="C731" s="14" t="str">
        <f>'Giá tháng'!C$51</f>
        <v>Nhân công 3,5/7 - Nhóm 2</v>
      </c>
      <c r="D731" s="13" t="str">
        <f>'Giá tháng'!D$51</f>
        <v>công</v>
      </c>
      <c r="E731" s="80">
        <f>HaoPhiVatTu!G$315</f>
        <v>0.35</v>
      </c>
      <c r="F731" s="15">
        <f>ROUND('Tổng hợp VT'!O$59,1)</f>
        <v>262000</v>
      </c>
      <c r="G731" s="81">
        <f>'Giá tháng'!G$51</f>
        <v>1</v>
      </c>
      <c r="H731" s="15">
        <f>ROUND(E731*F731*G731,1)</f>
        <v>91700</v>
      </c>
    </row>
    <row r="732" spans="1:8" ht="16.5" customHeight="1">
      <c r="A732" s="131"/>
      <c r="B732" s="91"/>
      <c r="C732" s="90" t="s">
        <v>679</v>
      </c>
      <c r="D732" s="91"/>
      <c r="E732" s="93"/>
      <c r="F732" s="132"/>
      <c r="G732" s="94"/>
      <c r="H732" s="132">
        <f>ROUND(H733,1)</f>
        <v>880.1</v>
      </c>
    </row>
    <row r="733" spans="1:8" ht="27.75" customHeight="1">
      <c r="A733" s="127"/>
      <c r="B733" s="13" t="str">
        <f>'Giá tháng'!B$75</f>
        <v>M104.0202</v>
      </c>
      <c r="C733" s="14" t="str">
        <f>'Giá tháng'!C$75</f>
        <v>Máy trộn vữa 150 lít</v>
      </c>
      <c r="D733" s="13" t="str">
        <f>'Giá tháng'!D$75</f>
        <v>ca</v>
      </c>
      <c r="E733" s="80">
        <f>HaoPhiVatTu!H$317</f>
        <v>3.0000000000000001E-3</v>
      </c>
      <c r="F733" s="15">
        <f>ROUND('Tổng hợp VT'!O$84,1)</f>
        <v>293362</v>
      </c>
      <c r="G733" s="81">
        <f>'Giá tháng'!G$75</f>
        <v>1</v>
      </c>
      <c r="H733" s="15">
        <f>ROUND(E733*F733*G733,1)</f>
        <v>880.1</v>
      </c>
    </row>
    <row r="734" spans="1:8" ht="27.75" customHeight="1">
      <c r="A734" s="238"/>
      <c r="B734" s="159"/>
      <c r="C734" s="158" t="s">
        <v>1085</v>
      </c>
      <c r="D734" s="159" t="s">
        <v>810</v>
      </c>
      <c r="E734" s="239"/>
      <c r="F734" s="162"/>
      <c r="G734" s="240"/>
      <c r="H734" s="162">
        <f>ROUND(H724+H730+H732,1)</f>
        <v>116095.5</v>
      </c>
    </row>
    <row r="735" spans="1:8" ht="16.5" customHeight="1">
      <c r="A735" s="241"/>
      <c r="B735" s="147"/>
      <c r="C735" s="146" t="s">
        <v>812</v>
      </c>
      <c r="D735" s="147" t="str">
        <f>""</f>
        <v/>
      </c>
      <c r="E735" s="242"/>
      <c r="F735" s="150"/>
      <c r="G735" s="149"/>
      <c r="H735" s="150"/>
    </row>
    <row r="736" spans="1:8" ht="16.5" customHeight="1">
      <c r="A736" s="241"/>
      <c r="B736" s="147"/>
      <c r="C736" s="146" t="str">
        <f>"Chi phí chung ( T x "&amp;HSXL!C$14&amp;" )"</f>
        <v>Chi phí chung ( T x 6,2% )</v>
      </c>
      <c r="D736" s="147" t="s">
        <v>807</v>
      </c>
      <c r="E736" s="242" t="str">
        <f>HSXL!C$14</f>
        <v>6,2%</v>
      </c>
      <c r="F736" s="150"/>
      <c r="G736" s="149"/>
      <c r="H736" s="150">
        <f>ROUND(H734*HSXL!D$14,1)</f>
        <v>7197.9</v>
      </c>
    </row>
    <row r="737" spans="1:8" ht="27.75" customHeight="1">
      <c r="A737" s="241"/>
      <c r="B737" s="147"/>
      <c r="C737" s="146" t="str">
        <f>"Chi phí nhà tạm để ở và điều hành thi công ( T x "&amp;HSXL!C$18&amp;" )"</f>
        <v>Chi phí nhà tạm để ở và điều hành thi công ( T x 2,2% )</v>
      </c>
      <c r="D737" s="147" t="s">
        <v>815</v>
      </c>
      <c r="E737" s="242" t="str">
        <f>HSXL!C$18</f>
        <v>2,2%</v>
      </c>
      <c r="F737" s="150"/>
      <c r="G737" s="149"/>
      <c r="H737" s="150">
        <f>ROUND(H734*HSXL!D$18,1)</f>
        <v>2554.1</v>
      </c>
    </row>
    <row r="738" spans="1:8" ht="39.75" customHeight="1">
      <c r="A738" s="241"/>
      <c r="B738" s="147"/>
      <c r="C738" s="146" t="str">
        <f>"Chi phí một số công việc không xác định được khối lượng từ thiết kế ( T x "&amp;HSXL!C$13&amp;" )"</f>
        <v>Chi phí một số công việc không xác định được khối lượng từ thiết kế ( T x 2% )</v>
      </c>
      <c r="D738" s="147" t="s">
        <v>61</v>
      </c>
      <c r="E738" s="242" t="str">
        <f>HSXL!C$13</f>
        <v>2%</v>
      </c>
      <c r="F738" s="150"/>
      <c r="G738" s="149"/>
      <c r="H738" s="150">
        <f>ROUND(H734*HSXL!D$13,1)</f>
        <v>2321.9</v>
      </c>
    </row>
    <row r="739" spans="1:8" ht="27.75" customHeight="1">
      <c r="A739" s="238"/>
      <c r="B739" s="159"/>
      <c r="C739" s="158" t="s">
        <v>1086</v>
      </c>
      <c r="D739" s="159" t="s">
        <v>818</v>
      </c>
      <c r="E739" s="239"/>
      <c r="F739" s="162"/>
      <c r="G739" s="240"/>
      <c r="H739" s="162">
        <f>ROUND(SUM(H736:H738),1)</f>
        <v>12073.9</v>
      </c>
    </row>
    <row r="740" spans="1:8" ht="27.75" customHeight="1">
      <c r="A740" s="241"/>
      <c r="B740" s="147"/>
      <c r="C740" s="146" t="str">
        <f>"THU NHẬP CHỊU THUẾ TÍNH TRƯỚC (T+GT) x "&amp;HSXL!C$16</f>
        <v>THU NHẬP CHỊU THUẾ TÍNH TRƯỚC (T+GT) x 6%</v>
      </c>
      <c r="D740" s="147" t="s">
        <v>821</v>
      </c>
      <c r="E740" s="242" t="str">
        <f>HSXL!C$16</f>
        <v>6%</v>
      </c>
      <c r="F740" s="150"/>
      <c r="G740" s="149"/>
      <c r="H740" s="150">
        <f>ROUND((H734+H739)*HSXL!D$16,1)</f>
        <v>7690.2</v>
      </c>
    </row>
    <row r="741" spans="1:8" ht="27.75" customHeight="1">
      <c r="A741" s="241"/>
      <c r="B741" s="147"/>
      <c r="C741" s="146" t="s">
        <v>1087</v>
      </c>
      <c r="D741" s="147" t="s">
        <v>823</v>
      </c>
      <c r="E741" s="242"/>
      <c r="F741" s="150"/>
      <c r="G741" s="149"/>
      <c r="H741" s="150">
        <f>ROUND(H734+H739+H740,0)</f>
        <v>135860</v>
      </c>
    </row>
    <row r="742" spans="1:8" ht="27.75" customHeight="1">
      <c r="A742" s="241"/>
      <c r="B742" s="147"/>
      <c r="C742" s="146" t="str">
        <f>"THUẾ GIÁ TRỊ GIA TĂNG ( G x "&amp;HSXL!C$17&amp;" )"</f>
        <v>THUẾ GIÁ TRỊ GIA TĂNG ( G x 10% )</v>
      </c>
      <c r="D742" s="147" t="s">
        <v>827</v>
      </c>
      <c r="E742" s="164">
        <f>HSXL!D$17</f>
        <v>0.1</v>
      </c>
      <c r="F742" s="150"/>
      <c r="G742" s="149"/>
      <c r="H742" s="150">
        <f>ROUND(E742*H741,1)</f>
        <v>13586</v>
      </c>
    </row>
    <row r="743" spans="1:8" ht="27.75" customHeight="1">
      <c r="A743" s="243"/>
      <c r="B743" s="244"/>
      <c r="C743" s="245" t="s">
        <v>1088</v>
      </c>
      <c r="D743" s="244" t="s">
        <v>830</v>
      </c>
      <c r="E743" s="246"/>
      <c r="F743" s="247"/>
      <c r="G743" s="248"/>
      <c r="H743" s="249">
        <f>ROUND(H741+H742,0)</f>
        <v>149446</v>
      </c>
    </row>
    <row r="744" spans="1:8" ht="16.5" customHeight="1">
      <c r="A744" s="128">
        <f>'Công trình'!A97</f>
        <v>23</v>
      </c>
      <c r="B744" s="129" t="str">
        <f>'Công trình'!E97</f>
        <v>AF.81141</v>
      </c>
      <c r="C744" s="130" t="str">
        <f>'Công trình'!F97</f>
        <v>Ván khuôn gỗ. Ván khuôn cổ hố tụ</v>
      </c>
      <c r="D744" s="129" t="str">
        <f>'Công trình'!G97</f>
        <v>100m2</v>
      </c>
      <c r="E744" s="237">
        <v>1</v>
      </c>
      <c r="F744" s="69"/>
      <c r="G744" s="68"/>
      <c r="H744" s="69"/>
    </row>
    <row r="745" spans="1:8" ht="16.5" customHeight="1">
      <c r="A745" s="131"/>
      <c r="B745" s="91"/>
      <c r="C745" s="90" t="s">
        <v>683</v>
      </c>
      <c r="D745" s="91"/>
      <c r="E745" s="93"/>
      <c r="F745" s="132"/>
      <c r="G745" s="94"/>
      <c r="H745" s="132">
        <f>ROUND(H751,1)</f>
        <v>8793002.5</v>
      </c>
    </row>
    <row r="746" spans="1:8" ht="16.5" customHeight="1">
      <c r="A746" s="127"/>
      <c r="B746" s="13" t="str">
        <f>'Giá tháng'!B$23</f>
        <v>A24.0418</v>
      </c>
      <c r="C746" s="14" t="str">
        <f>'Giá tháng'!C$23</f>
        <v>Gỗ ván</v>
      </c>
      <c r="D746" s="13" t="str">
        <f>'Giá tháng'!D$23</f>
        <v>m3</v>
      </c>
      <c r="E746" s="80">
        <f>HaoPhiVatTu!F$320</f>
        <v>0.79400000000000004</v>
      </c>
      <c r="F746" s="15">
        <f>ROUND('Tổng hợp VT'!O$28,1)</f>
        <v>4318182</v>
      </c>
      <c r="G746" s="81">
        <f>'Giá tháng'!G$23</f>
        <v>1</v>
      </c>
      <c r="H746" s="15">
        <f>ROUND(E746*F746*G746,1)</f>
        <v>3428636.5</v>
      </c>
    </row>
    <row r="747" spans="1:8" ht="16.5" customHeight="1">
      <c r="A747" s="127"/>
      <c r="B747" s="13" t="str">
        <f>'Giá tháng'!B$22</f>
        <v>A24.0404</v>
      </c>
      <c r="C747" s="14" t="str">
        <f>'Giá tháng'!C$22</f>
        <v>Gỗ đà nẹp</v>
      </c>
      <c r="D747" s="13" t="str">
        <f>'Giá tháng'!D$22</f>
        <v>m3</v>
      </c>
      <c r="E747" s="80">
        <f>HaoPhiVatTu!F$321</f>
        <v>0.189</v>
      </c>
      <c r="F747" s="15">
        <f>ROUND('Tổng hợp VT'!O$27,1)</f>
        <v>4318182</v>
      </c>
      <c r="G747" s="81">
        <f>'Giá tháng'!G$22</f>
        <v>1</v>
      </c>
      <c r="H747" s="15">
        <f>ROUND(E747*F747*G747,1)</f>
        <v>816136.4</v>
      </c>
    </row>
    <row r="748" spans="1:8" ht="16.5" customHeight="1">
      <c r="A748" s="127"/>
      <c r="B748" s="13" t="str">
        <f>'Giá tháng'!B$21</f>
        <v>A24.0406</v>
      </c>
      <c r="C748" s="14" t="str">
        <f>'Giá tháng'!C$21</f>
        <v>Gỗ chống</v>
      </c>
      <c r="D748" s="13" t="str">
        <f>'Giá tháng'!D$21</f>
        <v>m3</v>
      </c>
      <c r="E748" s="80">
        <f>HaoPhiVatTu!F$322</f>
        <v>0.95699999999999996</v>
      </c>
      <c r="F748" s="15">
        <f>ROUND('Tổng hợp VT'!O$26,1)</f>
        <v>4318182</v>
      </c>
      <c r="G748" s="81">
        <f>'Giá tháng'!G$21</f>
        <v>1</v>
      </c>
      <c r="H748" s="15">
        <f>ROUND(E748*F748*G748,1)</f>
        <v>4132500.2</v>
      </c>
    </row>
    <row r="749" spans="1:8" ht="16.5" customHeight="1">
      <c r="A749" s="127"/>
      <c r="B749" s="13" t="str">
        <f>'Giá tháng'!B$19</f>
        <v>A24.0054</v>
      </c>
      <c r="C749" s="14" t="str">
        <f>'Giá tháng'!C$19</f>
        <v>Đinh</v>
      </c>
      <c r="D749" s="13" t="str">
        <f>'Giá tháng'!D$19</f>
        <v>kg</v>
      </c>
      <c r="E749" s="80">
        <f>HaoPhiVatTu!F$323</f>
        <v>14.29</v>
      </c>
      <c r="F749" s="15">
        <f>ROUND('Tổng hợp VT'!O$24,1)</f>
        <v>23000</v>
      </c>
      <c r="G749" s="81">
        <f>'Giá tháng'!G$19</f>
        <v>1</v>
      </c>
      <c r="H749" s="15">
        <f>ROUND(E749*F749*G749,1)</f>
        <v>328670</v>
      </c>
    </row>
    <row r="750" spans="1:8" ht="16.5" customHeight="1">
      <c r="A750" s="127"/>
      <c r="B750" s="13" t="s">
        <v>684</v>
      </c>
      <c r="C750" s="14" t="s">
        <v>685</v>
      </c>
      <c r="D750" s="13" t="s">
        <v>682</v>
      </c>
      <c r="E750" s="80">
        <f>HaoPhiVatTu!F$324</f>
        <v>1</v>
      </c>
      <c r="F750" s="15">
        <f>ROUND(SUM(H746:H749),1)</f>
        <v>8705943.0999999996</v>
      </c>
      <c r="G750" s="81"/>
      <c r="H750" s="15">
        <f>ROUND(E750*F750/100,1)</f>
        <v>87059.4</v>
      </c>
    </row>
    <row r="751" spans="1:8" ht="16.5" customHeight="1">
      <c r="A751" s="127"/>
      <c r="B751" s="13"/>
      <c r="C751" s="14" t="s">
        <v>776</v>
      </c>
      <c r="D751" s="13"/>
      <c r="E751" s="80"/>
      <c r="F751" s="15"/>
      <c r="G751" s="81"/>
      <c r="H751" s="15">
        <f>ROUND(SUM(H746:H750),1)</f>
        <v>8793002.5</v>
      </c>
    </row>
    <row r="752" spans="1:8" ht="16.5" customHeight="1">
      <c r="A752" s="131"/>
      <c r="B752" s="91"/>
      <c r="C752" s="90" t="s">
        <v>678</v>
      </c>
      <c r="D752" s="91"/>
      <c r="E752" s="93"/>
      <c r="F752" s="132"/>
      <c r="G752" s="94"/>
      <c r="H752" s="132">
        <f>ROUND(H753,1)</f>
        <v>7205000</v>
      </c>
    </row>
    <row r="753" spans="1:8" ht="16.5" customHeight="1">
      <c r="A753" s="127"/>
      <c r="B753" s="13" t="str">
        <f>'Giá tháng'!B$51</f>
        <v>N2.35</v>
      </c>
      <c r="C753" s="14" t="str">
        <f>'Giá tháng'!C$51</f>
        <v>Nhân công 3,5/7 - Nhóm 2</v>
      </c>
      <c r="D753" s="13" t="str">
        <f>'Giá tháng'!D$51</f>
        <v>công</v>
      </c>
      <c r="E753" s="80">
        <f>HaoPhiVatTu!G$326</f>
        <v>27.5</v>
      </c>
      <c r="F753" s="15">
        <f>ROUND('Tổng hợp VT'!O$59,1)</f>
        <v>262000</v>
      </c>
      <c r="G753" s="81">
        <f>'Giá tháng'!G$51</f>
        <v>1</v>
      </c>
      <c r="H753" s="15">
        <f>ROUND(E753*F753*G753,1)</f>
        <v>7205000</v>
      </c>
    </row>
    <row r="754" spans="1:8" ht="27.75" customHeight="1">
      <c r="A754" s="238"/>
      <c r="B754" s="159"/>
      <c r="C754" s="158" t="s">
        <v>1085</v>
      </c>
      <c r="D754" s="159" t="s">
        <v>810</v>
      </c>
      <c r="E754" s="239"/>
      <c r="F754" s="162"/>
      <c r="G754" s="240"/>
      <c r="H754" s="162">
        <f>ROUND(H745+H752,1)</f>
        <v>15998002.5</v>
      </c>
    </row>
    <row r="755" spans="1:8" ht="16.5" customHeight="1">
      <c r="A755" s="241"/>
      <c r="B755" s="147"/>
      <c r="C755" s="146" t="s">
        <v>812</v>
      </c>
      <c r="D755" s="147" t="str">
        <f>""</f>
        <v/>
      </c>
      <c r="E755" s="242"/>
      <c r="F755" s="150"/>
      <c r="G755" s="149"/>
      <c r="H755" s="150"/>
    </row>
    <row r="756" spans="1:8" ht="16.5" customHeight="1">
      <c r="A756" s="241"/>
      <c r="B756" s="147"/>
      <c r="C756" s="146" t="str">
        <f>"Chi phí chung ( T x "&amp;HSXL!C$14&amp;" )"</f>
        <v>Chi phí chung ( T x 6,2% )</v>
      </c>
      <c r="D756" s="147" t="s">
        <v>807</v>
      </c>
      <c r="E756" s="242" t="str">
        <f>HSXL!C$14</f>
        <v>6,2%</v>
      </c>
      <c r="F756" s="150"/>
      <c r="G756" s="149"/>
      <c r="H756" s="150">
        <f>ROUND(H754*HSXL!D$14,1)</f>
        <v>991876.2</v>
      </c>
    </row>
    <row r="757" spans="1:8" ht="27.75" customHeight="1">
      <c r="A757" s="241"/>
      <c r="B757" s="147"/>
      <c r="C757" s="146" t="str">
        <f>"Chi phí nhà tạm để ở và điều hành thi công ( T x "&amp;HSXL!C$18&amp;" )"</f>
        <v>Chi phí nhà tạm để ở và điều hành thi công ( T x 2,2% )</v>
      </c>
      <c r="D757" s="147" t="s">
        <v>815</v>
      </c>
      <c r="E757" s="242" t="str">
        <f>HSXL!C$18</f>
        <v>2,2%</v>
      </c>
      <c r="F757" s="150"/>
      <c r="G757" s="149"/>
      <c r="H757" s="150">
        <f>ROUND(H754*HSXL!D$18,1)</f>
        <v>351956.1</v>
      </c>
    </row>
    <row r="758" spans="1:8" ht="39.75" customHeight="1">
      <c r="A758" s="241"/>
      <c r="B758" s="147"/>
      <c r="C758" s="146" t="str">
        <f>"Chi phí một số công việc không xác định được khối lượng từ thiết kế ( T x "&amp;HSXL!C$13&amp;" )"</f>
        <v>Chi phí một số công việc không xác định được khối lượng từ thiết kế ( T x 2% )</v>
      </c>
      <c r="D758" s="147" t="s">
        <v>61</v>
      </c>
      <c r="E758" s="242" t="str">
        <f>HSXL!C$13</f>
        <v>2%</v>
      </c>
      <c r="F758" s="150"/>
      <c r="G758" s="149"/>
      <c r="H758" s="150">
        <f>ROUND(H754*HSXL!D$13,1)</f>
        <v>319960.09999999998</v>
      </c>
    </row>
    <row r="759" spans="1:8" ht="27.75" customHeight="1">
      <c r="A759" s="238"/>
      <c r="B759" s="159"/>
      <c r="C759" s="158" t="s">
        <v>1086</v>
      </c>
      <c r="D759" s="159" t="s">
        <v>818</v>
      </c>
      <c r="E759" s="239"/>
      <c r="F759" s="162"/>
      <c r="G759" s="240"/>
      <c r="H759" s="162">
        <f>ROUND(SUM(H756:H758),1)</f>
        <v>1663792.4</v>
      </c>
    </row>
    <row r="760" spans="1:8" ht="27.75" customHeight="1">
      <c r="A760" s="241"/>
      <c r="B760" s="147"/>
      <c r="C760" s="146" t="str">
        <f>"THU NHẬP CHỊU THUẾ TÍNH TRƯỚC (T+GT) x "&amp;HSXL!C$16</f>
        <v>THU NHẬP CHỊU THUẾ TÍNH TRƯỚC (T+GT) x 6%</v>
      </c>
      <c r="D760" s="147" t="s">
        <v>821</v>
      </c>
      <c r="E760" s="242" t="str">
        <f>HSXL!C$16</f>
        <v>6%</v>
      </c>
      <c r="F760" s="150"/>
      <c r="G760" s="149"/>
      <c r="H760" s="150">
        <f>ROUND((H754+H759)*HSXL!D$16,1)</f>
        <v>1059707.7</v>
      </c>
    </row>
    <row r="761" spans="1:8" ht="27.75" customHeight="1">
      <c r="A761" s="241"/>
      <c r="B761" s="147"/>
      <c r="C761" s="146" t="s">
        <v>1087</v>
      </c>
      <c r="D761" s="147" t="s">
        <v>823</v>
      </c>
      <c r="E761" s="242"/>
      <c r="F761" s="150"/>
      <c r="G761" s="149"/>
      <c r="H761" s="150">
        <f>ROUND(H754+H759+H760,0)</f>
        <v>18721503</v>
      </c>
    </row>
    <row r="762" spans="1:8" ht="27.75" customHeight="1">
      <c r="A762" s="241"/>
      <c r="B762" s="147"/>
      <c r="C762" s="146" t="str">
        <f>"THUẾ GIÁ TRỊ GIA TĂNG ( G x "&amp;HSXL!C$17&amp;" )"</f>
        <v>THUẾ GIÁ TRỊ GIA TĂNG ( G x 10% )</v>
      </c>
      <c r="D762" s="147" t="s">
        <v>827</v>
      </c>
      <c r="E762" s="164">
        <f>HSXL!D$17</f>
        <v>0.1</v>
      </c>
      <c r="F762" s="150"/>
      <c r="G762" s="149"/>
      <c r="H762" s="150">
        <f>ROUND(E762*H761,1)</f>
        <v>1872150.3</v>
      </c>
    </row>
    <row r="763" spans="1:8" ht="27.75" customHeight="1">
      <c r="A763" s="243"/>
      <c r="B763" s="244"/>
      <c r="C763" s="245" t="s">
        <v>1088</v>
      </c>
      <c r="D763" s="244" t="s">
        <v>830</v>
      </c>
      <c r="E763" s="246"/>
      <c r="F763" s="247"/>
      <c r="G763" s="248"/>
      <c r="H763" s="249">
        <f>ROUND(H761+H762,0)</f>
        <v>20593653</v>
      </c>
    </row>
    <row r="764" spans="1:8" ht="27.75" customHeight="1">
      <c r="A764" s="128">
        <f>'Công trình'!A99</f>
        <v>24</v>
      </c>
      <c r="B764" s="129" t="str">
        <f>'Công trình'!E99</f>
        <v>AF.12314A</v>
      </c>
      <c r="C764" s="130" t="str">
        <f>'Công trình'!F99</f>
        <v>Đổ bê tông cổ hố tụ, đá 1x2, mác 250</v>
      </c>
      <c r="D764" s="129" t="str">
        <f>'Công trình'!G99</f>
        <v>m3</v>
      </c>
      <c r="E764" s="237">
        <v>1</v>
      </c>
      <c r="F764" s="69"/>
      <c r="G764" s="68"/>
      <c r="H764" s="69"/>
    </row>
    <row r="765" spans="1:8" ht="16.5" customHeight="1">
      <c r="A765" s="131"/>
      <c r="B765" s="91"/>
      <c r="C765" s="90" t="s">
        <v>683</v>
      </c>
      <c r="D765" s="91"/>
      <c r="E765" s="93"/>
      <c r="F765" s="132"/>
      <c r="G765" s="94"/>
      <c r="H765" s="132">
        <f>ROUND(H771,1)</f>
        <v>1099539</v>
      </c>
    </row>
    <row r="766" spans="1:8" ht="27.75" customHeight="1">
      <c r="A766" s="127"/>
      <c r="B766" s="13" t="str">
        <f>'Giá tháng'!B$45</f>
        <v>A24.0797A</v>
      </c>
      <c r="C766" s="14" t="str">
        <f>'Giá tháng'!C$45</f>
        <v>Xi măng PCB30</v>
      </c>
      <c r="D766" s="13" t="str">
        <f>'Giá tháng'!D$45</f>
        <v>kg</v>
      </c>
      <c r="E766" s="80">
        <f>HaoPhiVatTu!F$329</f>
        <v>369</v>
      </c>
      <c r="F766" s="15">
        <f>ROUND('Tổng hợp VT'!O$49,1)</f>
        <v>1481</v>
      </c>
      <c r="G766" s="81">
        <f>'Giá tháng'!G$45</f>
        <v>1</v>
      </c>
      <c r="H766" s="15">
        <f>ROUND(E766*F766*G766,1)</f>
        <v>546489</v>
      </c>
    </row>
    <row r="767" spans="1:8" ht="16.5" customHeight="1">
      <c r="A767" s="127"/>
      <c r="B767" s="13" t="str">
        <f>'Giá tháng'!B$10</f>
        <v>A24.0180</v>
      </c>
      <c r="C767" s="14" t="str">
        <f>'Giá tháng'!C$10</f>
        <v>Cát vàng</v>
      </c>
      <c r="D767" s="13" t="str">
        <f>'Giá tháng'!D$10</f>
        <v>m3</v>
      </c>
      <c r="E767" s="80">
        <f>HaoPhiVatTu!F$330</f>
        <v>0.517625</v>
      </c>
      <c r="F767" s="15">
        <f>ROUND('Tổng hợp VT'!O$15,1)</f>
        <v>480000</v>
      </c>
      <c r="G767" s="81">
        <f>'Giá tháng'!G$10</f>
        <v>1</v>
      </c>
      <c r="H767" s="15">
        <f>ROUND(E767*F767*G767,1)</f>
        <v>248460</v>
      </c>
    </row>
    <row r="768" spans="1:8" ht="16.5" customHeight="1">
      <c r="A768" s="127"/>
      <c r="B768" s="13" t="str">
        <f>'Giá tháng'!B$15</f>
        <v>A24.0008</v>
      </c>
      <c r="C768" s="14" t="str">
        <f>'Giá tháng'!C$15</f>
        <v>Đá 1x2</v>
      </c>
      <c r="D768" s="13" t="str">
        <f>'Giá tháng'!D$15</f>
        <v>m3</v>
      </c>
      <c r="E768" s="80">
        <f>HaoPhiVatTu!F$331</f>
        <v>0.8528</v>
      </c>
      <c r="F768" s="15">
        <f>ROUND('Tổng hợp VT'!O$20,1)</f>
        <v>340000</v>
      </c>
      <c r="G768" s="81">
        <f>'Giá tháng'!G$15</f>
        <v>1</v>
      </c>
      <c r="H768" s="15">
        <f>ROUND(E768*F768*G768,1)</f>
        <v>289952</v>
      </c>
    </row>
    <row r="769" spans="1:8" ht="16.5" customHeight="1">
      <c r="A769" s="127"/>
      <c r="B769" s="13" t="str">
        <f>'Giá tháng'!B$32</f>
        <v>A24.0524</v>
      </c>
      <c r="C769" s="14" t="str">
        <f>'Giá tháng'!C$32</f>
        <v>Nước</v>
      </c>
      <c r="D769" s="13" t="str">
        <f>'Giá tháng'!D$32</f>
        <v>lít</v>
      </c>
      <c r="E769" s="80">
        <f>HaoPhiVatTu!F$332</f>
        <v>187.57499999999999</v>
      </c>
      <c r="F769" s="15">
        <f>ROUND('Tổng hợp VT'!O$37,1)</f>
        <v>20</v>
      </c>
      <c r="G769" s="81">
        <f>'Giá tháng'!G$32</f>
        <v>1</v>
      </c>
      <c r="H769" s="15">
        <f>ROUND(E769*F769*G769,1)</f>
        <v>3751.5</v>
      </c>
    </row>
    <row r="770" spans="1:8" ht="16.5" customHeight="1">
      <c r="A770" s="127"/>
      <c r="B770" s="13" t="s">
        <v>684</v>
      </c>
      <c r="C770" s="14" t="s">
        <v>685</v>
      </c>
      <c r="D770" s="13" t="s">
        <v>682</v>
      </c>
      <c r="E770" s="80">
        <f>HaoPhiVatTu!F$333</f>
        <v>1</v>
      </c>
      <c r="F770" s="15">
        <f>ROUND(SUM(H766:H769),1)</f>
        <v>1088652.5</v>
      </c>
      <c r="G770" s="81"/>
      <c r="H770" s="15">
        <f>ROUND(E770*F770/100,1)</f>
        <v>10886.5</v>
      </c>
    </row>
    <row r="771" spans="1:8" ht="16.5" customHeight="1">
      <c r="A771" s="127"/>
      <c r="B771" s="13"/>
      <c r="C771" s="14" t="s">
        <v>776</v>
      </c>
      <c r="D771" s="13"/>
      <c r="E771" s="80"/>
      <c r="F771" s="15"/>
      <c r="G771" s="81"/>
      <c r="H771" s="15">
        <f>ROUND(SUM(H766:H770),1)</f>
        <v>1099539</v>
      </c>
    </row>
    <row r="772" spans="1:8" ht="16.5" customHeight="1">
      <c r="A772" s="131"/>
      <c r="B772" s="91"/>
      <c r="C772" s="90" t="s">
        <v>678</v>
      </c>
      <c r="D772" s="91"/>
      <c r="E772" s="93"/>
      <c r="F772" s="132"/>
      <c r="G772" s="94"/>
      <c r="H772" s="132">
        <f>ROUND(H773,1)</f>
        <v>639710.6</v>
      </c>
    </row>
    <row r="773" spans="1:8" ht="16.5" customHeight="1">
      <c r="A773" s="127"/>
      <c r="B773" s="13" t="str">
        <f>'Giá tháng'!B$49</f>
        <v>N2.30</v>
      </c>
      <c r="C773" s="14" t="str">
        <f>'Giá tháng'!C$49</f>
        <v>Nhân công 3,0/7 - Nhóm 2</v>
      </c>
      <c r="D773" s="13" t="str">
        <f>'Giá tháng'!D$49</f>
        <v>công</v>
      </c>
      <c r="E773" s="80">
        <f>HaoPhiVatTu!G$335</f>
        <v>2.67</v>
      </c>
      <c r="F773" s="15">
        <f>ROUND('Tổng hợp VT'!O$57,1)</f>
        <v>239592</v>
      </c>
      <c r="G773" s="81">
        <f>'Giá tháng'!G$49</f>
        <v>1</v>
      </c>
      <c r="H773" s="15">
        <f>ROUND(E773*F773*G773,1)</f>
        <v>639710.6</v>
      </c>
    </row>
    <row r="774" spans="1:8" ht="16.5" customHeight="1">
      <c r="A774" s="131"/>
      <c r="B774" s="91"/>
      <c r="C774" s="90" t="s">
        <v>679</v>
      </c>
      <c r="D774" s="91"/>
      <c r="E774" s="93"/>
      <c r="F774" s="132"/>
      <c r="G774" s="94"/>
      <c r="H774" s="132">
        <f>ROUND(H777,1)</f>
        <v>79863</v>
      </c>
    </row>
    <row r="775" spans="1:8" ht="27.75" customHeight="1">
      <c r="A775" s="127"/>
      <c r="B775" s="13" t="str">
        <f>'Giá tháng'!B$74</f>
        <v>M104.0102</v>
      </c>
      <c r="C775" s="14" t="str">
        <f>'Giá tháng'!C$74</f>
        <v>Máy trộn bê tông - dung tích : 250,0 lít</v>
      </c>
      <c r="D775" s="13" t="str">
        <f>'Giá tháng'!D$74</f>
        <v>ca</v>
      </c>
      <c r="E775" s="80">
        <f>HaoPhiVatTu!H$337</f>
        <v>9.5000000000000001E-2</v>
      </c>
      <c r="F775" s="15">
        <f>ROUND('Tổng hợp VT'!O$83,1)</f>
        <v>318734</v>
      </c>
      <c r="G775" s="81">
        <f>'Giá tháng'!G$74</f>
        <v>1</v>
      </c>
      <c r="H775" s="15">
        <f>ROUND(E775*F775*G775,1)</f>
        <v>30279.7</v>
      </c>
    </row>
    <row r="776" spans="1:8" ht="27.75" customHeight="1">
      <c r="A776" s="127"/>
      <c r="B776" s="13" t="str">
        <f>'Giá tháng'!B$62</f>
        <v>M112.1301</v>
      </c>
      <c r="C776" s="14" t="str">
        <f>'Giá tháng'!C$62</f>
        <v>Máy đầm bê tông, dầm dùi - công suất : 1,5 kW</v>
      </c>
      <c r="D776" s="13" t="str">
        <f>'Giá tháng'!D$62</f>
        <v>ca</v>
      </c>
      <c r="E776" s="80">
        <f>HaoPhiVatTu!H$338</f>
        <v>0.18</v>
      </c>
      <c r="F776" s="15">
        <f>ROUND('Tổng hợp VT'!O$71,1)</f>
        <v>275463</v>
      </c>
      <c r="G776" s="81">
        <f>'Giá tháng'!G$62</f>
        <v>1</v>
      </c>
      <c r="H776" s="15">
        <f>ROUND(E776*F776*G776,1)</f>
        <v>49583.3</v>
      </c>
    </row>
    <row r="777" spans="1:8" ht="16.5" customHeight="1">
      <c r="A777" s="127"/>
      <c r="B777" s="13"/>
      <c r="C777" s="14" t="s">
        <v>776</v>
      </c>
      <c r="D777" s="13"/>
      <c r="E777" s="19"/>
      <c r="F777" s="15"/>
      <c r="G777" s="18"/>
      <c r="H777" s="15">
        <f>ROUND(SUM(H775:H776),1)</f>
        <v>79863</v>
      </c>
    </row>
    <row r="778" spans="1:8" ht="27.75" customHeight="1">
      <c r="A778" s="238"/>
      <c r="B778" s="159"/>
      <c r="C778" s="158" t="s">
        <v>1085</v>
      </c>
      <c r="D778" s="159" t="s">
        <v>810</v>
      </c>
      <c r="E778" s="239"/>
      <c r="F778" s="162"/>
      <c r="G778" s="240"/>
      <c r="H778" s="162">
        <f>ROUND(H765+H772+H774,1)</f>
        <v>1819112.6</v>
      </c>
    </row>
    <row r="779" spans="1:8" ht="16.5" customHeight="1">
      <c r="A779" s="241"/>
      <c r="B779" s="147"/>
      <c r="C779" s="146" t="s">
        <v>812</v>
      </c>
      <c r="D779" s="147" t="str">
        <f>""</f>
        <v/>
      </c>
      <c r="E779" s="242"/>
      <c r="F779" s="150"/>
      <c r="G779" s="149"/>
      <c r="H779" s="150"/>
    </row>
    <row r="780" spans="1:8" ht="16.5" customHeight="1">
      <c r="A780" s="241"/>
      <c r="B780" s="147"/>
      <c r="C780" s="146" t="str">
        <f>"Chi phí chung ( T x "&amp;HSXL!C$14&amp;" )"</f>
        <v>Chi phí chung ( T x 6,2% )</v>
      </c>
      <c r="D780" s="147" t="s">
        <v>807</v>
      </c>
      <c r="E780" s="242" t="str">
        <f>HSXL!C$14</f>
        <v>6,2%</v>
      </c>
      <c r="F780" s="150"/>
      <c r="G780" s="149"/>
      <c r="H780" s="150">
        <f>ROUND(H778*HSXL!D$14,1)</f>
        <v>112785</v>
      </c>
    </row>
    <row r="781" spans="1:8" ht="27.75" customHeight="1">
      <c r="A781" s="241"/>
      <c r="B781" s="147"/>
      <c r="C781" s="146" t="str">
        <f>"Chi phí nhà tạm để ở và điều hành thi công ( T x "&amp;HSXL!C$18&amp;" )"</f>
        <v>Chi phí nhà tạm để ở và điều hành thi công ( T x 2,2% )</v>
      </c>
      <c r="D781" s="147" t="s">
        <v>815</v>
      </c>
      <c r="E781" s="242" t="str">
        <f>HSXL!C$18</f>
        <v>2,2%</v>
      </c>
      <c r="F781" s="150"/>
      <c r="G781" s="149"/>
      <c r="H781" s="150">
        <f>ROUND(H778*HSXL!D$18,1)</f>
        <v>40020.5</v>
      </c>
    </row>
    <row r="782" spans="1:8" ht="39.75" customHeight="1">
      <c r="A782" s="241"/>
      <c r="B782" s="147"/>
      <c r="C782" s="146" t="str">
        <f>"Chi phí một số công việc không xác định được khối lượng từ thiết kế ( T x "&amp;HSXL!C$13&amp;" )"</f>
        <v>Chi phí một số công việc không xác định được khối lượng từ thiết kế ( T x 2% )</v>
      </c>
      <c r="D782" s="147" t="s">
        <v>61</v>
      </c>
      <c r="E782" s="242" t="str">
        <f>HSXL!C$13</f>
        <v>2%</v>
      </c>
      <c r="F782" s="150"/>
      <c r="G782" s="149"/>
      <c r="H782" s="150">
        <f>ROUND(H778*HSXL!D$13,1)</f>
        <v>36382.300000000003</v>
      </c>
    </row>
    <row r="783" spans="1:8" ht="27.75" customHeight="1">
      <c r="A783" s="238"/>
      <c r="B783" s="159"/>
      <c r="C783" s="158" t="s">
        <v>1086</v>
      </c>
      <c r="D783" s="159" t="s">
        <v>818</v>
      </c>
      <c r="E783" s="239"/>
      <c r="F783" s="162"/>
      <c r="G783" s="240"/>
      <c r="H783" s="162">
        <f>ROUND(SUM(H780:H782),1)</f>
        <v>189187.8</v>
      </c>
    </row>
    <row r="784" spans="1:8" ht="27.75" customHeight="1">
      <c r="A784" s="241"/>
      <c r="B784" s="147"/>
      <c r="C784" s="146" t="str">
        <f>"THU NHẬP CHỊU THUẾ TÍNH TRƯỚC (T+GT) x "&amp;HSXL!C$16</f>
        <v>THU NHẬP CHỊU THUẾ TÍNH TRƯỚC (T+GT) x 6%</v>
      </c>
      <c r="D784" s="147" t="s">
        <v>821</v>
      </c>
      <c r="E784" s="242" t="str">
        <f>HSXL!C$16</f>
        <v>6%</v>
      </c>
      <c r="F784" s="150"/>
      <c r="G784" s="149"/>
      <c r="H784" s="150">
        <f>ROUND((H778+H783)*HSXL!D$16,1)</f>
        <v>120498</v>
      </c>
    </row>
    <row r="785" spans="1:8" ht="27.75" customHeight="1">
      <c r="A785" s="241"/>
      <c r="B785" s="147"/>
      <c r="C785" s="146" t="s">
        <v>1087</v>
      </c>
      <c r="D785" s="147" t="s">
        <v>823</v>
      </c>
      <c r="E785" s="242"/>
      <c r="F785" s="150"/>
      <c r="G785" s="149"/>
      <c r="H785" s="150">
        <f>ROUND(H778+H783+H784,0)</f>
        <v>2128798</v>
      </c>
    </row>
    <row r="786" spans="1:8" ht="27.75" customHeight="1">
      <c r="A786" s="241"/>
      <c r="B786" s="147"/>
      <c r="C786" s="146" t="str">
        <f>"THUẾ GIÁ TRỊ GIA TĂNG ( G x "&amp;HSXL!C$17&amp;" )"</f>
        <v>THUẾ GIÁ TRỊ GIA TĂNG ( G x 10% )</v>
      </c>
      <c r="D786" s="147" t="s">
        <v>827</v>
      </c>
      <c r="E786" s="164">
        <f>HSXL!D$17</f>
        <v>0.1</v>
      </c>
      <c r="F786" s="150"/>
      <c r="G786" s="149"/>
      <c r="H786" s="150">
        <f>ROUND(E786*H785,1)</f>
        <v>212879.8</v>
      </c>
    </row>
    <row r="787" spans="1:8" ht="27.75" customHeight="1">
      <c r="A787" s="243"/>
      <c r="B787" s="244"/>
      <c r="C787" s="245" t="s">
        <v>1088</v>
      </c>
      <c r="D787" s="244" t="s">
        <v>830</v>
      </c>
      <c r="E787" s="246"/>
      <c r="F787" s="247"/>
      <c r="G787" s="248"/>
      <c r="H787" s="249">
        <f>ROUND(H785+H786,0)</f>
        <v>2341678</v>
      </c>
    </row>
    <row r="788" spans="1:8" ht="27.75" customHeight="1">
      <c r="A788" s="128">
        <f>'Công trình'!A101</f>
        <v>25</v>
      </c>
      <c r="B788" s="129" t="str">
        <f>'Công trình'!E101</f>
        <v>TT</v>
      </c>
      <c r="C788" s="130" t="str">
        <f>'Công trình'!F101</f>
        <v>Ghi chắn rác Composite, tải trọng 250KN, KT 880x380</v>
      </c>
      <c r="D788" s="129" t="str">
        <f>'Công trình'!G101</f>
        <v>Cái</v>
      </c>
      <c r="E788" s="237">
        <v>1</v>
      </c>
      <c r="F788" s="69"/>
      <c r="G788" s="68"/>
      <c r="H788" s="69"/>
    </row>
    <row r="789" spans="1:8" ht="16.5" customHeight="1">
      <c r="A789" s="131"/>
      <c r="B789" s="91"/>
      <c r="C789" s="90" t="s">
        <v>683</v>
      </c>
      <c r="D789" s="91"/>
      <c r="E789" s="93"/>
      <c r="F789" s="132"/>
      <c r="G789" s="94"/>
      <c r="H789" s="132">
        <f>ROUND(H790,1)</f>
        <v>1850000</v>
      </c>
    </row>
    <row r="790" spans="1:8" ht="16.5" customHeight="1">
      <c r="A790" s="127"/>
      <c r="B790" s="13" t="str">
        <f>""</f>
        <v/>
      </c>
      <c r="C790" s="14" t="s">
        <v>27</v>
      </c>
      <c r="D790" s="13" t="str">
        <f>""</f>
        <v/>
      </c>
      <c r="E790" s="80">
        <v>1</v>
      </c>
      <c r="F790" s="15">
        <f>ROUND('Tổng hợp VT'!O7,1)</f>
        <v>1850000</v>
      </c>
      <c r="G790" s="81"/>
      <c r="H790" s="15">
        <f>ROUND(E790*F790,1)</f>
        <v>1850000</v>
      </c>
    </row>
    <row r="791" spans="1:8" ht="27.75" customHeight="1">
      <c r="A791" s="238"/>
      <c r="B791" s="159"/>
      <c r="C791" s="158" t="s">
        <v>1085</v>
      </c>
      <c r="D791" s="159" t="s">
        <v>810</v>
      </c>
      <c r="E791" s="239"/>
      <c r="F791" s="162"/>
      <c r="G791" s="240"/>
      <c r="H791" s="162">
        <f>ROUND(H789,1)</f>
        <v>1850000</v>
      </c>
    </row>
    <row r="792" spans="1:8" ht="16.5" customHeight="1">
      <c r="A792" s="241"/>
      <c r="B792" s="147"/>
      <c r="C792" s="146" t="s">
        <v>812</v>
      </c>
      <c r="D792" s="147" t="str">
        <f>""</f>
        <v/>
      </c>
      <c r="E792" s="242"/>
      <c r="F792" s="150"/>
      <c r="G792" s="149"/>
      <c r="H792" s="150"/>
    </row>
    <row r="793" spans="1:8" ht="16.5" customHeight="1">
      <c r="A793" s="241"/>
      <c r="B793" s="147"/>
      <c r="C793" s="146" t="str">
        <f>"Chi phí chung ( T x "&amp;HSXL!C$14&amp;" )"</f>
        <v>Chi phí chung ( T x 6,2% )</v>
      </c>
      <c r="D793" s="147" t="s">
        <v>807</v>
      </c>
      <c r="E793" s="242" t="str">
        <f>HSXL!C$14</f>
        <v>6,2%</v>
      </c>
      <c r="F793" s="150"/>
      <c r="G793" s="149"/>
      <c r="H793" s="150">
        <f>ROUND(H791*HSXL!D$14,1)</f>
        <v>114700</v>
      </c>
    </row>
    <row r="794" spans="1:8" ht="27.75" customHeight="1">
      <c r="A794" s="241"/>
      <c r="B794" s="147"/>
      <c r="C794" s="146" t="str">
        <f>"Chi phí nhà tạm để ở và điều hành thi công ( T x "&amp;HSXL!C$18&amp;" )"</f>
        <v>Chi phí nhà tạm để ở và điều hành thi công ( T x 2,2% )</v>
      </c>
      <c r="D794" s="147" t="s">
        <v>815</v>
      </c>
      <c r="E794" s="242" t="str">
        <f>HSXL!C$18</f>
        <v>2,2%</v>
      </c>
      <c r="F794" s="150"/>
      <c r="G794" s="149"/>
      <c r="H794" s="150">
        <f>ROUND(H791*HSXL!D$18,1)</f>
        <v>40700</v>
      </c>
    </row>
    <row r="795" spans="1:8" ht="39.75" customHeight="1">
      <c r="A795" s="241"/>
      <c r="B795" s="147"/>
      <c r="C795" s="146" t="str">
        <f>"Chi phí một số công việc không xác định được khối lượng từ thiết kế ( T x "&amp;HSXL!C$13&amp;" )"</f>
        <v>Chi phí một số công việc không xác định được khối lượng từ thiết kế ( T x 2% )</v>
      </c>
      <c r="D795" s="147" t="s">
        <v>61</v>
      </c>
      <c r="E795" s="242" t="str">
        <f>HSXL!C$13</f>
        <v>2%</v>
      </c>
      <c r="F795" s="150"/>
      <c r="G795" s="149"/>
      <c r="H795" s="150">
        <f>ROUND(H791*HSXL!D$13,1)</f>
        <v>37000</v>
      </c>
    </row>
    <row r="796" spans="1:8" ht="27.75" customHeight="1">
      <c r="A796" s="238"/>
      <c r="B796" s="159"/>
      <c r="C796" s="158" t="s">
        <v>1086</v>
      </c>
      <c r="D796" s="159" t="s">
        <v>818</v>
      </c>
      <c r="E796" s="239"/>
      <c r="F796" s="162"/>
      <c r="G796" s="240"/>
      <c r="H796" s="162">
        <f>ROUND(SUM(H793:H795),1)</f>
        <v>192400</v>
      </c>
    </row>
    <row r="797" spans="1:8" ht="27.75" customHeight="1">
      <c r="A797" s="241"/>
      <c r="B797" s="147"/>
      <c r="C797" s="146" t="str">
        <f>"THU NHẬP CHỊU THUẾ TÍNH TRƯỚC (T+GT) x "&amp;HSXL!C$16</f>
        <v>THU NHẬP CHỊU THUẾ TÍNH TRƯỚC (T+GT) x 6%</v>
      </c>
      <c r="D797" s="147" t="s">
        <v>821</v>
      </c>
      <c r="E797" s="242" t="str">
        <f>HSXL!C$16</f>
        <v>6%</v>
      </c>
      <c r="F797" s="150"/>
      <c r="G797" s="149"/>
      <c r="H797" s="150">
        <f>ROUND((H791+H796)*HSXL!D$16,1)</f>
        <v>122544</v>
      </c>
    </row>
    <row r="798" spans="1:8" ht="27.75" customHeight="1">
      <c r="A798" s="241"/>
      <c r="B798" s="147"/>
      <c r="C798" s="146" t="s">
        <v>1087</v>
      </c>
      <c r="D798" s="147" t="s">
        <v>823</v>
      </c>
      <c r="E798" s="242"/>
      <c r="F798" s="150"/>
      <c r="G798" s="149"/>
      <c r="H798" s="150">
        <f>ROUND(H791+H796+H797,0)</f>
        <v>2164944</v>
      </c>
    </row>
    <row r="799" spans="1:8" ht="27.75" customHeight="1">
      <c r="A799" s="241"/>
      <c r="B799" s="147"/>
      <c r="C799" s="146" t="str">
        <f>"THUẾ GIÁ TRỊ GIA TĂNG ( G x "&amp;HSXL!C$17&amp;" )"</f>
        <v>THUẾ GIÁ TRỊ GIA TĂNG ( G x 10% )</v>
      </c>
      <c r="D799" s="147" t="s">
        <v>827</v>
      </c>
      <c r="E799" s="164">
        <f>HSXL!D$17</f>
        <v>0.1</v>
      </c>
      <c r="F799" s="150"/>
      <c r="G799" s="149"/>
      <c r="H799" s="150">
        <f>ROUND(E799*H798,1)</f>
        <v>216494.4</v>
      </c>
    </row>
    <row r="800" spans="1:8" ht="27.75" customHeight="1">
      <c r="A800" s="243"/>
      <c r="B800" s="244"/>
      <c r="C800" s="245" t="s">
        <v>1088</v>
      </c>
      <c r="D800" s="244" t="s">
        <v>830</v>
      </c>
      <c r="E800" s="246"/>
      <c r="F800" s="247"/>
      <c r="G800" s="248"/>
      <c r="H800" s="249">
        <f>ROUND(H798+H799,0)</f>
        <v>2381438</v>
      </c>
    </row>
    <row r="801" spans="1:8" ht="27.75" customHeight="1">
      <c r="A801" s="128">
        <f>'Công trình'!A104</f>
        <v>26</v>
      </c>
      <c r="B801" s="129" t="str">
        <f>'Công trình'!E104</f>
        <v>AB.25102</v>
      </c>
      <c r="C801" s="130" t="str">
        <f>'Công trình'!F104</f>
        <v>Đào móng cống</v>
      </c>
      <c r="D801" s="129" t="str">
        <f>'Công trình'!G104</f>
        <v>100m3</v>
      </c>
      <c r="E801" s="237">
        <v>1</v>
      </c>
      <c r="F801" s="69"/>
      <c r="G801" s="68"/>
      <c r="H801" s="69"/>
    </row>
    <row r="802" spans="1:8" ht="16.5" customHeight="1">
      <c r="A802" s="131"/>
      <c r="B802" s="91"/>
      <c r="C802" s="90" t="s">
        <v>678</v>
      </c>
      <c r="D802" s="91"/>
      <c r="E802" s="93"/>
      <c r="F802" s="132"/>
      <c r="G802" s="94"/>
      <c r="H802" s="132">
        <f>ROUND(H803,1)</f>
        <v>863081.7</v>
      </c>
    </row>
    <row r="803" spans="1:8" ht="16.5" customHeight="1">
      <c r="A803" s="127"/>
      <c r="B803" s="13" t="str">
        <f>'Giá tháng'!B$48</f>
        <v>N1.30</v>
      </c>
      <c r="C803" s="14" t="str">
        <f>'Giá tháng'!C$48</f>
        <v>Nhân công 3,0/7 - Nhóm 1</v>
      </c>
      <c r="D803" s="13" t="str">
        <f>'Giá tháng'!D$48</f>
        <v>công</v>
      </c>
      <c r="E803" s="80">
        <f>HaoPhiVatTu!G$341</f>
        <v>3.9</v>
      </c>
      <c r="F803" s="15">
        <f>ROUND('Tổng hợp VT'!O$56,1)</f>
        <v>221303</v>
      </c>
      <c r="G803" s="81">
        <f>'Giá tháng'!G$48</f>
        <v>1</v>
      </c>
      <c r="H803" s="15">
        <f>ROUND(E803*F803*G803,1)</f>
        <v>863081.7</v>
      </c>
    </row>
    <row r="804" spans="1:8" ht="16.5" customHeight="1">
      <c r="A804" s="131"/>
      <c r="B804" s="91"/>
      <c r="C804" s="90" t="s">
        <v>679</v>
      </c>
      <c r="D804" s="91"/>
      <c r="E804" s="93"/>
      <c r="F804" s="132"/>
      <c r="G804" s="94"/>
      <c r="H804" s="132">
        <f>ROUND(H805,1)</f>
        <v>1313771</v>
      </c>
    </row>
    <row r="805" spans="1:8" ht="27.75" customHeight="1">
      <c r="A805" s="127"/>
      <c r="B805" s="13" t="str">
        <f>'Giá tháng'!B$58</f>
        <v>M101.0101</v>
      </c>
      <c r="C805" s="14" t="str">
        <f>'Giá tháng'!C$58</f>
        <v>Máy đào một gầu, bánh xích - dung tích gầu : 0,40 m3</v>
      </c>
      <c r="D805" s="13" t="str">
        <f>'Giá tháng'!D$58</f>
        <v>ca</v>
      </c>
      <c r="E805" s="80">
        <f>HaoPhiVatTu!H$343</f>
        <v>0.63100000000000001</v>
      </c>
      <c r="F805" s="15">
        <f>ROUND('Tổng hợp VT'!O$67,1)</f>
        <v>2082046</v>
      </c>
      <c r="G805" s="81">
        <f>'Giá tháng'!G$58</f>
        <v>1</v>
      </c>
      <c r="H805" s="15">
        <f>ROUND(E805*F805*G805,1)</f>
        <v>1313771</v>
      </c>
    </row>
    <row r="806" spans="1:8" ht="27.75" customHeight="1">
      <c r="A806" s="238"/>
      <c r="B806" s="159"/>
      <c r="C806" s="158" t="s">
        <v>1085</v>
      </c>
      <c r="D806" s="159" t="s">
        <v>810</v>
      </c>
      <c r="E806" s="239"/>
      <c r="F806" s="162"/>
      <c r="G806" s="240"/>
      <c r="H806" s="162">
        <f>ROUND(+H802+H804,1)</f>
        <v>2176852.7000000002</v>
      </c>
    </row>
    <row r="807" spans="1:8" ht="16.5" customHeight="1">
      <c r="A807" s="241"/>
      <c r="B807" s="147"/>
      <c r="C807" s="146" t="s">
        <v>812</v>
      </c>
      <c r="D807" s="147" t="str">
        <f>""</f>
        <v/>
      </c>
      <c r="E807" s="242"/>
      <c r="F807" s="150"/>
      <c r="G807" s="149"/>
      <c r="H807" s="150"/>
    </row>
    <row r="808" spans="1:8" ht="16.5" customHeight="1">
      <c r="A808" s="241"/>
      <c r="B808" s="147"/>
      <c r="C808" s="146" t="str">
        <f>"Chi phí chung ( T x "&amp;HSXL!C$14&amp;" )"</f>
        <v>Chi phí chung ( T x 6,2% )</v>
      </c>
      <c r="D808" s="147" t="s">
        <v>807</v>
      </c>
      <c r="E808" s="242" t="str">
        <f>HSXL!C$14</f>
        <v>6,2%</v>
      </c>
      <c r="F808" s="150"/>
      <c r="G808" s="149"/>
      <c r="H808" s="150">
        <f>ROUND(H806*HSXL!D$14,1)</f>
        <v>134964.9</v>
      </c>
    </row>
    <row r="809" spans="1:8" ht="27.75" customHeight="1">
      <c r="A809" s="241"/>
      <c r="B809" s="147"/>
      <c r="C809" s="146" t="str">
        <f>"Chi phí nhà tạm để ở và điều hành thi công ( T x "&amp;HSXL!C$18&amp;" )"</f>
        <v>Chi phí nhà tạm để ở và điều hành thi công ( T x 2,2% )</v>
      </c>
      <c r="D809" s="147" t="s">
        <v>815</v>
      </c>
      <c r="E809" s="242" t="str">
        <f>HSXL!C$18</f>
        <v>2,2%</v>
      </c>
      <c r="F809" s="150"/>
      <c r="G809" s="149"/>
      <c r="H809" s="150">
        <f>ROUND(H806*HSXL!D$18,1)</f>
        <v>47890.8</v>
      </c>
    </row>
    <row r="810" spans="1:8" ht="39.75" customHeight="1">
      <c r="A810" s="241"/>
      <c r="B810" s="147"/>
      <c r="C810" s="146" t="str">
        <f>"Chi phí một số công việc không xác định được khối lượng từ thiết kế ( T x "&amp;HSXL!C$13&amp;" )"</f>
        <v>Chi phí một số công việc không xác định được khối lượng từ thiết kế ( T x 2% )</v>
      </c>
      <c r="D810" s="147" t="s">
        <v>61</v>
      </c>
      <c r="E810" s="242" t="str">
        <f>HSXL!C$13</f>
        <v>2%</v>
      </c>
      <c r="F810" s="150"/>
      <c r="G810" s="149"/>
      <c r="H810" s="150">
        <f>ROUND(H806*HSXL!D$13,1)</f>
        <v>43537.1</v>
      </c>
    </row>
    <row r="811" spans="1:8" ht="27.75" customHeight="1">
      <c r="A811" s="238"/>
      <c r="B811" s="159"/>
      <c r="C811" s="158" t="s">
        <v>1086</v>
      </c>
      <c r="D811" s="159" t="s">
        <v>818</v>
      </c>
      <c r="E811" s="239"/>
      <c r="F811" s="162"/>
      <c r="G811" s="240"/>
      <c r="H811" s="162">
        <f>ROUND(SUM(H808:H810),1)</f>
        <v>226392.8</v>
      </c>
    </row>
    <row r="812" spans="1:8" ht="27.75" customHeight="1">
      <c r="A812" s="241"/>
      <c r="B812" s="147"/>
      <c r="C812" s="146" t="str">
        <f>"THU NHẬP CHỊU THUẾ TÍNH TRƯỚC (T+GT) x "&amp;HSXL!C$16</f>
        <v>THU NHẬP CHỊU THUẾ TÍNH TRƯỚC (T+GT) x 6%</v>
      </c>
      <c r="D812" s="147" t="s">
        <v>821</v>
      </c>
      <c r="E812" s="242" t="str">
        <f>HSXL!C$16</f>
        <v>6%</v>
      </c>
      <c r="F812" s="150"/>
      <c r="G812" s="149"/>
      <c r="H812" s="150">
        <f>ROUND((H806+H811)*HSXL!D$16,1)</f>
        <v>144194.70000000001</v>
      </c>
    </row>
    <row r="813" spans="1:8" ht="27.75" customHeight="1">
      <c r="A813" s="241"/>
      <c r="B813" s="147"/>
      <c r="C813" s="146" t="s">
        <v>1087</v>
      </c>
      <c r="D813" s="147" t="s">
        <v>823</v>
      </c>
      <c r="E813" s="242"/>
      <c r="F813" s="150"/>
      <c r="G813" s="149"/>
      <c r="H813" s="150">
        <f>ROUND(H806+H811+H812,0)</f>
        <v>2547440</v>
      </c>
    </row>
    <row r="814" spans="1:8" ht="27.75" customHeight="1">
      <c r="A814" s="241"/>
      <c r="B814" s="147"/>
      <c r="C814" s="146" t="str">
        <f>"THUẾ GIÁ TRỊ GIA TĂNG ( G x "&amp;HSXL!C$17&amp;" )"</f>
        <v>THUẾ GIÁ TRỊ GIA TĂNG ( G x 10% )</v>
      </c>
      <c r="D814" s="147" t="s">
        <v>827</v>
      </c>
      <c r="E814" s="164">
        <f>HSXL!D$17</f>
        <v>0.1</v>
      </c>
      <c r="F814" s="150"/>
      <c r="G814" s="149"/>
      <c r="H814" s="150">
        <f>ROUND(E814*H813,1)</f>
        <v>254744</v>
      </c>
    </row>
    <row r="815" spans="1:8" ht="27.75" customHeight="1">
      <c r="A815" s="243"/>
      <c r="B815" s="244"/>
      <c r="C815" s="245" t="s">
        <v>1088</v>
      </c>
      <c r="D815" s="244" t="s">
        <v>830</v>
      </c>
      <c r="E815" s="246"/>
      <c r="F815" s="247"/>
      <c r="G815" s="248"/>
      <c r="H815" s="249">
        <f>ROUND(H813+H814,0)</f>
        <v>2802184</v>
      </c>
    </row>
    <row r="816" spans="1:8" ht="16.5" customHeight="1">
      <c r="A816" s="128">
        <f>'Công trình'!A106</f>
        <v>44</v>
      </c>
      <c r="B816" s="129" t="str">
        <f>'Công trình'!E106</f>
        <v>AB.11312</v>
      </c>
      <c r="C816" s="130" t="str">
        <f>'Công trình'!F106</f>
        <v>Đào móng bằng thủ công 10%</v>
      </c>
      <c r="D816" s="129" t="str">
        <f>'Công trình'!G106</f>
        <v>m3</v>
      </c>
      <c r="E816" s="237">
        <v>1</v>
      </c>
      <c r="F816" s="69"/>
      <c r="G816" s="68"/>
      <c r="H816" s="69"/>
    </row>
    <row r="817" spans="1:8" ht="16.5" customHeight="1">
      <c r="A817" s="131"/>
      <c r="B817" s="91"/>
      <c r="C817" s="90" t="s">
        <v>678</v>
      </c>
      <c r="D817" s="91"/>
      <c r="E817" s="93"/>
      <c r="F817" s="132"/>
      <c r="G817" s="94"/>
      <c r="H817" s="132">
        <f>ROUND(H818,1)</f>
        <v>181468.5</v>
      </c>
    </row>
    <row r="818" spans="1:8" ht="16.5" customHeight="1">
      <c r="A818" s="127"/>
      <c r="B818" s="13" t="str">
        <f>'Giá tháng'!B$48</f>
        <v>N1.30</v>
      </c>
      <c r="C818" s="14" t="str">
        <f>'Giá tháng'!C$48</f>
        <v>Nhân công 3,0/7 - Nhóm 1</v>
      </c>
      <c r="D818" s="13" t="str">
        <f>'Giá tháng'!D$48</f>
        <v>công</v>
      </c>
      <c r="E818" s="80">
        <f>HaoPhiVatTu!G$346</f>
        <v>0.82</v>
      </c>
      <c r="F818" s="15">
        <f>ROUND('Tổng hợp VT'!O$56,1)</f>
        <v>221303</v>
      </c>
      <c r="G818" s="81">
        <f>'Giá tháng'!G$48</f>
        <v>1</v>
      </c>
      <c r="H818" s="15">
        <f>ROUND(E818*F818*G818,1)</f>
        <v>181468.5</v>
      </c>
    </row>
    <row r="819" spans="1:8" ht="27.75" customHeight="1">
      <c r="A819" s="238"/>
      <c r="B819" s="159"/>
      <c r="C819" s="158" t="s">
        <v>1085</v>
      </c>
      <c r="D819" s="159" t="s">
        <v>810</v>
      </c>
      <c r="E819" s="239"/>
      <c r="F819" s="162"/>
      <c r="G819" s="240"/>
      <c r="H819" s="162">
        <f>ROUND(+H817,1)</f>
        <v>181468.5</v>
      </c>
    </row>
    <row r="820" spans="1:8" ht="16.5" customHeight="1">
      <c r="A820" s="241"/>
      <c r="B820" s="147"/>
      <c r="C820" s="146" t="s">
        <v>812</v>
      </c>
      <c r="D820" s="147" t="str">
        <f>""</f>
        <v/>
      </c>
      <c r="E820" s="242"/>
      <c r="F820" s="150"/>
      <c r="G820" s="149"/>
      <c r="H820" s="150"/>
    </row>
    <row r="821" spans="1:8" ht="16.5" customHeight="1">
      <c r="A821" s="241"/>
      <c r="B821" s="147"/>
      <c r="C821" s="146" t="str">
        <f>"Chi phí chung ( T x "&amp;HSXL!C$14&amp;" )"</f>
        <v>Chi phí chung ( T x 6,2% )</v>
      </c>
      <c r="D821" s="147" t="s">
        <v>807</v>
      </c>
      <c r="E821" s="242" t="str">
        <f>HSXL!C$14</f>
        <v>6,2%</v>
      </c>
      <c r="F821" s="150"/>
      <c r="G821" s="149"/>
      <c r="H821" s="150">
        <f>ROUND(H819*HSXL!D$14,1)</f>
        <v>11251</v>
      </c>
    </row>
    <row r="822" spans="1:8" ht="27.75" customHeight="1">
      <c r="A822" s="241"/>
      <c r="B822" s="147"/>
      <c r="C822" s="146" t="str">
        <f>"Chi phí nhà tạm để ở và điều hành thi công ( T x "&amp;HSXL!C$18&amp;" )"</f>
        <v>Chi phí nhà tạm để ở và điều hành thi công ( T x 2,2% )</v>
      </c>
      <c r="D822" s="147" t="s">
        <v>815</v>
      </c>
      <c r="E822" s="242" t="str">
        <f>HSXL!C$18</f>
        <v>2,2%</v>
      </c>
      <c r="F822" s="150"/>
      <c r="G822" s="149"/>
      <c r="H822" s="150">
        <f>ROUND(H819*HSXL!D$18,1)</f>
        <v>3992.3</v>
      </c>
    </row>
    <row r="823" spans="1:8" ht="39.75" customHeight="1">
      <c r="A823" s="241"/>
      <c r="B823" s="147"/>
      <c r="C823" s="146" t="str">
        <f>"Chi phí một số công việc không xác định được khối lượng từ thiết kế ( T x "&amp;HSXL!C$13&amp;" )"</f>
        <v>Chi phí một số công việc không xác định được khối lượng từ thiết kế ( T x 2% )</v>
      </c>
      <c r="D823" s="147" t="s">
        <v>61</v>
      </c>
      <c r="E823" s="242" t="str">
        <f>HSXL!C$13</f>
        <v>2%</v>
      </c>
      <c r="F823" s="150"/>
      <c r="G823" s="149"/>
      <c r="H823" s="150">
        <f>ROUND(H819*HSXL!D$13,1)</f>
        <v>3629.4</v>
      </c>
    </row>
    <row r="824" spans="1:8" ht="27.75" customHeight="1">
      <c r="A824" s="238"/>
      <c r="B824" s="159"/>
      <c r="C824" s="158" t="s">
        <v>1086</v>
      </c>
      <c r="D824" s="159" t="s">
        <v>818</v>
      </c>
      <c r="E824" s="239"/>
      <c r="F824" s="162"/>
      <c r="G824" s="240"/>
      <c r="H824" s="162">
        <f>ROUND(SUM(H821:H823),1)</f>
        <v>18872.7</v>
      </c>
    </row>
    <row r="825" spans="1:8" ht="27.75" customHeight="1">
      <c r="A825" s="241"/>
      <c r="B825" s="147"/>
      <c r="C825" s="146" t="str">
        <f>"THU NHẬP CHỊU THUẾ TÍNH TRƯỚC (T+GT) x "&amp;HSXL!C$16</f>
        <v>THU NHẬP CHỊU THUẾ TÍNH TRƯỚC (T+GT) x 6%</v>
      </c>
      <c r="D825" s="147" t="s">
        <v>821</v>
      </c>
      <c r="E825" s="242" t="str">
        <f>HSXL!C$16</f>
        <v>6%</v>
      </c>
      <c r="F825" s="150"/>
      <c r="G825" s="149"/>
      <c r="H825" s="150">
        <f>ROUND((H819+H824)*HSXL!D$16,1)</f>
        <v>12020.5</v>
      </c>
    </row>
    <row r="826" spans="1:8" ht="27.75" customHeight="1">
      <c r="A826" s="241"/>
      <c r="B826" s="147"/>
      <c r="C826" s="146" t="s">
        <v>1087</v>
      </c>
      <c r="D826" s="147" t="s">
        <v>823</v>
      </c>
      <c r="E826" s="242"/>
      <c r="F826" s="150"/>
      <c r="G826" s="149"/>
      <c r="H826" s="150">
        <f>ROUND(H819+H824+H825,0)</f>
        <v>212362</v>
      </c>
    </row>
    <row r="827" spans="1:8" ht="27.75" customHeight="1">
      <c r="A827" s="241"/>
      <c r="B827" s="147"/>
      <c r="C827" s="146" t="str">
        <f>"THUẾ GIÁ TRỊ GIA TĂNG ( G x "&amp;HSXL!C$17&amp;" )"</f>
        <v>THUẾ GIÁ TRỊ GIA TĂNG ( G x 10% )</v>
      </c>
      <c r="D827" s="147" t="s">
        <v>827</v>
      </c>
      <c r="E827" s="164">
        <f>HSXL!D$17</f>
        <v>0.1</v>
      </c>
      <c r="F827" s="150"/>
      <c r="G827" s="149"/>
      <c r="H827" s="150">
        <f>ROUND(E827*H826,1)</f>
        <v>21236.2</v>
      </c>
    </row>
    <row r="828" spans="1:8" ht="27.75" customHeight="1">
      <c r="A828" s="243"/>
      <c r="B828" s="244"/>
      <c r="C828" s="245" t="s">
        <v>1088</v>
      </c>
      <c r="D828" s="244" t="s">
        <v>830</v>
      </c>
      <c r="E828" s="246"/>
      <c r="F828" s="247"/>
      <c r="G828" s="248"/>
      <c r="H828" s="249">
        <f>ROUND(H826+H827,0)</f>
        <v>233598</v>
      </c>
    </row>
    <row r="829" spans="1:8" ht="16.5" customHeight="1">
      <c r="A829" s="128">
        <f>'Công trình'!A108</f>
        <v>27</v>
      </c>
      <c r="B829" s="129" t="str">
        <f>'Công trình'!E108</f>
        <v>AB.64112</v>
      </c>
      <c r="C829" s="130" t="str">
        <f>'Công trình'!F108</f>
        <v>Đắp đất thân cống K95</v>
      </c>
      <c r="D829" s="129" t="str">
        <f>'Công trình'!G108</f>
        <v>100m3</v>
      </c>
      <c r="E829" s="237">
        <v>1</v>
      </c>
      <c r="F829" s="69"/>
      <c r="G829" s="68"/>
      <c r="H829" s="69"/>
    </row>
    <row r="830" spans="1:8" ht="16.5" customHeight="1">
      <c r="A830" s="131"/>
      <c r="B830" s="91"/>
      <c r="C830" s="90" t="s">
        <v>678</v>
      </c>
      <c r="D830" s="91"/>
      <c r="E830" s="93"/>
      <c r="F830" s="132"/>
      <c r="G830" s="94"/>
      <c r="H830" s="132">
        <f>ROUND(H831,1)</f>
        <v>287693.90000000002</v>
      </c>
    </row>
    <row r="831" spans="1:8" ht="16.5" customHeight="1">
      <c r="A831" s="127"/>
      <c r="B831" s="13" t="str">
        <f>'Giá tháng'!B$48</f>
        <v>N1.30</v>
      </c>
      <c r="C831" s="14" t="str">
        <f>'Giá tháng'!C$48</f>
        <v>Nhân công 3,0/7 - Nhóm 1</v>
      </c>
      <c r="D831" s="13" t="str">
        <f>'Giá tháng'!D$48</f>
        <v>công</v>
      </c>
      <c r="E831" s="80">
        <f>HaoPhiVatTu!G$349</f>
        <v>1.3</v>
      </c>
      <c r="F831" s="15">
        <f>ROUND('Tổng hợp VT'!O$56,1)</f>
        <v>221303</v>
      </c>
      <c r="G831" s="81">
        <f>'Giá tháng'!G$48</f>
        <v>1</v>
      </c>
      <c r="H831" s="15">
        <f>ROUND(E831*F831*G831,1)</f>
        <v>287693.90000000002</v>
      </c>
    </row>
    <row r="832" spans="1:8" ht="16.5" customHeight="1">
      <c r="A832" s="131"/>
      <c r="B832" s="91"/>
      <c r="C832" s="90" t="s">
        <v>679</v>
      </c>
      <c r="D832" s="91"/>
      <c r="E832" s="93"/>
      <c r="F832" s="132"/>
      <c r="G832" s="94"/>
      <c r="H832" s="132">
        <f>ROUND(H836,1)</f>
        <v>674685.4</v>
      </c>
    </row>
    <row r="833" spans="1:8" ht="27.75" customHeight="1">
      <c r="A833" s="127"/>
      <c r="B833" s="13" t="str">
        <f>'Giá tháng'!B$69</f>
        <v>M101.1102</v>
      </c>
      <c r="C833" s="14" t="str">
        <f>'Giá tháng'!C$69</f>
        <v>Máy lu bánh thép tự hành - trọng lượng tĩnh : 8,5 T - 9 T</v>
      </c>
      <c r="D833" s="13" t="str">
        <f>'Giá tháng'!D$69</f>
        <v>ca</v>
      </c>
      <c r="E833" s="80">
        <f>HaoPhiVatTu!H$351</f>
        <v>0.3</v>
      </c>
      <c r="F833" s="15">
        <f>ROUND('Tổng hợp VT'!O$78,1)</f>
        <v>1160162</v>
      </c>
      <c r="G833" s="81">
        <f>'Giá tháng'!G$69</f>
        <v>1</v>
      </c>
      <c r="H833" s="15">
        <f>ROUND(E833*F833*G833,1)</f>
        <v>348048.6</v>
      </c>
    </row>
    <row r="834" spans="1:8" ht="27.75" customHeight="1">
      <c r="A834" s="127"/>
      <c r="B834" s="13" t="str">
        <f>'Giá tháng'!B$76</f>
        <v>M101.0503</v>
      </c>
      <c r="C834" s="14" t="str">
        <f>'Giá tháng'!C$76</f>
        <v>Máy ủi - công suất : 110,0 CV</v>
      </c>
      <c r="D834" s="13" t="str">
        <f>'Giá tháng'!D$76</f>
        <v>ca</v>
      </c>
      <c r="E834" s="80">
        <f>HaoPhiVatTu!H$352</f>
        <v>0.15</v>
      </c>
      <c r="F834" s="15">
        <f>ROUND('Tổng hợp VT'!O$85,1)</f>
        <v>2111107</v>
      </c>
      <c r="G834" s="81">
        <f>'Giá tháng'!G$76</f>
        <v>1</v>
      </c>
      <c r="H834" s="15">
        <f>ROUND(E834*F834*G834,1)</f>
        <v>316666.09999999998</v>
      </c>
    </row>
    <row r="835" spans="1:8" ht="16.5" customHeight="1">
      <c r="A835" s="127"/>
      <c r="B835" s="13" t="s">
        <v>680</v>
      </c>
      <c r="C835" s="14" t="s">
        <v>681</v>
      </c>
      <c r="D835" s="13" t="s">
        <v>682</v>
      </c>
      <c r="E835" s="80">
        <f>HaoPhiVatTu!H$353</f>
        <v>1.5</v>
      </c>
      <c r="F835" s="15">
        <f>ROUND(SUM(H833:H834),1)</f>
        <v>664714.69999999995</v>
      </c>
      <c r="G835" s="81"/>
      <c r="H835" s="15">
        <f>ROUND(E835*F835/100,1)</f>
        <v>9970.7000000000007</v>
      </c>
    </row>
    <row r="836" spans="1:8" ht="16.5" customHeight="1">
      <c r="A836" s="127"/>
      <c r="B836" s="13"/>
      <c r="C836" s="14" t="s">
        <v>776</v>
      </c>
      <c r="D836" s="13"/>
      <c r="E836" s="19"/>
      <c r="F836" s="15"/>
      <c r="G836" s="18"/>
      <c r="H836" s="15">
        <f>ROUND(SUM(H833:H835),1)</f>
        <v>674685.4</v>
      </c>
    </row>
    <row r="837" spans="1:8" ht="27.75" customHeight="1">
      <c r="A837" s="238"/>
      <c r="B837" s="159"/>
      <c r="C837" s="158" t="s">
        <v>1085</v>
      </c>
      <c r="D837" s="159" t="s">
        <v>810</v>
      </c>
      <c r="E837" s="239"/>
      <c r="F837" s="162"/>
      <c r="G837" s="240"/>
      <c r="H837" s="162">
        <f>ROUND(+H830+H832,1)</f>
        <v>962379.3</v>
      </c>
    </row>
    <row r="838" spans="1:8" ht="16.5" customHeight="1">
      <c r="A838" s="241"/>
      <c r="B838" s="147"/>
      <c r="C838" s="146" t="s">
        <v>812</v>
      </c>
      <c r="D838" s="147" t="str">
        <f>""</f>
        <v/>
      </c>
      <c r="E838" s="242"/>
      <c r="F838" s="150"/>
      <c r="G838" s="149"/>
      <c r="H838" s="150"/>
    </row>
    <row r="839" spans="1:8" ht="16.5" customHeight="1">
      <c r="A839" s="241"/>
      <c r="B839" s="147"/>
      <c r="C839" s="146" t="str">
        <f>"Chi phí chung ( T x "&amp;HSXL!C$14&amp;" )"</f>
        <v>Chi phí chung ( T x 6,2% )</v>
      </c>
      <c r="D839" s="147" t="s">
        <v>807</v>
      </c>
      <c r="E839" s="242" t="str">
        <f>HSXL!C$14</f>
        <v>6,2%</v>
      </c>
      <c r="F839" s="150"/>
      <c r="G839" s="149"/>
      <c r="H839" s="150">
        <f>ROUND(H837*HSXL!D$14,1)</f>
        <v>59667.5</v>
      </c>
    </row>
    <row r="840" spans="1:8" ht="27.75" customHeight="1">
      <c r="A840" s="241"/>
      <c r="B840" s="147"/>
      <c r="C840" s="146" t="str">
        <f>"Chi phí nhà tạm để ở và điều hành thi công ( T x "&amp;HSXL!C$18&amp;" )"</f>
        <v>Chi phí nhà tạm để ở và điều hành thi công ( T x 2,2% )</v>
      </c>
      <c r="D840" s="147" t="s">
        <v>815</v>
      </c>
      <c r="E840" s="242" t="str">
        <f>HSXL!C$18</f>
        <v>2,2%</v>
      </c>
      <c r="F840" s="150"/>
      <c r="G840" s="149"/>
      <c r="H840" s="150">
        <f>ROUND(H837*HSXL!D$18,1)</f>
        <v>21172.3</v>
      </c>
    </row>
    <row r="841" spans="1:8" ht="39.75" customHeight="1">
      <c r="A841" s="241"/>
      <c r="B841" s="147"/>
      <c r="C841" s="146" t="str">
        <f>"Chi phí một số công việc không xác định được khối lượng từ thiết kế ( T x "&amp;HSXL!C$13&amp;" )"</f>
        <v>Chi phí một số công việc không xác định được khối lượng từ thiết kế ( T x 2% )</v>
      </c>
      <c r="D841" s="147" t="s">
        <v>61</v>
      </c>
      <c r="E841" s="242" t="str">
        <f>HSXL!C$13</f>
        <v>2%</v>
      </c>
      <c r="F841" s="150"/>
      <c r="G841" s="149"/>
      <c r="H841" s="150">
        <f>ROUND(H837*HSXL!D$13,1)</f>
        <v>19247.599999999999</v>
      </c>
    </row>
    <row r="842" spans="1:8" ht="27.75" customHeight="1">
      <c r="A842" s="238"/>
      <c r="B842" s="159"/>
      <c r="C842" s="158" t="s">
        <v>1086</v>
      </c>
      <c r="D842" s="159" t="s">
        <v>818</v>
      </c>
      <c r="E842" s="239"/>
      <c r="F842" s="162"/>
      <c r="G842" s="240"/>
      <c r="H842" s="162">
        <f>ROUND(SUM(H839:H841),1)</f>
        <v>100087.4</v>
      </c>
    </row>
    <row r="843" spans="1:8" ht="27.75" customHeight="1">
      <c r="A843" s="241"/>
      <c r="B843" s="147"/>
      <c r="C843" s="146" t="str">
        <f>"THU NHẬP CHỊU THUẾ TÍNH TRƯỚC (T+GT) x "&amp;HSXL!C$16</f>
        <v>THU NHẬP CHỊU THUẾ TÍNH TRƯỚC (T+GT) x 6%</v>
      </c>
      <c r="D843" s="147" t="s">
        <v>821</v>
      </c>
      <c r="E843" s="242" t="str">
        <f>HSXL!C$16</f>
        <v>6%</v>
      </c>
      <c r="F843" s="150"/>
      <c r="G843" s="149"/>
      <c r="H843" s="150">
        <f>ROUND((H837+H842)*HSXL!D$16,1)</f>
        <v>63748</v>
      </c>
    </row>
    <row r="844" spans="1:8" ht="27.75" customHeight="1">
      <c r="A844" s="241"/>
      <c r="B844" s="147"/>
      <c r="C844" s="146" t="s">
        <v>1087</v>
      </c>
      <c r="D844" s="147" t="s">
        <v>823</v>
      </c>
      <c r="E844" s="242"/>
      <c r="F844" s="150"/>
      <c r="G844" s="149"/>
      <c r="H844" s="150">
        <f>ROUND(H837+H842+H843,0)</f>
        <v>1126215</v>
      </c>
    </row>
    <row r="845" spans="1:8" ht="27.75" customHeight="1">
      <c r="A845" s="241"/>
      <c r="B845" s="147"/>
      <c r="C845" s="146" t="str">
        <f>"THUẾ GIÁ TRỊ GIA TĂNG ( G x "&amp;HSXL!C$17&amp;" )"</f>
        <v>THUẾ GIÁ TRỊ GIA TĂNG ( G x 10% )</v>
      </c>
      <c r="D845" s="147" t="s">
        <v>827</v>
      </c>
      <c r="E845" s="164">
        <f>HSXL!D$17</f>
        <v>0.1</v>
      </c>
      <c r="F845" s="150"/>
      <c r="G845" s="149"/>
      <c r="H845" s="150">
        <f>ROUND(E845*H844,1)</f>
        <v>112621.5</v>
      </c>
    </row>
    <row r="846" spans="1:8" ht="27.75" customHeight="1">
      <c r="A846" s="243"/>
      <c r="B846" s="244"/>
      <c r="C846" s="245" t="s">
        <v>1088</v>
      </c>
      <c r="D846" s="244" t="s">
        <v>830</v>
      </c>
      <c r="E846" s="246"/>
      <c r="F846" s="247"/>
      <c r="G846" s="248"/>
      <c r="H846" s="249">
        <f>ROUND(H844+H845,0)</f>
        <v>1238837</v>
      </c>
    </row>
    <row r="847" spans="1:8" ht="40.5" customHeight="1">
      <c r="A847" s="128">
        <f>'Công trình'!A110</f>
        <v>28</v>
      </c>
      <c r="B847" s="129" t="str">
        <f>'Công trình'!E110</f>
        <v>AB.41412</v>
      </c>
      <c r="C847" s="130" t="str">
        <f>'Công trình'!F110</f>
        <v>Vận chuyển đất bằng ôtô tự đổ 5 tấn trong phạm vi &lt;= 1000m, đất cấp II</v>
      </c>
      <c r="D847" s="129" t="str">
        <f>'Công trình'!G110</f>
        <v>100m3</v>
      </c>
      <c r="E847" s="237">
        <v>1</v>
      </c>
      <c r="F847" s="69"/>
      <c r="G847" s="68"/>
      <c r="H847" s="69"/>
    </row>
    <row r="848" spans="1:8" ht="16.5" customHeight="1">
      <c r="A848" s="131"/>
      <c r="B848" s="91"/>
      <c r="C848" s="90" t="s">
        <v>679</v>
      </c>
      <c r="D848" s="91"/>
      <c r="E848" s="93"/>
      <c r="F848" s="132"/>
      <c r="G848" s="94"/>
      <c r="H848" s="132">
        <f>ROUND(H849,1)</f>
        <v>2313202.9</v>
      </c>
    </row>
    <row r="849" spans="1:8" ht="27.75" customHeight="1">
      <c r="A849" s="127"/>
      <c r="B849" s="13" t="str">
        <f>'Giá tháng'!B$78</f>
        <v>M106.0202</v>
      </c>
      <c r="C849" s="14" t="str">
        <f>'Giá tháng'!C$78</f>
        <v>Ô tô tự đổ - trọng tải : 5,0 T</v>
      </c>
      <c r="D849" s="13" t="str">
        <f>'Giá tháng'!D$78</f>
        <v>ca</v>
      </c>
      <c r="E849" s="80">
        <f>HaoPhiVatTu!H$356</f>
        <v>1.329</v>
      </c>
      <c r="F849" s="15">
        <f>ROUND('Tổng hợp VT'!O$87,1)</f>
        <v>1740559</v>
      </c>
      <c r="G849" s="81">
        <f>'Giá tháng'!G$78</f>
        <v>1</v>
      </c>
      <c r="H849" s="15">
        <f>ROUND(E849*F849*G849,1)</f>
        <v>2313202.9</v>
      </c>
    </row>
    <row r="850" spans="1:8" ht="27.75" customHeight="1">
      <c r="A850" s="238"/>
      <c r="B850" s="159"/>
      <c r="C850" s="158" t="s">
        <v>1085</v>
      </c>
      <c r="D850" s="159" t="s">
        <v>810</v>
      </c>
      <c r="E850" s="239"/>
      <c r="F850" s="162"/>
      <c r="G850" s="240"/>
      <c r="H850" s="162">
        <f>ROUND(+H848,1)</f>
        <v>2313202.9</v>
      </c>
    </row>
    <row r="851" spans="1:8" ht="16.5" customHeight="1">
      <c r="A851" s="241"/>
      <c r="B851" s="147"/>
      <c r="C851" s="146" t="s">
        <v>812</v>
      </c>
      <c r="D851" s="147" t="str">
        <f>""</f>
        <v/>
      </c>
      <c r="E851" s="242"/>
      <c r="F851" s="150"/>
      <c r="G851" s="149"/>
      <c r="H851" s="150"/>
    </row>
    <row r="852" spans="1:8" ht="16.5" customHeight="1">
      <c r="A852" s="241"/>
      <c r="B852" s="147"/>
      <c r="C852" s="146" t="str">
        <f>"Chi phí chung ( T x "&amp;HSXL!C$14&amp;" )"</f>
        <v>Chi phí chung ( T x 6,2% )</v>
      </c>
      <c r="D852" s="147" t="s">
        <v>807</v>
      </c>
      <c r="E852" s="242" t="str">
        <f>HSXL!C$14</f>
        <v>6,2%</v>
      </c>
      <c r="F852" s="150"/>
      <c r="G852" s="149"/>
      <c r="H852" s="150">
        <f>ROUND(H850*HSXL!D$14,1)</f>
        <v>143418.6</v>
      </c>
    </row>
    <row r="853" spans="1:8" ht="27.75" customHeight="1">
      <c r="A853" s="241"/>
      <c r="B853" s="147"/>
      <c r="C853" s="146" t="str">
        <f>"Chi phí nhà tạm để ở và điều hành thi công ( T x "&amp;HSXL!C$18&amp;" )"</f>
        <v>Chi phí nhà tạm để ở và điều hành thi công ( T x 2,2% )</v>
      </c>
      <c r="D853" s="147" t="s">
        <v>815</v>
      </c>
      <c r="E853" s="242" t="str">
        <f>HSXL!C$18</f>
        <v>2,2%</v>
      </c>
      <c r="F853" s="150"/>
      <c r="G853" s="149"/>
      <c r="H853" s="150">
        <f>ROUND(H850*HSXL!D$18,1)</f>
        <v>50890.5</v>
      </c>
    </row>
    <row r="854" spans="1:8" ht="39.75" customHeight="1">
      <c r="A854" s="241"/>
      <c r="B854" s="147"/>
      <c r="C854" s="146" t="str">
        <f>"Chi phí một số công việc không xác định được khối lượng từ thiết kế ( T x "&amp;HSXL!C$13&amp;" )"</f>
        <v>Chi phí một số công việc không xác định được khối lượng từ thiết kế ( T x 2% )</v>
      </c>
      <c r="D854" s="147" t="s">
        <v>61</v>
      </c>
      <c r="E854" s="242" t="str">
        <f>HSXL!C$13</f>
        <v>2%</v>
      </c>
      <c r="F854" s="150"/>
      <c r="G854" s="149"/>
      <c r="H854" s="150">
        <f>ROUND(H850*HSXL!D$13,1)</f>
        <v>46264.1</v>
      </c>
    </row>
    <row r="855" spans="1:8" ht="27.75" customHeight="1">
      <c r="A855" s="238"/>
      <c r="B855" s="159"/>
      <c r="C855" s="158" t="s">
        <v>1086</v>
      </c>
      <c r="D855" s="159" t="s">
        <v>818</v>
      </c>
      <c r="E855" s="239"/>
      <c r="F855" s="162"/>
      <c r="G855" s="240"/>
      <c r="H855" s="162">
        <f>ROUND(SUM(H852:H854),1)</f>
        <v>240573.2</v>
      </c>
    </row>
    <row r="856" spans="1:8" ht="27.75" customHeight="1">
      <c r="A856" s="241"/>
      <c r="B856" s="147"/>
      <c r="C856" s="146" t="str">
        <f>"THU NHẬP CHỊU THUẾ TÍNH TRƯỚC (T+GT) x "&amp;HSXL!C$16</f>
        <v>THU NHẬP CHỊU THUẾ TÍNH TRƯỚC (T+GT) x 6%</v>
      </c>
      <c r="D856" s="147" t="s">
        <v>821</v>
      </c>
      <c r="E856" s="242" t="str">
        <f>HSXL!C$16</f>
        <v>6%</v>
      </c>
      <c r="F856" s="150"/>
      <c r="G856" s="149"/>
      <c r="H856" s="150">
        <f>ROUND((H850+H855)*HSXL!D$16,1)</f>
        <v>153226.6</v>
      </c>
    </row>
    <row r="857" spans="1:8" ht="27.75" customHeight="1">
      <c r="A857" s="241"/>
      <c r="B857" s="147"/>
      <c r="C857" s="146" t="s">
        <v>1087</v>
      </c>
      <c r="D857" s="147" t="s">
        <v>823</v>
      </c>
      <c r="E857" s="242"/>
      <c r="F857" s="150"/>
      <c r="G857" s="149"/>
      <c r="H857" s="150">
        <f>ROUND(H850+H855+H856,0)</f>
        <v>2707003</v>
      </c>
    </row>
    <row r="858" spans="1:8" ht="27.75" customHeight="1">
      <c r="A858" s="241"/>
      <c r="B858" s="147"/>
      <c r="C858" s="146" t="str">
        <f>"THUẾ GIÁ TRỊ GIA TĂNG ( G x "&amp;HSXL!C$17&amp;" )"</f>
        <v>THUẾ GIÁ TRỊ GIA TĂNG ( G x 10% )</v>
      </c>
      <c r="D858" s="147" t="s">
        <v>827</v>
      </c>
      <c r="E858" s="164">
        <f>HSXL!D$17</f>
        <v>0.1</v>
      </c>
      <c r="F858" s="150"/>
      <c r="G858" s="149"/>
      <c r="H858" s="150">
        <f>ROUND(E858*H857,1)</f>
        <v>270700.3</v>
      </c>
    </row>
    <row r="859" spans="1:8" ht="27.75" customHeight="1">
      <c r="A859" s="243"/>
      <c r="B859" s="244"/>
      <c r="C859" s="245" t="s">
        <v>1088</v>
      </c>
      <c r="D859" s="244" t="s">
        <v>830</v>
      </c>
      <c r="E859" s="246"/>
      <c r="F859" s="247"/>
      <c r="G859" s="248"/>
      <c r="H859" s="249">
        <f>ROUND(H857+H858,0)</f>
        <v>2977703</v>
      </c>
    </row>
    <row r="860" spans="1:8" ht="16.5" customHeight="1">
      <c r="A860" s="128">
        <f>'Công trình'!A112</f>
        <v>29</v>
      </c>
      <c r="B860" s="129" t="str">
        <f>'Công trình'!E112</f>
        <v>AK.98110</v>
      </c>
      <c r="C860" s="130" t="str">
        <f>'Công trình'!F112</f>
        <v>Đá dăm 2x4 lót móng, dày 10cm</v>
      </c>
      <c r="D860" s="129" t="str">
        <f>'Công trình'!G112</f>
        <v>m3</v>
      </c>
      <c r="E860" s="237">
        <v>1</v>
      </c>
      <c r="F860" s="69"/>
      <c r="G860" s="68"/>
      <c r="H860" s="69"/>
    </row>
    <row r="861" spans="1:8" ht="16.5" customHeight="1">
      <c r="A861" s="131"/>
      <c r="B861" s="91"/>
      <c r="C861" s="90" t="s">
        <v>683</v>
      </c>
      <c r="D861" s="91"/>
      <c r="E861" s="93"/>
      <c r="F861" s="132"/>
      <c r="G861" s="94"/>
      <c r="H861" s="132">
        <f>ROUND(H864,1)</f>
        <v>453000</v>
      </c>
    </row>
    <row r="862" spans="1:8" ht="16.5" customHeight="1">
      <c r="A862" s="127"/>
      <c r="B862" s="13" t="str">
        <f>'Giá tháng'!B$17</f>
        <v>A24.0025</v>
      </c>
      <c r="C862" s="14" t="str">
        <f>'Giá tháng'!C$17</f>
        <v>Đá dăm 2x4 lót móng</v>
      </c>
      <c r="D862" s="13" t="str">
        <f>'Giá tháng'!D$17</f>
        <v>m3</v>
      </c>
      <c r="E862" s="80">
        <f>HaoPhiVatTu!F$359</f>
        <v>1.2</v>
      </c>
      <c r="F862" s="15">
        <f>ROUND('Tổng hợp VT'!O$22,1)</f>
        <v>340000</v>
      </c>
      <c r="G862" s="81">
        <f>'Giá tháng'!G$17</f>
        <v>1</v>
      </c>
      <c r="H862" s="15">
        <f>ROUND(E862*F862*G862,1)</f>
        <v>408000</v>
      </c>
    </row>
    <row r="863" spans="1:8" ht="16.5" customHeight="1">
      <c r="A863" s="127"/>
      <c r="B863" s="13" t="str">
        <f>'Giá tháng'!B$7</f>
        <v>A24.1042</v>
      </c>
      <c r="C863" s="14" t="str">
        <f>'Giá tháng'!C$7</f>
        <v>Cát</v>
      </c>
      <c r="D863" s="13" t="str">
        <f>'Giá tháng'!D$7</f>
        <v>m3</v>
      </c>
      <c r="E863" s="80">
        <f>HaoPhiVatTu!F$360</f>
        <v>0.3</v>
      </c>
      <c r="F863" s="15">
        <f>ROUND('Tổng hợp VT'!O$12,1)</f>
        <v>150000</v>
      </c>
      <c r="G863" s="81">
        <f>'Giá tháng'!G$7</f>
        <v>1</v>
      </c>
      <c r="H863" s="15">
        <f>ROUND(E863*F863*G863,1)</f>
        <v>45000</v>
      </c>
    </row>
    <row r="864" spans="1:8" ht="16.5" customHeight="1">
      <c r="A864" s="127"/>
      <c r="B864" s="13"/>
      <c r="C864" s="14" t="s">
        <v>776</v>
      </c>
      <c r="D864" s="13"/>
      <c r="E864" s="80"/>
      <c r="F864" s="15"/>
      <c r="G864" s="81"/>
      <c r="H864" s="15">
        <f>ROUND(SUM(H862:H863),1)</f>
        <v>453000</v>
      </c>
    </row>
    <row r="865" spans="1:8" ht="16.5" customHeight="1">
      <c r="A865" s="131"/>
      <c r="B865" s="91"/>
      <c r="C865" s="90" t="s">
        <v>678</v>
      </c>
      <c r="D865" s="91"/>
      <c r="E865" s="93"/>
      <c r="F865" s="132"/>
      <c r="G865" s="94"/>
      <c r="H865" s="132">
        <f>ROUND(H866,1)</f>
        <v>420923.8</v>
      </c>
    </row>
    <row r="866" spans="1:8" ht="16.5" customHeight="1">
      <c r="A866" s="127"/>
      <c r="B866" s="13" t="str">
        <f>'Giá tháng'!B$53</f>
        <v>N2.40</v>
      </c>
      <c r="C866" s="14" t="str">
        <f>'Giá tháng'!C$53</f>
        <v>Nhân công 4,0/7 - Nhóm 2</v>
      </c>
      <c r="D866" s="13" t="str">
        <f>'Giá tháng'!D$53</f>
        <v>công</v>
      </c>
      <c r="E866" s="80">
        <f>HaoPhiVatTu!G$362</f>
        <v>1.48</v>
      </c>
      <c r="F866" s="15">
        <f>ROUND('Tổng hợp VT'!O$60,1)</f>
        <v>284408</v>
      </c>
      <c r="G866" s="81">
        <f>'Giá tháng'!G$53</f>
        <v>1</v>
      </c>
      <c r="H866" s="15">
        <f>ROUND(E866*F866*G866,1)</f>
        <v>420923.8</v>
      </c>
    </row>
    <row r="867" spans="1:8" ht="27.75" customHeight="1">
      <c r="A867" s="238"/>
      <c r="B867" s="159"/>
      <c r="C867" s="158" t="s">
        <v>1085</v>
      </c>
      <c r="D867" s="159" t="s">
        <v>810</v>
      </c>
      <c r="E867" s="239"/>
      <c r="F867" s="162"/>
      <c r="G867" s="240"/>
      <c r="H867" s="162">
        <f>ROUND(H861+H865,1)</f>
        <v>873923.8</v>
      </c>
    </row>
    <row r="868" spans="1:8" ht="16.5" customHeight="1">
      <c r="A868" s="241"/>
      <c r="B868" s="147"/>
      <c r="C868" s="146" t="s">
        <v>812</v>
      </c>
      <c r="D868" s="147" t="str">
        <f>""</f>
        <v/>
      </c>
      <c r="E868" s="242"/>
      <c r="F868" s="150"/>
      <c r="G868" s="149"/>
      <c r="H868" s="150"/>
    </row>
    <row r="869" spans="1:8" ht="16.5" customHeight="1">
      <c r="A869" s="241"/>
      <c r="B869" s="147"/>
      <c r="C869" s="146" t="str">
        <f>"Chi phí chung ( T x "&amp;HSXL!C$14&amp;" )"</f>
        <v>Chi phí chung ( T x 6,2% )</v>
      </c>
      <c r="D869" s="147" t="s">
        <v>807</v>
      </c>
      <c r="E869" s="242" t="str">
        <f>HSXL!C$14</f>
        <v>6,2%</v>
      </c>
      <c r="F869" s="150"/>
      <c r="G869" s="149"/>
      <c r="H869" s="150">
        <f>ROUND(H867*HSXL!D$14,1)</f>
        <v>54183.3</v>
      </c>
    </row>
    <row r="870" spans="1:8" ht="27.75" customHeight="1">
      <c r="A870" s="241"/>
      <c r="B870" s="147"/>
      <c r="C870" s="146" t="str">
        <f>"Chi phí nhà tạm để ở và điều hành thi công ( T x "&amp;HSXL!C$18&amp;" )"</f>
        <v>Chi phí nhà tạm để ở và điều hành thi công ( T x 2,2% )</v>
      </c>
      <c r="D870" s="147" t="s">
        <v>815</v>
      </c>
      <c r="E870" s="242" t="str">
        <f>HSXL!C$18</f>
        <v>2,2%</v>
      </c>
      <c r="F870" s="150"/>
      <c r="G870" s="149"/>
      <c r="H870" s="150">
        <f>ROUND(H867*HSXL!D$18,1)</f>
        <v>19226.3</v>
      </c>
    </row>
    <row r="871" spans="1:8" ht="39.75" customHeight="1">
      <c r="A871" s="241"/>
      <c r="B871" s="147"/>
      <c r="C871" s="146" t="str">
        <f>"Chi phí một số công việc không xác định được khối lượng từ thiết kế ( T x "&amp;HSXL!C$13&amp;" )"</f>
        <v>Chi phí một số công việc không xác định được khối lượng từ thiết kế ( T x 2% )</v>
      </c>
      <c r="D871" s="147" t="s">
        <v>61</v>
      </c>
      <c r="E871" s="242" t="str">
        <f>HSXL!C$13</f>
        <v>2%</v>
      </c>
      <c r="F871" s="150"/>
      <c r="G871" s="149"/>
      <c r="H871" s="150">
        <f>ROUND(H867*HSXL!D$13,1)</f>
        <v>17478.5</v>
      </c>
    </row>
    <row r="872" spans="1:8" ht="27.75" customHeight="1">
      <c r="A872" s="238"/>
      <c r="B872" s="159"/>
      <c r="C872" s="158" t="s">
        <v>1086</v>
      </c>
      <c r="D872" s="159" t="s">
        <v>818</v>
      </c>
      <c r="E872" s="239"/>
      <c r="F872" s="162"/>
      <c r="G872" s="240"/>
      <c r="H872" s="162">
        <f>ROUND(SUM(H869:H871),1)</f>
        <v>90888.1</v>
      </c>
    </row>
    <row r="873" spans="1:8" ht="27.75" customHeight="1">
      <c r="A873" s="241"/>
      <c r="B873" s="147"/>
      <c r="C873" s="146" t="str">
        <f>"THU NHẬP CHỊU THUẾ TÍNH TRƯỚC (T+GT) x "&amp;HSXL!C$16</f>
        <v>THU NHẬP CHỊU THUẾ TÍNH TRƯỚC (T+GT) x 6%</v>
      </c>
      <c r="D873" s="147" t="s">
        <v>821</v>
      </c>
      <c r="E873" s="242" t="str">
        <f>HSXL!C$16</f>
        <v>6%</v>
      </c>
      <c r="F873" s="150"/>
      <c r="G873" s="149"/>
      <c r="H873" s="150">
        <f>ROUND((H867+H872)*HSXL!D$16,1)</f>
        <v>57888.7</v>
      </c>
    </row>
    <row r="874" spans="1:8" ht="27.75" customHeight="1">
      <c r="A874" s="241"/>
      <c r="B874" s="147"/>
      <c r="C874" s="146" t="s">
        <v>1087</v>
      </c>
      <c r="D874" s="147" t="s">
        <v>823</v>
      </c>
      <c r="E874" s="242"/>
      <c r="F874" s="150"/>
      <c r="G874" s="149"/>
      <c r="H874" s="150">
        <f>ROUND(H867+H872+H873,0)</f>
        <v>1022701</v>
      </c>
    </row>
    <row r="875" spans="1:8" ht="27.75" customHeight="1">
      <c r="A875" s="241"/>
      <c r="B875" s="147"/>
      <c r="C875" s="146" t="str">
        <f>"THUẾ GIÁ TRỊ GIA TĂNG ( G x "&amp;HSXL!C$17&amp;" )"</f>
        <v>THUẾ GIÁ TRỊ GIA TĂNG ( G x 10% )</v>
      </c>
      <c r="D875" s="147" t="s">
        <v>827</v>
      </c>
      <c r="E875" s="164">
        <f>HSXL!D$17</f>
        <v>0.1</v>
      </c>
      <c r="F875" s="150"/>
      <c r="G875" s="149"/>
      <c r="H875" s="150">
        <f>ROUND(E875*H874,1)</f>
        <v>102270.1</v>
      </c>
    </row>
    <row r="876" spans="1:8" ht="27.75" customHeight="1">
      <c r="A876" s="243"/>
      <c r="B876" s="244"/>
      <c r="C876" s="245" t="s">
        <v>1088</v>
      </c>
      <c r="D876" s="244" t="s">
        <v>830</v>
      </c>
      <c r="E876" s="246"/>
      <c r="F876" s="247"/>
      <c r="G876" s="248"/>
      <c r="H876" s="249">
        <f>ROUND(H874+H875,0)</f>
        <v>1124971</v>
      </c>
    </row>
    <row r="877" spans="1:8" ht="27.75" customHeight="1">
      <c r="A877" s="128">
        <f>'Công trình'!A114</f>
        <v>30</v>
      </c>
      <c r="B877" s="129" t="str">
        <f>'Công trình'!E114</f>
        <v>BB.11221</v>
      </c>
      <c r="C877" s="130" t="str">
        <f>'Công trình'!F114</f>
        <v>Lắp đặt ống bê tông bằng cần cẩu, đoạn ống dài 2m, D400mm</v>
      </c>
      <c r="D877" s="129" t="str">
        <f>'Công trình'!G114</f>
        <v>đoạn ống</v>
      </c>
      <c r="E877" s="237">
        <v>1</v>
      </c>
      <c r="F877" s="69"/>
      <c r="G877" s="68"/>
      <c r="H877" s="69"/>
    </row>
    <row r="878" spans="1:8" ht="16.5" customHeight="1">
      <c r="A878" s="131"/>
      <c r="B878" s="91"/>
      <c r="C878" s="90" t="s">
        <v>683</v>
      </c>
      <c r="D878" s="91"/>
      <c r="E878" s="93"/>
      <c r="F878" s="132"/>
      <c r="G878" s="94"/>
      <c r="H878" s="132">
        <f>ROUND(H881,1)</f>
        <v>890445</v>
      </c>
    </row>
    <row r="879" spans="1:8" ht="16.5" customHeight="1">
      <c r="A879" s="127"/>
      <c r="B879" s="13" t="str">
        <f>'Giá tháng'!B$35</f>
        <v>A33.0170</v>
      </c>
      <c r="C879" s="14" t="str">
        <f>'Giá tháng'!C$35</f>
        <v>Ống bê tông dài 2m D400mm</v>
      </c>
      <c r="D879" s="13" t="str">
        <f>'Giá tháng'!D$35</f>
        <v>đoạn</v>
      </c>
      <c r="E879" s="80">
        <f>HaoPhiVatTu!F$365</f>
        <v>1</v>
      </c>
      <c r="F879" s="15">
        <f>ROUND('Tổng hợp VT'!O$40,1)</f>
        <v>890000</v>
      </c>
      <c r="G879" s="81">
        <f>'Giá tháng'!G$35</f>
        <v>1</v>
      </c>
      <c r="H879" s="15">
        <f>ROUND(E879*F879*G879,1)</f>
        <v>890000</v>
      </c>
    </row>
    <row r="880" spans="1:8" ht="16.5" customHeight="1">
      <c r="A880" s="127"/>
      <c r="B880" s="13" t="s">
        <v>684</v>
      </c>
      <c r="C880" s="14" t="s">
        <v>686</v>
      </c>
      <c r="D880" s="13" t="s">
        <v>682</v>
      </c>
      <c r="E880" s="80">
        <f>HaoPhiVatTu!F$366</f>
        <v>0.05</v>
      </c>
      <c r="F880" s="15">
        <f>ROUND(SUM(H879:H879),1)</f>
        <v>890000</v>
      </c>
      <c r="G880" s="81"/>
      <c r="H880" s="15">
        <f>ROUND(E880*F880/100,1)</f>
        <v>445</v>
      </c>
    </row>
    <row r="881" spans="1:8" ht="16.5" customHeight="1">
      <c r="A881" s="127"/>
      <c r="B881" s="13"/>
      <c r="C881" s="14" t="s">
        <v>776</v>
      </c>
      <c r="D881" s="13"/>
      <c r="E881" s="80"/>
      <c r="F881" s="15"/>
      <c r="G881" s="81"/>
      <c r="H881" s="15">
        <f>ROUND(SUM(H879:H880),1)</f>
        <v>890445</v>
      </c>
    </row>
    <row r="882" spans="1:8" ht="16.5" customHeight="1">
      <c r="A882" s="131"/>
      <c r="B882" s="91"/>
      <c r="C882" s="90" t="s">
        <v>678</v>
      </c>
      <c r="D882" s="91"/>
      <c r="E882" s="93"/>
      <c r="F882" s="132"/>
      <c r="G882" s="94"/>
      <c r="H882" s="132">
        <f>ROUND(H883,1)</f>
        <v>91700</v>
      </c>
    </row>
    <row r="883" spans="1:8" ht="16.5" customHeight="1">
      <c r="A883" s="127"/>
      <c r="B883" s="13" t="str">
        <f>'Giá tháng'!B$51</f>
        <v>N2.35</v>
      </c>
      <c r="C883" s="14" t="str">
        <f>'Giá tháng'!C$51</f>
        <v>Nhân công 3,5/7 - Nhóm 2</v>
      </c>
      <c r="D883" s="13" t="str">
        <f>'Giá tháng'!D$51</f>
        <v>công</v>
      </c>
      <c r="E883" s="80">
        <f>HaoPhiVatTu!G$368</f>
        <v>0.35</v>
      </c>
      <c r="F883" s="15">
        <f>ROUND('Tổng hợp VT'!O$59,1)</f>
        <v>262000</v>
      </c>
      <c r="G883" s="81">
        <f>'Giá tháng'!G$51</f>
        <v>1</v>
      </c>
      <c r="H883" s="15">
        <f>ROUND(E883*F883*G883,1)</f>
        <v>91700</v>
      </c>
    </row>
    <row r="884" spans="1:8" ht="16.5" customHeight="1">
      <c r="A884" s="131"/>
      <c r="B884" s="91"/>
      <c r="C884" s="90" t="s">
        <v>679</v>
      </c>
      <c r="D884" s="91"/>
      <c r="E884" s="93"/>
      <c r="F884" s="132"/>
      <c r="G884" s="94"/>
      <c r="H884" s="132">
        <f>ROUND(H887,1)</f>
        <v>103745</v>
      </c>
    </row>
    <row r="885" spans="1:8" ht="27.75" customHeight="1">
      <c r="A885" s="127"/>
      <c r="B885" s="13" t="str">
        <f>'Giá tháng'!B$55</f>
        <v>M102.0201</v>
      </c>
      <c r="C885" s="14" t="str">
        <f>'Giá tháng'!C$55</f>
        <v>Cần cẩu bánh hơi 6 T</v>
      </c>
      <c r="D885" s="13" t="str">
        <f>'Giá tháng'!D$55</f>
        <v>ca</v>
      </c>
      <c r="E885" s="80">
        <f>HaoPhiVatTu!H$370</f>
        <v>5.6000000000000001E-2</v>
      </c>
      <c r="F885" s="15">
        <f>ROUND('Tổng hợp VT'!O$64,1)</f>
        <v>1764371</v>
      </c>
      <c r="G885" s="81">
        <f>'Giá tháng'!G$55</f>
        <v>1</v>
      </c>
      <c r="H885" s="15">
        <f>ROUND(E885*F885*G885,1)</f>
        <v>98804.800000000003</v>
      </c>
    </row>
    <row r="886" spans="1:8" ht="16.5" customHeight="1">
      <c r="A886" s="127"/>
      <c r="B886" s="13" t="s">
        <v>680</v>
      </c>
      <c r="C886" s="14" t="s">
        <v>681</v>
      </c>
      <c r="D886" s="13" t="s">
        <v>682</v>
      </c>
      <c r="E886" s="80">
        <f>HaoPhiVatTu!H$371</f>
        <v>5</v>
      </c>
      <c r="F886" s="15">
        <f>ROUND(SUM(H885:H885),1)</f>
        <v>98804.800000000003</v>
      </c>
      <c r="G886" s="81"/>
      <c r="H886" s="15">
        <f>ROUND(E886*F886/100,1)</f>
        <v>4940.2</v>
      </c>
    </row>
    <row r="887" spans="1:8" ht="16.5" customHeight="1">
      <c r="A887" s="127"/>
      <c r="B887" s="13"/>
      <c r="C887" s="14" t="s">
        <v>776</v>
      </c>
      <c r="D887" s="13"/>
      <c r="E887" s="19"/>
      <c r="F887" s="15"/>
      <c r="G887" s="18"/>
      <c r="H887" s="15">
        <f>ROUND(SUM(H885:H886),1)</f>
        <v>103745</v>
      </c>
    </row>
    <row r="888" spans="1:8" ht="27.75" customHeight="1">
      <c r="A888" s="238"/>
      <c r="B888" s="159"/>
      <c r="C888" s="158" t="s">
        <v>1085</v>
      </c>
      <c r="D888" s="159" t="s">
        <v>810</v>
      </c>
      <c r="E888" s="239"/>
      <c r="F888" s="162"/>
      <c r="G888" s="240"/>
      <c r="H888" s="162">
        <f>ROUND(H878+H882+H884,1)</f>
        <v>1085890</v>
      </c>
    </row>
    <row r="889" spans="1:8" ht="16.5" customHeight="1">
      <c r="A889" s="241"/>
      <c r="B889" s="147"/>
      <c r="C889" s="146" t="s">
        <v>812</v>
      </c>
      <c r="D889" s="147" t="str">
        <f>""</f>
        <v/>
      </c>
      <c r="E889" s="242"/>
      <c r="F889" s="150"/>
      <c r="G889" s="149"/>
      <c r="H889" s="150"/>
    </row>
    <row r="890" spans="1:8" ht="16.5" customHeight="1">
      <c r="A890" s="241"/>
      <c r="B890" s="147"/>
      <c r="C890" s="146" t="str">
        <f>"Chi phí chung ( T x "&amp;HSXL!C$14&amp;" )"</f>
        <v>Chi phí chung ( T x 6,2% )</v>
      </c>
      <c r="D890" s="147" t="s">
        <v>807</v>
      </c>
      <c r="E890" s="242" t="str">
        <f>HSXL!C$14</f>
        <v>6,2%</v>
      </c>
      <c r="F890" s="150"/>
      <c r="G890" s="149"/>
      <c r="H890" s="150">
        <f>ROUND(H888*HSXL!D$14,1)</f>
        <v>67325.2</v>
      </c>
    </row>
    <row r="891" spans="1:8" ht="27.75" customHeight="1">
      <c r="A891" s="241"/>
      <c r="B891" s="147"/>
      <c r="C891" s="146" t="str">
        <f>"Chi phí nhà tạm để ở và điều hành thi công ( T x "&amp;HSXL!C$18&amp;" )"</f>
        <v>Chi phí nhà tạm để ở và điều hành thi công ( T x 2,2% )</v>
      </c>
      <c r="D891" s="147" t="s">
        <v>815</v>
      </c>
      <c r="E891" s="242" t="str">
        <f>HSXL!C$18</f>
        <v>2,2%</v>
      </c>
      <c r="F891" s="150"/>
      <c r="G891" s="149"/>
      <c r="H891" s="150">
        <f>ROUND(H888*HSXL!D$18,1)</f>
        <v>23889.599999999999</v>
      </c>
    </row>
    <row r="892" spans="1:8" ht="39.75" customHeight="1">
      <c r="A892" s="241"/>
      <c r="B892" s="147"/>
      <c r="C892" s="146" t="str">
        <f>"Chi phí một số công việc không xác định được khối lượng từ thiết kế ( T x "&amp;HSXL!C$13&amp;" )"</f>
        <v>Chi phí một số công việc không xác định được khối lượng từ thiết kế ( T x 2% )</v>
      </c>
      <c r="D892" s="147" t="s">
        <v>61</v>
      </c>
      <c r="E892" s="242" t="str">
        <f>HSXL!C$13</f>
        <v>2%</v>
      </c>
      <c r="F892" s="150"/>
      <c r="G892" s="149"/>
      <c r="H892" s="150">
        <f>ROUND(H888*HSXL!D$13,1)</f>
        <v>21717.8</v>
      </c>
    </row>
    <row r="893" spans="1:8" ht="27.75" customHeight="1">
      <c r="A893" s="238"/>
      <c r="B893" s="159"/>
      <c r="C893" s="158" t="s">
        <v>1086</v>
      </c>
      <c r="D893" s="159" t="s">
        <v>818</v>
      </c>
      <c r="E893" s="239"/>
      <c r="F893" s="162"/>
      <c r="G893" s="240"/>
      <c r="H893" s="162">
        <f>ROUND(SUM(H890:H892),1)</f>
        <v>112932.6</v>
      </c>
    </row>
    <row r="894" spans="1:8" ht="27.75" customHeight="1">
      <c r="A894" s="241"/>
      <c r="B894" s="147"/>
      <c r="C894" s="146" t="str">
        <f>"THU NHẬP CHỊU THUẾ TÍNH TRƯỚC (T+GT) x "&amp;HSXL!C$16</f>
        <v>THU NHẬP CHỊU THUẾ TÍNH TRƯỚC (T+GT) x 6%</v>
      </c>
      <c r="D894" s="147" t="s">
        <v>821</v>
      </c>
      <c r="E894" s="242" t="str">
        <f>HSXL!C$16</f>
        <v>6%</v>
      </c>
      <c r="F894" s="150"/>
      <c r="G894" s="149"/>
      <c r="H894" s="150">
        <f>ROUND((H888+H893)*HSXL!D$16,1)</f>
        <v>71929.399999999994</v>
      </c>
    </row>
    <row r="895" spans="1:8" ht="27.75" customHeight="1">
      <c r="A895" s="241"/>
      <c r="B895" s="147"/>
      <c r="C895" s="146" t="s">
        <v>1087</v>
      </c>
      <c r="D895" s="147" t="s">
        <v>823</v>
      </c>
      <c r="E895" s="242"/>
      <c r="F895" s="150"/>
      <c r="G895" s="149"/>
      <c r="H895" s="150">
        <f>ROUND(H888+H893+H894,0)</f>
        <v>1270752</v>
      </c>
    </row>
    <row r="896" spans="1:8" ht="27.75" customHeight="1">
      <c r="A896" s="241"/>
      <c r="B896" s="147"/>
      <c r="C896" s="146" t="str">
        <f>"THUẾ GIÁ TRỊ GIA TĂNG ( G x "&amp;HSXL!C$17&amp;" )"</f>
        <v>THUẾ GIÁ TRỊ GIA TĂNG ( G x 10% )</v>
      </c>
      <c r="D896" s="147" t="s">
        <v>827</v>
      </c>
      <c r="E896" s="164">
        <f>HSXL!D$17</f>
        <v>0.1</v>
      </c>
      <c r="F896" s="150"/>
      <c r="G896" s="149"/>
      <c r="H896" s="150">
        <f>ROUND(E896*H895,1)</f>
        <v>127075.2</v>
      </c>
    </row>
    <row r="897" spans="1:8" ht="27.75" customHeight="1">
      <c r="A897" s="243"/>
      <c r="B897" s="244"/>
      <c r="C897" s="245" t="s">
        <v>1088</v>
      </c>
      <c r="D897" s="244" t="s">
        <v>830</v>
      </c>
      <c r="E897" s="246"/>
      <c r="F897" s="247"/>
      <c r="G897" s="248"/>
      <c r="H897" s="249">
        <f>ROUND(H895+H896,0)</f>
        <v>1397827</v>
      </c>
    </row>
    <row r="898" spans="1:8" ht="16.5" customHeight="1">
      <c r="A898" s="128">
        <f>'Công trình'!A116</f>
        <v>31</v>
      </c>
      <c r="B898" s="129" t="str">
        <f>'Công trình'!E116</f>
        <v>TT</v>
      </c>
      <c r="C898" s="130" t="str">
        <f>'Công trình'!F116</f>
        <v>Lắp đặt đế cống D400</v>
      </c>
      <c r="D898" s="129" t="str">
        <f>'Công trình'!G116</f>
        <v>Cái</v>
      </c>
      <c r="E898" s="237">
        <v>1</v>
      </c>
      <c r="F898" s="69"/>
      <c r="G898" s="68"/>
      <c r="H898" s="69"/>
    </row>
    <row r="899" spans="1:8" ht="16.5" customHeight="1">
      <c r="A899" s="131"/>
      <c r="B899" s="91"/>
      <c r="C899" s="90" t="s">
        <v>683</v>
      </c>
      <c r="D899" s="91"/>
      <c r="E899" s="93"/>
      <c r="F899" s="132"/>
      <c r="G899" s="94"/>
      <c r="H899" s="132">
        <f>ROUND(H900,1)</f>
        <v>110000</v>
      </c>
    </row>
    <row r="900" spans="1:8" ht="16.5" customHeight="1">
      <c r="A900" s="127"/>
      <c r="B900" s="13" t="str">
        <f>""</f>
        <v/>
      </c>
      <c r="C900" s="14" t="s">
        <v>27</v>
      </c>
      <c r="D900" s="13" t="str">
        <f>""</f>
        <v/>
      </c>
      <c r="E900" s="80">
        <v>1</v>
      </c>
      <c r="F900" s="15">
        <f>ROUND('Tổng hợp VT'!O8,1)</f>
        <v>110000</v>
      </c>
      <c r="G900" s="81"/>
      <c r="H900" s="15">
        <f>ROUND(E900*F900,1)</f>
        <v>110000</v>
      </c>
    </row>
    <row r="901" spans="1:8" ht="16.5" customHeight="1">
      <c r="A901" s="131"/>
      <c r="B901" s="91"/>
      <c r="C901" s="90" t="s">
        <v>678</v>
      </c>
      <c r="D901" s="91"/>
      <c r="E901" s="93"/>
      <c r="F901" s="132"/>
      <c r="G901" s="94"/>
      <c r="H901" s="132">
        <f>ROUND(H902,1)</f>
        <v>25000</v>
      </c>
    </row>
    <row r="902" spans="1:8" ht="16.5" customHeight="1">
      <c r="A902" s="127"/>
      <c r="B902" s="13" t="str">
        <f>""</f>
        <v/>
      </c>
      <c r="C902" s="14" t="s">
        <v>29</v>
      </c>
      <c r="D902" s="13" t="str">
        <f>""</f>
        <v/>
      </c>
      <c r="E902" s="80">
        <v>1</v>
      </c>
      <c r="F902" s="15">
        <f>ROUND('Tổng hợp VT'!O54,1)</f>
        <v>25000</v>
      </c>
      <c r="G902" s="81"/>
      <c r="H902" s="15">
        <f>ROUND(E902*F902,1)</f>
        <v>25000</v>
      </c>
    </row>
    <row r="903" spans="1:8" ht="27.75" customHeight="1">
      <c r="A903" s="238"/>
      <c r="B903" s="159"/>
      <c r="C903" s="158" t="s">
        <v>1085</v>
      </c>
      <c r="D903" s="159" t="s">
        <v>810</v>
      </c>
      <c r="E903" s="239"/>
      <c r="F903" s="162"/>
      <c r="G903" s="240"/>
      <c r="H903" s="162">
        <f>ROUND(H899+H901,1)</f>
        <v>135000</v>
      </c>
    </row>
    <row r="904" spans="1:8" ht="16.5" customHeight="1">
      <c r="A904" s="241"/>
      <c r="B904" s="147"/>
      <c r="C904" s="146" t="s">
        <v>812</v>
      </c>
      <c r="D904" s="147" t="str">
        <f>""</f>
        <v/>
      </c>
      <c r="E904" s="242"/>
      <c r="F904" s="150"/>
      <c r="G904" s="149"/>
      <c r="H904" s="150"/>
    </row>
    <row r="905" spans="1:8" ht="16.5" customHeight="1">
      <c r="A905" s="241"/>
      <c r="B905" s="147"/>
      <c r="C905" s="146" t="str">
        <f>"Chi phí chung ( T x "&amp;HSXL!C$14&amp;" )"</f>
        <v>Chi phí chung ( T x 6,2% )</v>
      </c>
      <c r="D905" s="147" t="s">
        <v>807</v>
      </c>
      <c r="E905" s="242" t="str">
        <f>HSXL!C$14</f>
        <v>6,2%</v>
      </c>
      <c r="F905" s="150"/>
      <c r="G905" s="149"/>
      <c r="H905" s="150">
        <f>ROUND(H903*HSXL!D$14,1)</f>
        <v>8370</v>
      </c>
    </row>
    <row r="906" spans="1:8" ht="27.75" customHeight="1">
      <c r="A906" s="241"/>
      <c r="B906" s="147"/>
      <c r="C906" s="146" t="str">
        <f>"Chi phí nhà tạm để ở và điều hành thi công ( T x "&amp;HSXL!C$18&amp;" )"</f>
        <v>Chi phí nhà tạm để ở và điều hành thi công ( T x 2,2% )</v>
      </c>
      <c r="D906" s="147" t="s">
        <v>815</v>
      </c>
      <c r="E906" s="242" t="str">
        <f>HSXL!C$18</f>
        <v>2,2%</v>
      </c>
      <c r="F906" s="150"/>
      <c r="G906" s="149"/>
      <c r="H906" s="150">
        <f>ROUND(H903*HSXL!D$18,1)</f>
        <v>2970</v>
      </c>
    </row>
    <row r="907" spans="1:8" ht="39.75" customHeight="1">
      <c r="A907" s="241"/>
      <c r="B907" s="147"/>
      <c r="C907" s="146" t="str">
        <f>"Chi phí một số công việc không xác định được khối lượng từ thiết kế ( T x "&amp;HSXL!C$13&amp;" )"</f>
        <v>Chi phí một số công việc không xác định được khối lượng từ thiết kế ( T x 2% )</v>
      </c>
      <c r="D907" s="147" t="s">
        <v>61</v>
      </c>
      <c r="E907" s="242" t="str">
        <f>HSXL!C$13</f>
        <v>2%</v>
      </c>
      <c r="F907" s="150"/>
      <c r="G907" s="149"/>
      <c r="H907" s="150">
        <f>ROUND(H903*HSXL!D$13,1)</f>
        <v>2700</v>
      </c>
    </row>
    <row r="908" spans="1:8" ht="27.75" customHeight="1">
      <c r="A908" s="238"/>
      <c r="B908" s="159"/>
      <c r="C908" s="158" t="s">
        <v>1086</v>
      </c>
      <c r="D908" s="159" t="s">
        <v>818</v>
      </c>
      <c r="E908" s="239"/>
      <c r="F908" s="162"/>
      <c r="G908" s="240"/>
      <c r="H908" s="162">
        <f>ROUND(SUM(H905:H907),1)</f>
        <v>14040</v>
      </c>
    </row>
    <row r="909" spans="1:8" ht="27.75" customHeight="1">
      <c r="A909" s="241"/>
      <c r="B909" s="147"/>
      <c r="C909" s="146" t="str">
        <f>"THU NHẬP CHỊU THUẾ TÍNH TRƯỚC (T+GT) x "&amp;HSXL!C$16</f>
        <v>THU NHẬP CHỊU THUẾ TÍNH TRƯỚC (T+GT) x 6%</v>
      </c>
      <c r="D909" s="147" t="s">
        <v>821</v>
      </c>
      <c r="E909" s="242" t="str">
        <f>HSXL!C$16</f>
        <v>6%</v>
      </c>
      <c r="F909" s="150"/>
      <c r="G909" s="149"/>
      <c r="H909" s="150">
        <f>ROUND((H903+H908)*HSXL!D$16,1)</f>
        <v>8942.4</v>
      </c>
    </row>
    <row r="910" spans="1:8" ht="27.75" customHeight="1">
      <c r="A910" s="241"/>
      <c r="B910" s="147"/>
      <c r="C910" s="146" t="s">
        <v>1087</v>
      </c>
      <c r="D910" s="147" t="s">
        <v>823</v>
      </c>
      <c r="E910" s="242"/>
      <c r="F910" s="150"/>
      <c r="G910" s="149"/>
      <c r="H910" s="150">
        <f>ROUND(H903+H908+H909,0)</f>
        <v>157982</v>
      </c>
    </row>
    <row r="911" spans="1:8" ht="27.75" customHeight="1">
      <c r="A911" s="241"/>
      <c r="B911" s="147"/>
      <c r="C911" s="146" t="str">
        <f>"THUẾ GIÁ TRỊ GIA TĂNG ( G x "&amp;HSXL!C$17&amp;" )"</f>
        <v>THUẾ GIÁ TRỊ GIA TĂNG ( G x 10% )</v>
      </c>
      <c r="D911" s="147" t="s">
        <v>827</v>
      </c>
      <c r="E911" s="164">
        <f>HSXL!D$17</f>
        <v>0.1</v>
      </c>
      <c r="F911" s="150"/>
      <c r="G911" s="149"/>
      <c r="H911" s="150">
        <f>ROUND(E911*H910,1)</f>
        <v>15798.2</v>
      </c>
    </row>
    <row r="912" spans="1:8" ht="27.75" customHeight="1">
      <c r="A912" s="243"/>
      <c r="B912" s="244"/>
      <c r="C912" s="245" t="s">
        <v>1088</v>
      </c>
      <c r="D912" s="244" t="s">
        <v>830</v>
      </c>
      <c r="E912" s="246"/>
      <c r="F912" s="247"/>
      <c r="G912" s="248"/>
      <c r="H912" s="249">
        <f>ROUND(H910+H911,0)</f>
        <v>173780</v>
      </c>
    </row>
    <row r="913" spans="1:8" ht="27.75" customHeight="1">
      <c r="A913" s="128">
        <f>'Công trình'!A118</f>
        <v>32</v>
      </c>
      <c r="B913" s="129" t="str">
        <f>'Công trình'!E118</f>
        <v>BB.13605</v>
      </c>
      <c r="C913" s="130" t="str">
        <f>'Công trình'!F118</f>
        <v>Nối ống bê tông bằng gioăng cao su, đường kính 400mm</v>
      </c>
      <c r="D913" s="129" t="str">
        <f>'Công trình'!G118</f>
        <v>mối nối</v>
      </c>
      <c r="E913" s="237">
        <v>1</v>
      </c>
      <c r="F913" s="69"/>
      <c r="G913" s="68"/>
      <c r="H913" s="69"/>
    </row>
    <row r="914" spans="1:8" ht="16.5" customHeight="1">
      <c r="A914" s="131"/>
      <c r="B914" s="91"/>
      <c r="C914" s="90" t="s">
        <v>683</v>
      </c>
      <c r="D914" s="91"/>
      <c r="E914" s="93"/>
      <c r="F914" s="132"/>
      <c r="G914" s="94"/>
      <c r="H914" s="132">
        <f>ROUND(H917,1)</f>
        <v>121320</v>
      </c>
    </row>
    <row r="915" spans="1:8" ht="16.5" customHeight="1">
      <c r="A915" s="127"/>
      <c r="B915" s="13" t="str">
        <f>'Giá tháng'!B$25</f>
        <v>A33.0269</v>
      </c>
      <c r="C915" s="14" t="str">
        <f>'Giá tháng'!C$25</f>
        <v>Gioăng cao su D400mm</v>
      </c>
      <c r="D915" s="13" t="str">
        <f>'Giá tháng'!D$25</f>
        <v>cái</v>
      </c>
      <c r="E915" s="80">
        <f>HaoPhiVatTu!F$374</f>
        <v>1</v>
      </c>
      <c r="F915" s="15">
        <f>ROUND('Tổng hợp VT'!O$30,1)</f>
        <v>120000</v>
      </c>
      <c r="G915" s="81">
        <f>'Giá tháng'!G$25</f>
        <v>1</v>
      </c>
      <c r="H915" s="15">
        <f>ROUND(E915*F915*G915,1)</f>
        <v>120000</v>
      </c>
    </row>
    <row r="916" spans="1:8" ht="16.5" customHeight="1">
      <c r="A916" s="127"/>
      <c r="B916" s="13" t="str">
        <f>'Giá tháng'!B$28</f>
        <v>A33.0240</v>
      </c>
      <c r="C916" s="14" t="str">
        <f>'Giá tháng'!C$28</f>
        <v>Mỡ bôi trơn</v>
      </c>
      <c r="D916" s="13" t="str">
        <f>'Giá tháng'!D$28</f>
        <v>kg</v>
      </c>
      <c r="E916" s="80">
        <f>HaoPhiVatTu!F$375</f>
        <v>6.6000000000000003E-2</v>
      </c>
      <c r="F916" s="15">
        <f>ROUND('Tổng hợp VT'!O$33,1)</f>
        <v>20000</v>
      </c>
      <c r="G916" s="81">
        <f>'Giá tháng'!G$28</f>
        <v>1</v>
      </c>
      <c r="H916" s="15">
        <f>ROUND(E916*F916*G916,1)</f>
        <v>1320</v>
      </c>
    </row>
    <row r="917" spans="1:8" ht="16.5" customHeight="1">
      <c r="A917" s="127"/>
      <c r="B917" s="13"/>
      <c r="C917" s="14" t="s">
        <v>776</v>
      </c>
      <c r="D917" s="13"/>
      <c r="E917" s="80"/>
      <c r="F917" s="15"/>
      <c r="G917" s="81"/>
      <c r="H917" s="15">
        <f>ROUND(SUM(H915:H916),1)</f>
        <v>121320</v>
      </c>
    </row>
    <row r="918" spans="1:8" ht="16.5" customHeight="1">
      <c r="A918" s="131"/>
      <c r="B918" s="91"/>
      <c r="C918" s="90" t="s">
        <v>678</v>
      </c>
      <c r="D918" s="91"/>
      <c r="E918" s="93"/>
      <c r="F918" s="132"/>
      <c r="G918" s="94"/>
      <c r="H918" s="132">
        <f>ROUND(H919,1)</f>
        <v>23580</v>
      </c>
    </row>
    <row r="919" spans="1:8" ht="16.5" customHeight="1">
      <c r="A919" s="127"/>
      <c r="B919" s="13" t="str">
        <f>'Giá tháng'!B$51</f>
        <v>N2.35</v>
      </c>
      <c r="C919" s="14" t="str">
        <f>'Giá tháng'!C$51</f>
        <v>Nhân công 3,5/7 - Nhóm 2</v>
      </c>
      <c r="D919" s="13" t="str">
        <f>'Giá tháng'!D$51</f>
        <v>công</v>
      </c>
      <c r="E919" s="80">
        <f>HaoPhiVatTu!G$377</f>
        <v>0.09</v>
      </c>
      <c r="F919" s="15">
        <f>ROUND('Tổng hợp VT'!O$59,1)</f>
        <v>262000</v>
      </c>
      <c r="G919" s="81">
        <f>'Giá tháng'!G$51</f>
        <v>1</v>
      </c>
      <c r="H919" s="15">
        <f>ROUND(E919*F919*G919,1)</f>
        <v>23580</v>
      </c>
    </row>
    <row r="920" spans="1:8" ht="27.75" customHeight="1">
      <c r="A920" s="238"/>
      <c r="B920" s="159"/>
      <c r="C920" s="158" t="s">
        <v>1085</v>
      </c>
      <c r="D920" s="159" t="s">
        <v>810</v>
      </c>
      <c r="E920" s="239"/>
      <c r="F920" s="162"/>
      <c r="G920" s="240"/>
      <c r="H920" s="162">
        <f>ROUND(H914+H918,1)</f>
        <v>144900</v>
      </c>
    </row>
    <row r="921" spans="1:8" ht="16.5" customHeight="1">
      <c r="A921" s="241"/>
      <c r="B921" s="147"/>
      <c r="C921" s="146" t="s">
        <v>812</v>
      </c>
      <c r="D921" s="147" t="str">
        <f>""</f>
        <v/>
      </c>
      <c r="E921" s="242"/>
      <c r="F921" s="150"/>
      <c r="G921" s="149"/>
      <c r="H921" s="150"/>
    </row>
    <row r="922" spans="1:8" ht="16.5" customHeight="1">
      <c r="A922" s="241"/>
      <c r="B922" s="147"/>
      <c r="C922" s="146" t="str">
        <f>"Chi phí chung ( T x "&amp;HSXL!C$14&amp;" )"</f>
        <v>Chi phí chung ( T x 6,2% )</v>
      </c>
      <c r="D922" s="147" t="s">
        <v>807</v>
      </c>
      <c r="E922" s="242" t="str">
        <f>HSXL!C$14</f>
        <v>6,2%</v>
      </c>
      <c r="F922" s="150"/>
      <c r="G922" s="149"/>
      <c r="H922" s="150">
        <f>ROUND(H920*HSXL!D$14,1)</f>
        <v>8983.7999999999993</v>
      </c>
    </row>
    <row r="923" spans="1:8" ht="27.75" customHeight="1">
      <c r="A923" s="241"/>
      <c r="B923" s="147"/>
      <c r="C923" s="146" t="str">
        <f>"Chi phí nhà tạm để ở và điều hành thi công ( T x "&amp;HSXL!C$18&amp;" )"</f>
        <v>Chi phí nhà tạm để ở và điều hành thi công ( T x 2,2% )</v>
      </c>
      <c r="D923" s="147" t="s">
        <v>815</v>
      </c>
      <c r="E923" s="242" t="str">
        <f>HSXL!C$18</f>
        <v>2,2%</v>
      </c>
      <c r="F923" s="150"/>
      <c r="G923" s="149"/>
      <c r="H923" s="150">
        <f>ROUND(H920*HSXL!D$18,1)</f>
        <v>3187.8</v>
      </c>
    </row>
    <row r="924" spans="1:8" ht="39.75" customHeight="1">
      <c r="A924" s="241"/>
      <c r="B924" s="147"/>
      <c r="C924" s="146" t="str">
        <f>"Chi phí một số công việc không xác định được khối lượng từ thiết kế ( T x "&amp;HSXL!C$13&amp;" )"</f>
        <v>Chi phí một số công việc không xác định được khối lượng từ thiết kế ( T x 2% )</v>
      </c>
      <c r="D924" s="147" t="s">
        <v>61</v>
      </c>
      <c r="E924" s="242" t="str">
        <f>HSXL!C$13</f>
        <v>2%</v>
      </c>
      <c r="F924" s="150"/>
      <c r="G924" s="149"/>
      <c r="H924" s="150">
        <f>ROUND(H920*HSXL!D$13,1)</f>
        <v>2898</v>
      </c>
    </row>
    <row r="925" spans="1:8" ht="27.75" customHeight="1">
      <c r="A925" s="238"/>
      <c r="B925" s="159"/>
      <c r="C925" s="158" t="s">
        <v>1086</v>
      </c>
      <c r="D925" s="159" t="s">
        <v>818</v>
      </c>
      <c r="E925" s="239"/>
      <c r="F925" s="162"/>
      <c r="G925" s="240"/>
      <c r="H925" s="162">
        <f>ROUND(SUM(H922:H924),1)</f>
        <v>15069.6</v>
      </c>
    </row>
    <row r="926" spans="1:8" ht="27.75" customHeight="1">
      <c r="A926" s="241"/>
      <c r="B926" s="147"/>
      <c r="C926" s="146" t="str">
        <f>"THU NHẬP CHỊU THUẾ TÍNH TRƯỚC (T+GT) x "&amp;HSXL!C$16</f>
        <v>THU NHẬP CHỊU THUẾ TÍNH TRƯỚC (T+GT) x 6%</v>
      </c>
      <c r="D926" s="147" t="s">
        <v>821</v>
      </c>
      <c r="E926" s="242" t="str">
        <f>HSXL!C$16</f>
        <v>6%</v>
      </c>
      <c r="F926" s="150"/>
      <c r="G926" s="149"/>
      <c r="H926" s="150">
        <f>ROUND((H920+H925)*HSXL!D$16,1)</f>
        <v>9598.2000000000007</v>
      </c>
    </row>
    <row r="927" spans="1:8" ht="27.75" customHeight="1">
      <c r="A927" s="241"/>
      <c r="B927" s="147"/>
      <c r="C927" s="146" t="s">
        <v>1087</v>
      </c>
      <c r="D927" s="147" t="s">
        <v>823</v>
      </c>
      <c r="E927" s="242"/>
      <c r="F927" s="150"/>
      <c r="G927" s="149"/>
      <c r="H927" s="150">
        <f>ROUND(H920+H925+H926,0)</f>
        <v>169568</v>
      </c>
    </row>
    <row r="928" spans="1:8" ht="27.75" customHeight="1">
      <c r="A928" s="241"/>
      <c r="B928" s="147"/>
      <c r="C928" s="146" t="str">
        <f>"THUẾ GIÁ TRỊ GIA TĂNG ( G x "&amp;HSXL!C$17&amp;" )"</f>
        <v>THUẾ GIÁ TRỊ GIA TĂNG ( G x 10% )</v>
      </c>
      <c r="D928" s="147" t="s">
        <v>827</v>
      </c>
      <c r="E928" s="164">
        <f>HSXL!D$17</f>
        <v>0.1</v>
      </c>
      <c r="F928" s="150"/>
      <c r="G928" s="149"/>
      <c r="H928" s="150">
        <f>ROUND(E928*H927,1)</f>
        <v>16956.8</v>
      </c>
    </row>
    <row r="929" spans="1:8" ht="27.75" customHeight="1">
      <c r="A929" s="243"/>
      <c r="B929" s="244"/>
      <c r="C929" s="245" t="s">
        <v>1088</v>
      </c>
      <c r="D929" s="244" t="s">
        <v>830</v>
      </c>
      <c r="E929" s="246"/>
      <c r="F929" s="247"/>
      <c r="G929" s="248"/>
      <c r="H929" s="249">
        <f>ROUND(H927+H928,0)</f>
        <v>186525</v>
      </c>
    </row>
    <row r="930" spans="1:8" ht="27.75" customHeight="1">
      <c r="A930" s="128">
        <f>'Công trình'!A120</f>
        <v>33</v>
      </c>
      <c r="B930" s="129" t="str">
        <f>'Công trình'!E120</f>
        <v>BB.13503</v>
      </c>
      <c r="C930" s="130" t="str">
        <f>'Công trình'!F120</f>
        <v>Nối ống bê tông bằng phương pháp xảm, đường kính 400mm</v>
      </c>
      <c r="D930" s="129" t="str">
        <f>'Công trình'!G120</f>
        <v>mối nối</v>
      </c>
      <c r="E930" s="237">
        <v>1</v>
      </c>
      <c r="F930" s="69"/>
      <c r="G930" s="68"/>
      <c r="H930" s="69"/>
    </row>
    <row r="931" spans="1:8" ht="16.5" customHeight="1">
      <c r="A931" s="131"/>
      <c r="B931" s="91"/>
      <c r="C931" s="90" t="s">
        <v>683</v>
      </c>
      <c r="D931" s="91"/>
      <c r="E931" s="93"/>
      <c r="F931" s="132"/>
      <c r="G931" s="94"/>
      <c r="H931" s="132">
        <f>ROUND(H935,1)</f>
        <v>7814.4</v>
      </c>
    </row>
    <row r="932" spans="1:8" ht="27.75" customHeight="1">
      <c r="A932" s="127"/>
      <c r="B932" s="13" t="str">
        <f>'Giá tháng'!B$45</f>
        <v>A24.0797A</v>
      </c>
      <c r="C932" s="14" t="str">
        <f>'Giá tháng'!C$45</f>
        <v>Xi măng PCB30</v>
      </c>
      <c r="D932" s="13" t="str">
        <f>'Giá tháng'!D$45</f>
        <v>kg</v>
      </c>
      <c r="E932" s="80">
        <f>HaoPhiVatTu!F$380</f>
        <v>3.0528</v>
      </c>
      <c r="F932" s="15">
        <f>ROUND('Tổng hợp VT'!O$49,1)</f>
        <v>1481</v>
      </c>
      <c r="G932" s="81">
        <f>'Giá tháng'!G$45</f>
        <v>1</v>
      </c>
      <c r="H932" s="15">
        <f>ROUND(E932*F932*G932,1)</f>
        <v>4521.2</v>
      </c>
    </row>
    <row r="933" spans="1:8" ht="16.5" customHeight="1">
      <c r="A933" s="127"/>
      <c r="B933" s="13" t="str">
        <f>'Giá tháng'!B$10</f>
        <v>A24.0180</v>
      </c>
      <c r="C933" s="14" t="str">
        <f>'Giá tháng'!C$10</f>
        <v>Cát vàng</v>
      </c>
      <c r="D933" s="13" t="str">
        <f>'Giá tháng'!D$10</f>
        <v>m3</v>
      </c>
      <c r="E933" s="80">
        <f>HaoPhiVatTu!F$381</f>
        <v>6.79E-3</v>
      </c>
      <c r="F933" s="15">
        <f>ROUND('Tổng hợp VT'!O$15,1)</f>
        <v>480000</v>
      </c>
      <c r="G933" s="81">
        <f>'Giá tháng'!G$10</f>
        <v>1</v>
      </c>
      <c r="H933" s="15">
        <f>ROUND(E933*F933*G933,1)</f>
        <v>3259.2</v>
      </c>
    </row>
    <row r="934" spans="1:8" ht="16.5" customHeight="1">
      <c r="A934" s="127"/>
      <c r="B934" s="13" t="str">
        <f>'Giá tháng'!B$31</f>
        <v>A24.0524</v>
      </c>
      <c r="C934" s="14" t="str">
        <f>'Giá tháng'!C$31</f>
        <v>Nước</v>
      </c>
      <c r="D934" s="13" t="str">
        <f>'Giá tháng'!D$31</f>
        <v>lít</v>
      </c>
      <c r="E934" s="80">
        <f>HaoPhiVatTu!F$382</f>
        <v>1.7023999999999999</v>
      </c>
      <c r="F934" s="15">
        <f>ROUND('Tổng hợp VT'!O$36,1)</f>
        <v>20</v>
      </c>
      <c r="G934" s="81">
        <f>'Giá tháng'!G$31</f>
        <v>1</v>
      </c>
      <c r="H934" s="15">
        <f>ROUND(E934*F934*G934,1)</f>
        <v>34</v>
      </c>
    </row>
    <row r="935" spans="1:8" ht="16.5" customHeight="1">
      <c r="A935" s="127"/>
      <c r="B935" s="13"/>
      <c r="C935" s="14" t="s">
        <v>776</v>
      </c>
      <c r="D935" s="13"/>
      <c r="E935" s="80"/>
      <c r="F935" s="15"/>
      <c r="G935" s="81"/>
      <c r="H935" s="15">
        <f>ROUND(SUM(H932:H934),1)</f>
        <v>7814.4</v>
      </c>
    </row>
    <row r="936" spans="1:8" ht="16.5" customHeight="1">
      <c r="A936" s="131"/>
      <c r="B936" s="91"/>
      <c r="C936" s="90" t="s">
        <v>678</v>
      </c>
      <c r="D936" s="91"/>
      <c r="E936" s="93"/>
      <c r="F936" s="132"/>
      <c r="G936" s="94"/>
      <c r="H936" s="132">
        <f>ROUND(H937,1)</f>
        <v>23580</v>
      </c>
    </row>
    <row r="937" spans="1:8" ht="16.5" customHeight="1">
      <c r="A937" s="127"/>
      <c r="B937" s="13" t="str">
        <f>'Giá tháng'!B$51</f>
        <v>N2.35</v>
      </c>
      <c r="C937" s="14" t="str">
        <f>'Giá tháng'!C$51</f>
        <v>Nhân công 3,5/7 - Nhóm 2</v>
      </c>
      <c r="D937" s="13" t="str">
        <f>'Giá tháng'!D$51</f>
        <v>công</v>
      </c>
      <c r="E937" s="80">
        <f>HaoPhiVatTu!G$384</f>
        <v>0.09</v>
      </c>
      <c r="F937" s="15">
        <f>ROUND('Tổng hợp VT'!O$59,1)</f>
        <v>262000</v>
      </c>
      <c r="G937" s="81">
        <f>'Giá tháng'!G$51</f>
        <v>1</v>
      </c>
      <c r="H937" s="15">
        <f>ROUND(E937*F937*G937,1)</f>
        <v>23580</v>
      </c>
    </row>
    <row r="938" spans="1:8" ht="27.75" customHeight="1">
      <c r="A938" s="238"/>
      <c r="B938" s="159"/>
      <c r="C938" s="158" t="s">
        <v>1085</v>
      </c>
      <c r="D938" s="159" t="s">
        <v>810</v>
      </c>
      <c r="E938" s="239"/>
      <c r="F938" s="162"/>
      <c r="G938" s="240"/>
      <c r="H938" s="162">
        <f>ROUND(H931+H936,1)</f>
        <v>31394.400000000001</v>
      </c>
    </row>
    <row r="939" spans="1:8" ht="16.5" customHeight="1">
      <c r="A939" s="241"/>
      <c r="B939" s="147"/>
      <c r="C939" s="146" t="s">
        <v>812</v>
      </c>
      <c r="D939" s="147" t="str">
        <f>""</f>
        <v/>
      </c>
      <c r="E939" s="242"/>
      <c r="F939" s="150"/>
      <c r="G939" s="149"/>
      <c r="H939" s="150"/>
    </row>
    <row r="940" spans="1:8" ht="16.5" customHeight="1">
      <c r="A940" s="241"/>
      <c r="B940" s="147"/>
      <c r="C940" s="146" t="str">
        <f>"Chi phí chung ( T x "&amp;HSXL!C$14&amp;" )"</f>
        <v>Chi phí chung ( T x 6,2% )</v>
      </c>
      <c r="D940" s="147" t="s">
        <v>807</v>
      </c>
      <c r="E940" s="242" t="str">
        <f>HSXL!C$14</f>
        <v>6,2%</v>
      </c>
      <c r="F940" s="150"/>
      <c r="G940" s="149"/>
      <c r="H940" s="150">
        <f>ROUND(H938*HSXL!D$14,1)</f>
        <v>1946.5</v>
      </c>
    </row>
    <row r="941" spans="1:8" ht="27.75" customHeight="1">
      <c r="A941" s="241"/>
      <c r="B941" s="147"/>
      <c r="C941" s="146" t="str">
        <f>"Chi phí nhà tạm để ở và điều hành thi công ( T x "&amp;HSXL!C$18&amp;" )"</f>
        <v>Chi phí nhà tạm để ở và điều hành thi công ( T x 2,2% )</v>
      </c>
      <c r="D941" s="147" t="s">
        <v>815</v>
      </c>
      <c r="E941" s="242" t="str">
        <f>HSXL!C$18</f>
        <v>2,2%</v>
      </c>
      <c r="F941" s="150"/>
      <c r="G941" s="149"/>
      <c r="H941" s="150">
        <f>ROUND(H938*HSXL!D$18,1)</f>
        <v>690.7</v>
      </c>
    </row>
    <row r="942" spans="1:8" ht="39.75" customHeight="1">
      <c r="A942" s="241"/>
      <c r="B942" s="147"/>
      <c r="C942" s="146" t="str">
        <f>"Chi phí một số công việc không xác định được khối lượng từ thiết kế ( T x "&amp;HSXL!C$13&amp;" )"</f>
        <v>Chi phí một số công việc không xác định được khối lượng từ thiết kế ( T x 2% )</v>
      </c>
      <c r="D942" s="147" t="s">
        <v>61</v>
      </c>
      <c r="E942" s="242" t="str">
        <f>HSXL!C$13</f>
        <v>2%</v>
      </c>
      <c r="F942" s="150"/>
      <c r="G942" s="149"/>
      <c r="H942" s="150">
        <f>ROUND(H938*HSXL!D$13,1)</f>
        <v>627.9</v>
      </c>
    </row>
    <row r="943" spans="1:8" ht="27.75" customHeight="1">
      <c r="A943" s="238"/>
      <c r="B943" s="159"/>
      <c r="C943" s="158" t="s">
        <v>1086</v>
      </c>
      <c r="D943" s="159" t="s">
        <v>818</v>
      </c>
      <c r="E943" s="239"/>
      <c r="F943" s="162"/>
      <c r="G943" s="240"/>
      <c r="H943" s="162">
        <f>ROUND(SUM(H940:H942),1)</f>
        <v>3265.1</v>
      </c>
    </row>
    <row r="944" spans="1:8" ht="27.75" customHeight="1">
      <c r="A944" s="241"/>
      <c r="B944" s="147"/>
      <c r="C944" s="146" t="str">
        <f>"THU NHẬP CHỊU THUẾ TÍNH TRƯỚC (T+GT) x "&amp;HSXL!C$16</f>
        <v>THU NHẬP CHỊU THUẾ TÍNH TRƯỚC (T+GT) x 6%</v>
      </c>
      <c r="D944" s="147" t="s">
        <v>821</v>
      </c>
      <c r="E944" s="242" t="str">
        <f>HSXL!C$16</f>
        <v>6%</v>
      </c>
      <c r="F944" s="150"/>
      <c r="G944" s="149"/>
      <c r="H944" s="150">
        <f>ROUND((H938+H943)*HSXL!D$16,1)</f>
        <v>2079.6</v>
      </c>
    </row>
    <row r="945" spans="1:8" ht="27.75" customHeight="1">
      <c r="A945" s="241"/>
      <c r="B945" s="147"/>
      <c r="C945" s="146" t="s">
        <v>1087</v>
      </c>
      <c r="D945" s="147" t="s">
        <v>823</v>
      </c>
      <c r="E945" s="242"/>
      <c r="F945" s="150"/>
      <c r="G945" s="149"/>
      <c r="H945" s="150">
        <f>ROUND(H938+H943+H944,0)</f>
        <v>36739</v>
      </c>
    </row>
    <row r="946" spans="1:8" ht="27.75" customHeight="1">
      <c r="A946" s="241"/>
      <c r="B946" s="147"/>
      <c r="C946" s="146" t="str">
        <f>"THUẾ GIÁ TRỊ GIA TĂNG ( G x "&amp;HSXL!C$17&amp;" )"</f>
        <v>THUẾ GIÁ TRỊ GIA TĂNG ( G x 10% )</v>
      </c>
      <c r="D946" s="147" t="s">
        <v>827</v>
      </c>
      <c r="E946" s="164">
        <f>HSXL!D$17</f>
        <v>0.1</v>
      </c>
      <c r="F946" s="150"/>
      <c r="G946" s="149"/>
      <c r="H946" s="150">
        <f>ROUND(E946*H945,1)</f>
        <v>3673.9</v>
      </c>
    </row>
    <row r="947" spans="1:8" ht="27.75" customHeight="1">
      <c r="A947" s="243"/>
      <c r="B947" s="244"/>
      <c r="C947" s="245" t="s">
        <v>1088</v>
      </c>
      <c r="D947" s="244" t="s">
        <v>830</v>
      </c>
      <c r="E947" s="246"/>
      <c r="F947" s="247"/>
      <c r="G947" s="248"/>
      <c r="H947" s="249">
        <f>ROUND(H945+H946,0)</f>
        <v>40413</v>
      </c>
    </row>
    <row r="948" spans="1:8" ht="27.75" customHeight="1">
      <c r="A948" s="128">
        <f>'Công trình'!A123</f>
        <v>34</v>
      </c>
      <c r="B948" s="129" t="str">
        <f>'Công trình'!E123</f>
        <v>AB.63111</v>
      </c>
      <c r="C948" s="130" t="str">
        <f>'Công trình'!F123</f>
        <v>Đắp đất núi bờ quây, dụng trọng 1.5T/m3</v>
      </c>
      <c r="D948" s="129" t="str">
        <f>'Công trình'!G123</f>
        <v>100m3</v>
      </c>
      <c r="E948" s="237">
        <v>1</v>
      </c>
      <c r="F948" s="69"/>
      <c r="G948" s="68"/>
      <c r="H948" s="69"/>
    </row>
    <row r="949" spans="1:8" ht="16.5" customHeight="1">
      <c r="A949" s="131"/>
      <c r="B949" s="91"/>
      <c r="C949" s="90" t="s">
        <v>678</v>
      </c>
      <c r="D949" s="91"/>
      <c r="E949" s="93"/>
      <c r="F949" s="132"/>
      <c r="G949" s="94"/>
      <c r="H949" s="132">
        <f>ROUND(H950,1)</f>
        <v>219090</v>
      </c>
    </row>
    <row r="950" spans="1:8" ht="16.5" customHeight="1">
      <c r="A950" s="127"/>
      <c r="B950" s="13" t="str">
        <f>'Giá tháng'!B$48</f>
        <v>N1.30</v>
      </c>
      <c r="C950" s="14" t="str">
        <f>'Giá tháng'!C$48</f>
        <v>Nhân công 3,0/7 - Nhóm 1</v>
      </c>
      <c r="D950" s="13" t="str">
        <f>'Giá tháng'!D$48</f>
        <v>công</v>
      </c>
      <c r="E950" s="80">
        <f>HaoPhiVatTu!G$387</f>
        <v>0.99</v>
      </c>
      <c r="F950" s="15">
        <f>ROUND('Tổng hợp VT'!O$56,1)</f>
        <v>221303</v>
      </c>
      <c r="G950" s="81">
        <f>'Giá tháng'!G$48</f>
        <v>1</v>
      </c>
      <c r="H950" s="15">
        <f>ROUND(E950*F950*G950,1)</f>
        <v>219090</v>
      </c>
    </row>
    <row r="951" spans="1:8" ht="16.5" customHeight="1">
      <c r="A951" s="131"/>
      <c r="B951" s="91"/>
      <c r="C951" s="90" t="s">
        <v>679</v>
      </c>
      <c r="D951" s="91"/>
      <c r="E951" s="93"/>
      <c r="F951" s="132"/>
      <c r="G951" s="94"/>
      <c r="H951" s="132">
        <f>ROUND(H954,1)</f>
        <v>463189.1</v>
      </c>
    </row>
    <row r="952" spans="1:8" ht="27.75" customHeight="1">
      <c r="A952" s="127"/>
      <c r="B952" s="13" t="str">
        <f>'Giá tháng'!B$69</f>
        <v>M101.1102</v>
      </c>
      <c r="C952" s="14" t="str">
        <f>'Giá tháng'!C$69</f>
        <v>Máy lu bánh thép tự hành - trọng lượng tĩnh : 8,5 T - 9 T</v>
      </c>
      <c r="D952" s="13" t="str">
        <f>'Giá tháng'!D$69</f>
        <v>ca</v>
      </c>
      <c r="E952" s="80">
        <f>HaoPhiVatTu!H$389</f>
        <v>0.21</v>
      </c>
      <c r="F952" s="15">
        <f>ROUND('Tổng hợp VT'!O$78,1)</f>
        <v>1160162</v>
      </c>
      <c r="G952" s="81">
        <f>'Giá tháng'!G$69</f>
        <v>1</v>
      </c>
      <c r="H952" s="15">
        <f>ROUND(E952*F952*G952,1)</f>
        <v>243634</v>
      </c>
    </row>
    <row r="953" spans="1:8" ht="27.75" customHeight="1">
      <c r="A953" s="127"/>
      <c r="B953" s="13" t="str">
        <f>'Giá tháng'!B$76</f>
        <v>M101.0503</v>
      </c>
      <c r="C953" s="14" t="str">
        <f>'Giá tháng'!C$76</f>
        <v>Máy ủi - công suất : 110,0 CV</v>
      </c>
      <c r="D953" s="13" t="str">
        <f>'Giá tháng'!D$76</f>
        <v>ca</v>
      </c>
      <c r="E953" s="80">
        <f>HaoPhiVatTu!H$390</f>
        <v>0.104</v>
      </c>
      <c r="F953" s="15">
        <f>ROUND('Tổng hợp VT'!O$85,1)</f>
        <v>2111107</v>
      </c>
      <c r="G953" s="81">
        <f>'Giá tháng'!G$76</f>
        <v>1</v>
      </c>
      <c r="H953" s="15">
        <f>ROUND(E953*F953*G953,1)</f>
        <v>219555.1</v>
      </c>
    </row>
    <row r="954" spans="1:8" ht="16.5" customHeight="1">
      <c r="A954" s="127"/>
      <c r="B954" s="13"/>
      <c r="C954" s="14" t="s">
        <v>776</v>
      </c>
      <c r="D954" s="13"/>
      <c r="E954" s="19"/>
      <c r="F954" s="15"/>
      <c r="G954" s="18"/>
      <c r="H954" s="15">
        <f>ROUND(SUM(H952:H953),1)</f>
        <v>463189.1</v>
      </c>
    </row>
    <row r="955" spans="1:8" ht="27.75" customHeight="1">
      <c r="A955" s="238"/>
      <c r="B955" s="159"/>
      <c r="C955" s="158" t="s">
        <v>1085</v>
      </c>
      <c r="D955" s="159" t="s">
        <v>810</v>
      </c>
      <c r="E955" s="239"/>
      <c r="F955" s="162"/>
      <c r="G955" s="240"/>
      <c r="H955" s="162">
        <f>ROUND(+H949+H951,1)</f>
        <v>682279.1</v>
      </c>
    </row>
    <row r="956" spans="1:8" ht="16.5" customHeight="1">
      <c r="A956" s="241"/>
      <c r="B956" s="147"/>
      <c r="C956" s="146" t="s">
        <v>812</v>
      </c>
      <c r="D956" s="147" t="str">
        <f>""</f>
        <v/>
      </c>
      <c r="E956" s="242"/>
      <c r="F956" s="150"/>
      <c r="G956" s="149"/>
      <c r="H956" s="150"/>
    </row>
    <row r="957" spans="1:8" ht="16.5" customHeight="1">
      <c r="A957" s="241"/>
      <c r="B957" s="147"/>
      <c r="C957" s="146" t="str">
        <f>"Chi phí chung ( T x "&amp;HSXL!C$14&amp;" )"</f>
        <v>Chi phí chung ( T x 6,2% )</v>
      </c>
      <c r="D957" s="147" t="s">
        <v>807</v>
      </c>
      <c r="E957" s="242" t="str">
        <f>HSXL!C$14</f>
        <v>6,2%</v>
      </c>
      <c r="F957" s="150"/>
      <c r="G957" s="149"/>
      <c r="H957" s="150">
        <f>ROUND(H955*HSXL!D$14,1)</f>
        <v>42301.3</v>
      </c>
    </row>
    <row r="958" spans="1:8" ht="27.75" customHeight="1">
      <c r="A958" s="241"/>
      <c r="B958" s="147"/>
      <c r="C958" s="146" t="str">
        <f>"Chi phí nhà tạm để ở và điều hành thi công ( T x "&amp;HSXL!C$18&amp;" )"</f>
        <v>Chi phí nhà tạm để ở và điều hành thi công ( T x 2,2% )</v>
      </c>
      <c r="D958" s="147" t="s">
        <v>815</v>
      </c>
      <c r="E958" s="242" t="str">
        <f>HSXL!C$18</f>
        <v>2,2%</v>
      </c>
      <c r="F958" s="150"/>
      <c r="G958" s="149"/>
      <c r="H958" s="150">
        <f>ROUND(H955*HSXL!D$18,1)</f>
        <v>15010.1</v>
      </c>
    </row>
    <row r="959" spans="1:8" ht="39.75" customHeight="1">
      <c r="A959" s="241"/>
      <c r="B959" s="147"/>
      <c r="C959" s="146" t="str">
        <f>"Chi phí một số công việc không xác định được khối lượng từ thiết kế ( T x "&amp;HSXL!C$13&amp;" )"</f>
        <v>Chi phí một số công việc không xác định được khối lượng từ thiết kế ( T x 2% )</v>
      </c>
      <c r="D959" s="147" t="s">
        <v>61</v>
      </c>
      <c r="E959" s="242" t="str">
        <f>HSXL!C$13</f>
        <v>2%</v>
      </c>
      <c r="F959" s="150"/>
      <c r="G959" s="149"/>
      <c r="H959" s="150">
        <f>ROUND(H955*HSXL!D$13,1)</f>
        <v>13645.6</v>
      </c>
    </row>
    <row r="960" spans="1:8" ht="27.75" customHeight="1">
      <c r="A960" s="238"/>
      <c r="B960" s="159"/>
      <c r="C960" s="158" t="s">
        <v>1086</v>
      </c>
      <c r="D960" s="159" t="s">
        <v>818</v>
      </c>
      <c r="E960" s="239"/>
      <c r="F960" s="162"/>
      <c r="G960" s="240"/>
      <c r="H960" s="162">
        <f>ROUND(SUM(H957:H959),1)</f>
        <v>70957</v>
      </c>
    </row>
    <row r="961" spans="1:8" ht="27.75" customHeight="1">
      <c r="A961" s="241"/>
      <c r="B961" s="147"/>
      <c r="C961" s="146" t="str">
        <f>"THU NHẬP CHỊU THUẾ TÍNH TRƯỚC (T+GT) x "&amp;HSXL!C$16</f>
        <v>THU NHẬP CHỊU THUẾ TÍNH TRƯỚC (T+GT) x 6%</v>
      </c>
      <c r="D961" s="147" t="s">
        <v>821</v>
      </c>
      <c r="E961" s="242" t="str">
        <f>HSXL!C$16</f>
        <v>6%</v>
      </c>
      <c r="F961" s="150"/>
      <c r="G961" s="149"/>
      <c r="H961" s="150">
        <f>ROUND((H955+H960)*HSXL!D$16,1)</f>
        <v>45194.2</v>
      </c>
    </row>
    <row r="962" spans="1:8" ht="27.75" customHeight="1">
      <c r="A962" s="241"/>
      <c r="B962" s="147"/>
      <c r="C962" s="146" t="s">
        <v>1087</v>
      </c>
      <c r="D962" s="147" t="s">
        <v>823</v>
      </c>
      <c r="E962" s="242"/>
      <c r="F962" s="150"/>
      <c r="G962" s="149"/>
      <c r="H962" s="150">
        <f>ROUND(H955+H960+H961,0)</f>
        <v>798430</v>
      </c>
    </row>
    <row r="963" spans="1:8" ht="27.75" customHeight="1">
      <c r="A963" s="241"/>
      <c r="B963" s="147"/>
      <c r="C963" s="146" t="str">
        <f>"THUẾ GIÁ TRỊ GIA TĂNG ( G x "&amp;HSXL!C$17&amp;" )"</f>
        <v>THUẾ GIÁ TRỊ GIA TĂNG ( G x 10% )</v>
      </c>
      <c r="D963" s="147" t="s">
        <v>827</v>
      </c>
      <c r="E963" s="164">
        <f>HSXL!D$17</f>
        <v>0.1</v>
      </c>
      <c r="F963" s="150"/>
      <c r="G963" s="149"/>
      <c r="H963" s="150">
        <f>ROUND(E963*H962,1)</f>
        <v>79843</v>
      </c>
    </row>
    <row r="964" spans="1:8" ht="27.75" customHeight="1">
      <c r="A964" s="243"/>
      <c r="B964" s="244"/>
      <c r="C964" s="245" t="s">
        <v>1088</v>
      </c>
      <c r="D964" s="244" t="s">
        <v>830</v>
      </c>
      <c r="E964" s="246"/>
      <c r="F964" s="247"/>
      <c r="G964" s="248"/>
      <c r="H964" s="249">
        <f>ROUND(H962+H963,0)</f>
        <v>878273</v>
      </c>
    </row>
    <row r="965" spans="1:8" ht="16.5" customHeight="1">
      <c r="A965" s="128">
        <f>'Công trình'!A125</f>
        <v>35</v>
      </c>
      <c r="B965" s="129" t="str">
        <f>'Công trình'!E125</f>
        <v>TT</v>
      </c>
      <c r="C965" s="130" t="str">
        <f>'Công trình'!F125</f>
        <v>Tiền đất núi đắp bờ quây</v>
      </c>
      <c r="D965" s="129" t="str">
        <f>'Công trình'!G125</f>
        <v>m3</v>
      </c>
      <c r="E965" s="237">
        <v>1</v>
      </c>
      <c r="F965" s="69"/>
      <c r="G965" s="68"/>
      <c r="H965" s="69"/>
    </row>
    <row r="966" spans="1:8" ht="16.5" customHeight="1">
      <c r="A966" s="131"/>
      <c r="B966" s="91"/>
      <c r="C966" s="90" t="s">
        <v>683</v>
      </c>
      <c r="D966" s="91"/>
      <c r="E966" s="93"/>
      <c r="F966" s="132"/>
      <c r="G966" s="94"/>
      <c r="H966" s="132">
        <f>ROUND(H967,1)</f>
        <v>190000</v>
      </c>
    </row>
    <row r="967" spans="1:8" ht="16.5" customHeight="1">
      <c r="A967" s="127"/>
      <c r="B967" s="13" t="str">
        <f>""</f>
        <v/>
      </c>
      <c r="C967" s="14" t="s">
        <v>27</v>
      </c>
      <c r="D967" s="13" t="str">
        <f>""</f>
        <v/>
      </c>
      <c r="E967" s="80">
        <v>1</v>
      </c>
      <c r="F967" s="15">
        <f>ROUND('Tổng hợp VT'!O9,1)</f>
        <v>190000</v>
      </c>
      <c r="G967" s="81"/>
      <c r="H967" s="15">
        <f>ROUND(E967*F967,1)</f>
        <v>190000</v>
      </c>
    </row>
    <row r="968" spans="1:8" ht="27.75" customHeight="1">
      <c r="A968" s="238"/>
      <c r="B968" s="159"/>
      <c r="C968" s="158" t="s">
        <v>1085</v>
      </c>
      <c r="D968" s="159" t="s">
        <v>810</v>
      </c>
      <c r="E968" s="239"/>
      <c r="F968" s="162"/>
      <c r="G968" s="240"/>
      <c r="H968" s="162">
        <f>ROUND(H966,1)</f>
        <v>190000</v>
      </c>
    </row>
    <row r="969" spans="1:8" ht="16.5" customHeight="1">
      <c r="A969" s="241"/>
      <c r="B969" s="147"/>
      <c r="C969" s="146" t="s">
        <v>812</v>
      </c>
      <c r="D969" s="147" t="str">
        <f>""</f>
        <v/>
      </c>
      <c r="E969" s="242"/>
      <c r="F969" s="150"/>
      <c r="G969" s="149"/>
      <c r="H969" s="150"/>
    </row>
    <row r="970" spans="1:8" ht="16.5" customHeight="1">
      <c r="A970" s="241"/>
      <c r="B970" s="147"/>
      <c r="C970" s="146" t="str">
        <f>"Chi phí chung ( T x "&amp;HSXL!C$14&amp;" )"</f>
        <v>Chi phí chung ( T x 6,2% )</v>
      </c>
      <c r="D970" s="147" t="s">
        <v>807</v>
      </c>
      <c r="E970" s="242" t="str">
        <f>HSXL!C$14</f>
        <v>6,2%</v>
      </c>
      <c r="F970" s="150"/>
      <c r="G970" s="149"/>
      <c r="H970" s="150">
        <f>ROUND(H968*HSXL!D$14,1)</f>
        <v>11780</v>
      </c>
    </row>
    <row r="971" spans="1:8" ht="27.75" customHeight="1">
      <c r="A971" s="241"/>
      <c r="B971" s="147"/>
      <c r="C971" s="146" t="str">
        <f>"Chi phí nhà tạm để ở và điều hành thi công ( T x "&amp;HSXL!C$18&amp;" )"</f>
        <v>Chi phí nhà tạm để ở và điều hành thi công ( T x 2,2% )</v>
      </c>
      <c r="D971" s="147" t="s">
        <v>815</v>
      </c>
      <c r="E971" s="242" t="str">
        <f>HSXL!C$18</f>
        <v>2,2%</v>
      </c>
      <c r="F971" s="150"/>
      <c r="G971" s="149"/>
      <c r="H971" s="150">
        <f>ROUND(H968*HSXL!D$18,1)</f>
        <v>4180</v>
      </c>
    </row>
    <row r="972" spans="1:8" ht="39.75" customHeight="1">
      <c r="A972" s="241"/>
      <c r="B972" s="147"/>
      <c r="C972" s="146" t="str">
        <f>"Chi phí một số công việc không xác định được khối lượng từ thiết kế ( T x "&amp;HSXL!C$13&amp;" )"</f>
        <v>Chi phí một số công việc không xác định được khối lượng từ thiết kế ( T x 2% )</v>
      </c>
      <c r="D972" s="147" t="s">
        <v>61</v>
      </c>
      <c r="E972" s="242" t="str">
        <f>HSXL!C$13</f>
        <v>2%</v>
      </c>
      <c r="F972" s="150"/>
      <c r="G972" s="149"/>
      <c r="H972" s="150">
        <f>ROUND(H968*HSXL!D$13,1)</f>
        <v>3800</v>
      </c>
    </row>
    <row r="973" spans="1:8" ht="27.75" customHeight="1">
      <c r="A973" s="238"/>
      <c r="B973" s="159"/>
      <c r="C973" s="158" t="s">
        <v>1086</v>
      </c>
      <c r="D973" s="159" t="s">
        <v>818</v>
      </c>
      <c r="E973" s="239"/>
      <c r="F973" s="162"/>
      <c r="G973" s="240"/>
      <c r="H973" s="162">
        <f>ROUND(SUM(H970:H972),1)</f>
        <v>19760</v>
      </c>
    </row>
    <row r="974" spans="1:8" ht="27.75" customHeight="1">
      <c r="A974" s="241"/>
      <c r="B974" s="147"/>
      <c r="C974" s="146" t="str">
        <f>"THU NHẬP CHỊU THUẾ TÍNH TRƯỚC (T+GT) x "&amp;HSXL!C$16</f>
        <v>THU NHẬP CHỊU THUẾ TÍNH TRƯỚC (T+GT) x 6%</v>
      </c>
      <c r="D974" s="147" t="s">
        <v>821</v>
      </c>
      <c r="E974" s="242" t="str">
        <f>HSXL!C$16</f>
        <v>6%</v>
      </c>
      <c r="F974" s="150"/>
      <c r="G974" s="149"/>
      <c r="H974" s="150">
        <f>ROUND((H968+H973)*HSXL!D$16,1)</f>
        <v>12585.6</v>
      </c>
    </row>
    <row r="975" spans="1:8" ht="27.75" customHeight="1">
      <c r="A975" s="241"/>
      <c r="B975" s="147"/>
      <c r="C975" s="146" t="s">
        <v>1087</v>
      </c>
      <c r="D975" s="147" t="s">
        <v>823</v>
      </c>
      <c r="E975" s="242"/>
      <c r="F975" s="150"/>
      <c r="G975" s="149"/>
      <c r="H975" s="150">
        <f>ROUND(H968+H973+H974,0)</f>
        <v>222346</v>
      </c>
    </row>
    <row r="976" spans="1:8" ht="27.75" customHeight="1">
      <c r="A976" s="241"/>
      <c r="B976" s="147"/>
      <c r="C976" s="146" t="str">
        <f>"THUẾ GIÁ TRỊ GIA TĂNG ( G x "&amp;HSXL!C$17&amp;" )"</f>
        <v>THUẾ GIÁ TRỊ GIA TĂNG ( G x 10% )</v>
      </c>
      <c r="D976" s="147" t="s">
        <v>827</v>
      </c>
      <c r="E976" s="164">
        <f>HSXL!D$17</f>
        <v>0.1</v>
      </c>
      <c r="F976" s="150"/>
      <c r="G976" s="149"/>
      <c r="H976" s="150">
        <f>ROUND(E976*H975,1)</f>
        <v>22234.6</v>
      </c>
    </row>
    <row r="977" spans="1:8" ht="27.75" customHeight="1">
      <c r="A977" s="243"/>
      <c r="B977" s="244"/>
      <c r="C977" s="245" t="s">
        <v>1088</v>
      </c>
      <c r="D977" s="244" t="s">
        <v>830</v>
      </c>
      <c r="E977" s="246"/>
      <c r="F977" s="247"/>
      <c r="G977" s="248"/>
      <c r="H977" s="249">
        <f>ROUND(H975+H976,0)</f>
        <v>244581</v>
      </c>
    </row>
    <row r="978" spans="1:8" ht="16.5" customHeight="1">
      <c r="A978" s="128">
        <f>'Công trình'!A127</f>
        <v>36</v>
      </c>
      <c r="B978" s="129" t="str">
        <f>'Công trình'!E127</f>
        <v>AC.12121</v>
      </c>
      <c r="C978" s="130" t="str">
        <f>'Công trình'!F127</f>
        <v>Cọc tre D60-80; L=2.8m</v>
      </c>
      <c r="D978" s="129" t="str">
        <f>'Công trình'!G127</f>
        <v>100m</v>
      </c>
      <c r="E978" s="237">
        <v>1</v>
      </c>
      <c r="F978" s="69"/>
      <c r="G978" s="68"/>
      <c r="H978" s="69"/>
    </row>
    <row r="979" spans="1:8" ht="16.5" customHeight="1">
      <c r="A979" s="131"/>
      <c r="B979" s="91"/>
      <c r="C979" s="90" t="s">
        <v>683</v>
      </c>
      <c r="D979" s="91"/>
      <c r="E979" s="93"/>
      <c r="F979" s="132"/>
      <c r="G979" s="94"/>
      <c r="H979" s="132">
        <f>ROUND(H980,1)</f>
        <v>546000</v>
      </c>
    </row>
    <row r="980" spans="1:8" ht="16.5" customHeight="1">
      <c r="A980" s="127"/>
      <c r="B980" s="13" t="str">
        <f>'Giá tháng'!B$13</f>
        <v>A24.0227</v>
      </c>
      <c r="C980" s="14" t="str">
        <f>'Giá tháng'!C$13</f>
        <v>Cọc tre &gt;2,5m</v>
      </c>
      <c r="D980" s="13" t="str">
        <f>'Giá tháng'!D$13</f>
        <v>m</v>
      </c>
      <c r="E980" s="80">
        <f>HaoPhiVatTu!F$393</f>
        <v>105</v>
      </c>
      <c r="F980" s="15">
        <f>ROUND('Tổng hợp VT'!O$18,1)</f>
        <v>5200</v>
      </c>
      <c r="G980" s="81">
        <f>'Giá tháng'!G$13</f>
        <v>1</v>
      </c>
      <c r="H980" s="15">
        <f>ROUND(E980*F980*G980,1)</f>
        <v>546000</v>
      </c>
    </row>
    <row r="981" spans="1:8" ht="16.5" customHeight="1">
      <c r="A981" s="131"/>
      <c r="B981" s="91"/>
      <c r="C981" s="90" t="s">
        <v>678</v>
      </c>
      <c r="D981" s="91"/>
      <c r="E981" s="93"/>
      <c r="F981" s="132"/>
      <c r="G981" s="94"/>
      <c r="H981" s="132">
        <f>ROUND(H982,1)</f>
        <v>79065.399999999994</v>
      </c>
    </row>
    <row r="982" spans="1:8" ht="16.5" customHeight="1">
      <c r="A982" s="127"/>
      <c r="B982" s="13" t="str">
        <f>'Giá tháng'!B$49</f>
        <v>N2.30</v>
      </c>
      <c r="C982" s="14" t="str">
        <f>'Giá tháng'!C$49</f>
        <v>Nhân công 3,0/7 - Nhóm 2</v>
      </c>
      <c r="D982" s="13" t="str">
        <f>'Giá tháng'!D$49</f>
        <v>công</v>
      </c>
      <c r="E982" s="80">
        <f>HaoPhiVatTu!G$395</f>
        <v>0.33</v>
      </c>
      <c r="F982" s="15">
        <f>ROUND('Tổng hợp VT'!O$57,1)</f>
        <v>239592</v>
      </c>
      <c r="G982" s="81">
        <f>'Giá tháng'!G$49</f>
        <v>1</v>
      </c>
      <c r="H982" s="15">
        <f>ROUND(E982*F982*G982,1)</f>
        <v>79065.399999999994</v>
      </c>
    </row>
    <row r="983" spans="1:8" ht="16.5" customHeight="1">
      <c r="A983" s="131"/>
      <c r="B983" s="91"/>
      <c r="C983" s="90" t="s">
        <v>679</v>
      </c>
      <c r="D983" s="91"/>
      <c r="E983" s="93"/>
      <c r="F983" s="132"/>
      <c r="G983" s="94"/>
      <c r="H983" s="132">
        <f>ROUND(H984,1)</f>
        <v>235886.2</v>
      </c>
    </row>
    <row r="984" spans="1:8" ht="27.75" customHeight="1">
      <c r="A984" s="127"/>
      <c r="B984" s="13" t="str">
        <f>'Giá tháng'!B$59</f>
        <v>M101.0102</v>
      </c>
      <c r="C984" s="14" t="str">
        <f>'Giá tháng'!C$59</f>
        <v>Máy đào một gầu, bánh xích - dung tích gầu : 0,50 m3</v>
      </c>
      <c r="D984" s="13" t="str">
        <f>'Giá tháng'!D$59</f>
        <v>ca</v>
      </c>
      <c r="E984" s="80">
        <f>HaoPhiVatTu!H$397</f>
        <v>9.8000000000000004E-2</v>
      </c>
      <c r="F984" s="15">
        <f>ROUND('Tổng hợp VT'!O$68,1)</f>
        <v>2407002</v>
      </c>
      <c r="G984" s="81">
        <f>'Giá tháng'!G$59</f>
        <v>1</v>
      </c>
      <c r="H984" s="15">
        <f>ROUND(E984*F984*G984,1)</f>
        <v>235886.2</v>
      </c>
    </row>
    <row r="985" spans="1:8" ht="27.75" customHeight="1">
      <c r="A985" s="238"/>
      <c r="B985" s="159"/>
      <c r="C985" s="158" t="s">
        <v>1085</v>
      </c>
      <c r="D985" s="159" t="s">
        <v>810</v>
      </c>
      <c r="E985" s="239"/>
      <c r="F985" s="162"/>
      <c r="G985" s="240"/>
      <c r="H985" s="162">
        <f>ROUND(H979+H981+H983,1)</f>
        <v>860951.6</v>
      </c>
    </row>
    <row r="986" spans="1:8" ht="16.5" customHeight="1">
      <c r="A986" s="241"/>
      <c r="B986" s="147"/>
      <c r="C986" s="146" t="s">
        <v>812</v>
      </c>
      <c r="D986" s="147" t="str">
        <f>""</f>
        <v/>
      </c>
      <c r="E986" s="242"/>
      <c r="F986" s="150"/>
      <c r="G986" s="149"/>
      <c r="H986" s="150"/>
    </row>
    <row r="987" spans="1:8" ht="16.5" customHeight="1">
      <c r="A987" s="241"/>
      <c r="B987" s="147"/>
      <c r="C987" s="146" t="str">
        <f>"Chi phí chung ( T x "&amp;HSXL!C$14&amp;" )"</f>
        <v>Chi phí chung ( T x 6,2% )</v>
      </c>
      <c r="D987" s="147" t="s">
        <v>807</v>
      </c>
      <c r="E987" s="242" t="str">
        <f>HSXL!C$14</f>
        <v>6,2%</v>
      </c>
      <c r="F987" s="150"/>
      <c r="G987" s="149"/>
      <c r="H987" s="150">
        <f>ROUND(H985*HSXL!D$14,1)</f>
        <v>53379</v>
      </c>
    </row>
    <row r="988" spans="1:8" ht="27.75" customHeight="1">
      <c r="A988" s="241"/>
      <c r="B988" s="147"/>
      <c r="C988" s="146" t="str">
        <f>"Chi phí nhà tạm để ở và điều hành thi công ( T x "&amp;HSXL!C$18&amp;" )"</f>
        <v>Chi phí nhà tạm để ở và điều hành thi công ( T x 2,2% )</v>
      </c>
      <c r="D988" s="147" t="s">
        <v>815</v>
      </c>
      <c r="E988" s="242" t="str">
        <f>HSXL!C$18</f>
        <v>2,2%</v>
      </c>
      <c r="F988" s="150"/>
      <c r="G988" s="149"/>
      <c r="H988" s="150">
        <f>ROUND(H985*HSXL!D$18,1)</f>
        <v>18940.900000000001</v>
      </c>
    </row>
    <row r="989" spans="1:8" ht="39.75" customHeight="1">
      <c r="A989" s="241"/>
      <c r="B989" s="147"/>
      <c r="C989" s="146" t="str">
        <f>"Chi phí một số công việc không xác định được khối lượng từ thiết kế ( T x "&amp;HSXL!C$13&amp;" )"</f>
        <v>Chi phí một số công việc không xác định được khối lượng từ thiết kế ( T x 2% )</v>
      </c>
      <c r="D989" s="147" t="s">
        <v>61</v>
      </c>
      <c r="E989" s="242" t="str">
        <f>HSXL!C$13</f>
        <v>2%</v>
      </c>
      <c r="F989" s="150"/>
      <c r="G989" s="149"/>
      <c r="H989" s="150">
        <f>ROUND(H985*HSXL!D$13,1)</f>
        <v>17219</v>
      </c>
    </row>
    <row r="990" spans="1:8" ht="27.75" customHeight="1">
      <c r="A990" s="238"/>
      <c r="B990" s="159"/>
      <c r="C990" s="158" t="s">
        <v>1086</v>
      </c>
      <c r="D990" s="159" t="s">
        <v>818</v>
      </c>
      <c r="E990" s="239"/>
      <c r="F990" s="162"/>
      <c r="G990" s="240"/>
      <c r="H990" s="162">
        <f>ROUND(SUM(H987:H989),1)</f>
        <v>89538.9</v>
      </c>
    </row>
    <row r="991" spans="1:8" ht="27.75" customHeight="1">
      <c r="A991" s="241"/>
      <c r="B991" s="147"/>
      <c r="C991" s="146" t="str">
        <f>"THU NHẬP CHỊU THUẾ TÍNH TRƯỚC (T+GT) x "&amp;HSXL!C$16</f>
        <v>THU NHẬP CHỊU THUẾ TÍNH TRƯỚC (T+GT) x 6%</v>
      </c>
      <c r="D991" s="147" t="s">
        <v>821</v>
      </c>
      <c r="E991" s="242" t="str">
        <f>HSXL!C$16</f>
        <v>6%</v>
      </c>
      <c r="F991" s="150"/>
      <c r="G991" s="149"/>
      <c r="H991" s="150">
        <f>ROUND((H985+H990)*HSXL!D$16,1)</f>
        <v>57029.4</v>
      </c>
    </row>
    <row r="992" spans="1:8" ht="27.75" customHeight="1">
      <c r="A992" s="241"/>
      <c r="B992" s="147"/>
      <c r="C992" s="146" t="s">
        <v>1087</v>
      </c>
      <c r="D992" s="147" t="s">
        <v>823</v>
      </c>
      <c r="E992" s="242"/>
      <c r="F992" s="150"/>
      <c r="G992" s="149"/>
      <c r="H992" s="150">
        <f>ROUND(H985+H990+H991,0)</f>
        <v>1007520</v>
      </c>
    </row>
    <row r="993" spans="1:8" ht="27.75" customHeight="1">
      <c r="A993" s="241"/>
      <c r="B993" s="147"/>
      <c r="C993" s="146" t="str">
        <f>"THUẾ GIÁ TRỊ GIA TĂNG ( G x "&amp;HSXL!C$17&amp;" )"</f>
        <v>THUẾ GIÁ TRỊ GIA TĂNG ( G x 10% )</v>
      </c>
      <c r="D993" s="147" t="s">
        <v>827</v>
      </c>
      <c r="E993" s="164">
        <f>HSXL!D$17</f>
        <v>0.1</v>
      </c>
      <c r="F993" s="150"/>
      <c r="G993" s="149"/>
      <c r="H993" s="150">
        <f>ROUND(E993*H992,1)</f>
        <v>100752</v>
      </c>
    </row>
    <row r="994" spans="1:8" ht="27.75" customHeight="1">
      <c r="A994" s="243"/>
      <c r="B994" s="244"/>
      <c r="C994" s="245" t="s">
        <v>1088</v>
      </c>
      <c r="D994" s="244" t="s">
        <v>830</v>
      </c>
      <c r="E994" s="246"/>
      <c r="F994" s="247"/>
      <c r="G994" s="248"/>
      <c r="H994" s="249">
        <f>ROUND(H992+H993,0)</f>
        <v>1108272</v>
      </c>
    </row>
    <row r="995" spans="1:8" ht="16.5" customHeight="1">
      <c r="A995" s="128">
        <f>'Công trình'!A129</f>
        <v>37</v>
      </c>
      <c r="B995" s="129" t="str">
        <f>'Công trình'!E129</f>
        <v>TT</v>
      </c>
      <c r="C995" s="130" t="str">
        <f>'Công trình'!F129</f>
        <v>Phên nứa 2 lớp B=1,0m</v>
      </c>
      <c r="D995" s="129" t="str">
        <f>'Công trình'!G129</f>
        <v>m2</v>
      </c>
      <c r="E995" s="237">
        <v>1</v>
      </c>
      <c r="F995" s="69"/>
      <c r="G995" s="68"/>
      <c r="H995" s="69"/>
    </row>
    <row r="996" spans="1:8" ht="16.5" customHeight="1">
      <c r="A996" s="131"/>
      <c r="B996" s="91"/>
      <c r="C996" s="90" t="s">
        <v>683</v>
      </c>
      <c r="D996" s="91"/>
      <c r="E996" s="93"/>
      <c r="F996" s="132"/>
      <c r="G996" s="94"/>
      <c r="H996" s="132">
        <f>ROUND(H997,1)</f>
        <v>15000</v>
      </c>
    </row>
    <row r="997" spans="1:8" ht="16.5" customHeight="1">
      <c r="A997" s="127"/>
      <c r="B997" s="13" t="str">
        <f>""</f>
        <v/>
      </c>
      <c r="C997" s="14" t="s">
        <v>27</v>
      </c>
      <c r="D997" s="13" t="str">
        <f>""</f>
        <v/>
      </c>
      <c r="E997" s="80">
        <v>1</v>
      </c>
      <c r="F997" s="15">
        <f>ROUND('Tổng hợp VT'!O10,1)</f>
        <v>15000</v>
      </c>
      <c r="G997" s="81"/>
      <c r="H997" s="15">
        <f>ROUND(E997*F997,1)</f>
        <v>15000</v>
      </c>
    </row>
    <row r="998" spans="1:8" ht="27.75" customHeight="1">
      <c r="A998" s="238"/>
      <c r="B998" s="159"/>
      <c r="C998" s="158" t="s">
        <v>1085</v>
      </c>
      <c r="D998" s="159" t="s">
        <v>810</v>
      </c>
      <c r="E998" s="239"/>
      <c r="F998" s="162"/>
      <c r="G998" s="240"/>
      <c r="H998" s="162">
        <f>ROUND(H996,1)</f>
        <v>15000</v>
      </c>
    </row>
    <row r="999" spans="1:8" ht="16.5" customHeight="1">
      <c r="A999" s="241"/>
      <c r="B999" s="147"/>
      <c r="C999" s="146" t="s">
        <v>812</v>
      </c>
      <c r="D999" s="147" t="str">
        <f>""</f>
        <v/>
      </c>
      <c r="E999" s="242"/>
      <c r="F999" s="150"/>
      <c r="G999" s="149"/>
      <c r="H999" s="150"/>
    </row>
    <row r="1000" spans="1:8" ht="16.5" customHeight="1">
      <c r="A1000" s="241"/>
      <c r="B1000" s="147"/>
      <c r="C1000" s="146" t="str">
        <f>"Chi phí chung ( T x "&amp;HSXL!C$14&amp;" )"</f>
        <v>Chi phí chung ( T x 6,2% )</v>
      </c>
      <c r="D1000" s="147" t="s">
        <v>807</v>
      </c>
      <c r="E1000" s="242" t="str">
        <f>HSXL!C$14</f>
        <v>6,2%</v>
      </c>
      <c r="F1000" s="150"/>
      <c r="G1000" s="149"/>
      <c r="H1000" s="150">
        <f>ROUND(H998*HSXL!D$14,1)</f>
        <v>930</v>
      </c>
    </row>
    <row r="1001" spans="1:8" ht="27.75" customHeight="1">
      <c r="A1001" s="241"/>
      <c r="B1001" s="147"/>
      <c r="C1001" s="146" t="str">
        <f>"Chi phí nhà tạm để ở và điều hành thi công ( T x "&amp;HSXL!C$18&amp;" )"</f>
        <v>Chi phí nhà tạm để ở và điều hành thi công ( T x 2,2% )</v>
      </c>
      <c r="D1001" s="147" t="s">
        <v>815</v>
      </c>
      <c r="E1001" s="242" t="str">
        <f>HSXL!C$18</f>
        <v>2,2%</v>
      </c>
      <c r="F1001" s="150"/>
      <c r="G1001" s="149"/>
      <c r="H1001" s="150">
        <f>ROUND(H998*HSXL!D$18,1)</f>
        <v>330</v>
      </c>
    </row>
    <row r="1002" spans="1:8" ht="39.75" customHeight="1">
      <c r="A1002" s="241"/>
      <c r="B1002" s="147"/>
      <c r="C1002" s="146" t="str">
        <f>"Chi phí một số công việc không xác định được khối lượng từ thiết kế ( T x "&amp;HSXL!C$13&amp;" )"</f>
        <v>Chi phí một số công việc không xác định được khối lượng từ thiết kế ( T x 2% )</v>
      </c>
      <c r="D1002" s="147" t="s">
        <v>61</v>
      </c>
      <c r="E1002" s="242" t="str">
        <f>HSXL!C$13</f>
        <v>2%</v>
      </c>
      <c r="F1002" s="150"/>
      <c r="G1002" s="149"/>
      <c r="H1002" s="150">
        <f>ROUND(H998*HSXL!D$13,1)</f>
        <v>300</v>
      </c>
    </row>
    <row r="1003" spans="1:8" ht="27.75" customHeight="1">
      <c r="A1003" s="238"/>
      <c r="B1003" s="159"/>
      <c r="C1003" s="158" t="s">
        <v>1086</v>
      </c>
      <c r="D1003" s="159" t="s">
        <v>818</v>
      </c>
      <c r="E1003" s="239"/>
      <c r="F1003" s="162"/>
      <c r="G1003" s="240"/>
      <c r="H1003" s="162">
        <f>ROUND(SUM(H1000:H1002),1)</f>
        <v>1560</v>
      </c>
    </row>
    <row r="1004" spans="1:8" ht="27.75" customHeight="1">
      <c r="A1004" s="241"/>
      <c r="B1004" s="147"/>
      <c r="C1004" s="146" t="str">
        <f>"THU NHẬP CHỊU THUẾ TÍNH TRƯỚC (T+GT) x "&amp;HSXL!C$16</f>
        <v>THU NHẬP CHỊU THUẾ TÍNH TRƯỚC (T+GT) x 6%</v>
      </c>
      <c r="D1004" s="147" t="s">
        <v>821</v>
      </c>
      <c r="E1004" s="242" t="str">
        <f>HSXL!C$16</f>
        <v>6%</v>
      </c>
      <c r="F1004" s="150"/>
      <c r="G1004" s="149"/>
      <c r="H1004" s="150">
        <f>ROUND((H998+H1003)*HSXL!D$16,1)</f>
        <v>993.6</v>
      </c>
    </row>
    <row r="1005" spans="1:8" ht="27.75" customHeight="1">
      <c r="A1005" s="241"/>
      <c r="B1005" s="147"/>
      <c r="C1005" s="146" t="s">
        <v>1087</v>
      </c>
      <c r="D1005" s="147" t="s">
        <v>823</v>
      </c>
      <c r="E1005" s="242"/>
      <c r="F1005" s="150"/>
      <c r="G1005" s="149"/>
      <c r="H1005" s="150">
        <f>ROUND(H998+H1003+H1004,0)</f>
        <v>17554</v>
      </c>
    </row>
    <row r="1006" spans="1:8" ht="27.75" customHeight="1">
      <c r="A1006" s="241"/>
      <c r="B1006" s="147"/>
      <c r="C1006" s="146" t="str">
        <f>"THUẾ GIÁ TRỊ GIA TĂNG ( G x "&amp;HSXL!C$17&amp;" )"</f>
        <v>THUẾ GIÁ TRỊ GIA TĂNG ( G x 10% )</v>
      </c>
      <c r="D1006" s="147" t="s">
        <v>827</v>
      </c>
      <c r="E1006" s="164">
        <f>HSXL!D$17</f>
        <v>0.1</v>
      </c>
      <c r="F1006" s="150"/>
      <c r="G1006" s="149"/>
      <c r="H1006" s="150">
        <f>ROUND(E1006*H1005,1)</f>
        <v>1755.4</v>
      </c>
    </row>
    <row r="1007" spans="1:8" ht="27.75" customHeight="1">
      <c r="A1007" s="243"/>
      <c r="B1007" s="244"/>
      <c r="C1007" s="245" t="s">
        <v>1088</v>
      </c>
      <c r="D1007" s="244" t="s">
        <v>830</v>
      </c>
      <c r="E1007" s="246"/>
      <c r="F1007" s="247"/>
      <c r="G1007" s="248"/>
      <c r="H1007" s="249">
        <f>ROUND(H1005+H1006,0)</f>
        <v>19309</v>
      </c>
    </row>
    <row r="1008" spans="1:8" ht="16.5" customHeight="1">
      <c r="A1008" s="128">
        <f>'Công trình'!A131</f>
        <v>38</v>
      </c>
      <c r="B1008" s="129" t="str">
        <f>'Công trình'!E131</f>
        <v>AB.24132</v>
      </c>
      <c r="C1008" s="130" t="str">
        <f>'Công trình'!F131</f>
        <v>Đào phá bờ quây bằng máy</v>
      </c>
      <c r="D1008" s="129" t="str">
        <f>'Công trình'!G131</f>
        <v>100m3</v>
      </c>
      <c r="E1008" s="237">
        <v>1</v>
      </c>
      <c r="F1008" s="69"/>
      <c r="G1008" s="68"/>
      <c r="H1008" s="69"/>
    </row>
    <row r="1009" spans="1:8" ht="16.5" customHeight="1">
      <c r="A1009" s="131"/>
      <c r="B1009" s="91"/>
      <c r="C1009" s="90" t="s">
        <v>678</v>
      </c>
      <c r="D1009" s="91"/>
      <c r="E1009" s="93"/>
      <c r="F1009" s="132"/>
      <c r="G1009" s="94"/>
      <c r="H1009" s="132">
        <f>ROUND(H1010,1)</f>
        <v>104012.4</v>
      </c>
    </row>
    <row r="1010" spans="1:8" ht="16.5" customHeight="1">
      <c r="A1010" s="127"/>
      <c r="B1010" s="13" t="str">
        <f>'Giá tháng'!B$48</f>
        <v>N1.30</v>
      </c>
      <c r="C1010" s="14" t="str">
        <f>'Giá tháng'!C$48</f>
        <v>Nhân công 3,0/7 - Nhóm 1</v>
      </c>
      <c r="D1010" s="13" t="str">
        <f>'Giá tháng'!D$48</f>
        <v>công</v>
      </c>
      <c r="E1010" s="80">
        <f>HaoPhiVatTu!G$400</f>
        <v>0.47</v>
      </c>
      <c r="F1010" s="15">
        <f>ROUND('Tổng hợp VT'!O$56,1)</f>
        <v>221303</v>
      </c>
      <c r="G1010" s="81">
        <f>'Giá tháng'!G$48</f>
        <v>1</v>
      </c>
      <c r="H1010" s="15">
        <f>ROUND(E1010*F1010*G1010,1)</f>
        <v>104012.4</v>
      </c>
    </row>
    <row r="1011" spans="1:8" ht="16.5" customHeight="1">
      <c r="A1011" s="131"/>
      <c r="B1011" s="91"/>
      <c r="C1011" s="90" t="s">
        <v>679</v>
      </c>
      <c r="D1011" s="91"/>
      <c r="E1011" s="93"/>
      <c r="F1011" s="132"/>
      <c r="G1011" s="94"/>
      <c r="H1011" s="132">
        <f>ROUND(H1014,1)</f>
        <v>854161.8</v>
      </c>
    </row>
    <row r="1012" spans="1:8" ht="27.75" customHeight="1">
      <c r="A1012" s="127"/>
      <c r="B1012" s="13" t="str">
        <f>'Giá tháng'!B$61</f>
        <v>M101.0105</v>
      </c>
      <c r="C1012" s="14" t="str">
        <f>'Giá tháng'!C$61</f>
        <v>Máy đào một gầu, bánh xích - dung tích gầu : 1,25 m3</v>
      </c>
      <c r="D1012" s="13" t="str">
        <f>'Giá tháng'!D$61</f>
        <v>ca</v>
      </c>
      <c r="E1012" s="80">
        <f>HaoPhiVatTu!H$402</f>
        <v>0.19800000000000001</v>
      </c>
      <c r="F1012" s="15">
        <f>ROUND('Tổng hợp VT'!O$70,1)</f>
        <v>4026070</v>
      </c>
      <c r="G1012" s="81">
        <f>'Giá tháng'!G$61</f>
        <v>1</v>
      </c>
      <c r="H1012" s="15">
        <f>ROUND(E1012*F1012*G1012,1)</f>
        <v>797161.9</v>
      </c>
    </row>
    <row r="1013" spans="1:8" ht="27.75" customHeight="1">
      <c r="A1013" s="127"/>
      <c r="B1013" s="13" t="str">
        <f>'Giá tháng'!B$76</f>
        <v>M101.0503</v>
      </c>
      <c r="C1013" s="14" t="str">
        <f>'Giá tháng'!C$76</f>
        <v>Máy ủi - công suất : 110,0 CV</v>
      </c>
      <c r="D1013" s="13" t="str">
        <f>'Giá tháng'!D$76</f>
        <v>ca</v>
      </c>
      <c r="E1013" s="80">
        <f>HaoPhiVatTu!H$403</f>
        <v>2.7E-2</v>
      </c>
      <c r="F1013" s="15">
        <f>ROUND('Tổng hợp VT'!O$85,1)</f>
        <v>2111107</v>
      </c>
      <c r="G1013" s="81">
        <f>'Giá tháng'!G$76</f>
        <v>1</v>
      </c>
      <c r="H1013" s="15">
        <f>ROUND(E1013*F1013*G1013,1)</f>
        <v>56999.9</v>
      </c>
    </row>
    <row r="1014" spans="1:8" ht="16.5" customHeight="1">
      <c r="A1014" s="127"/>
      <c r="B1014" s="13"/>
      <c r="C1014" s="14" t="s">
        <v>776</v>
      </c>
      <c r="D1014" s="13"/>
      <c r="E1014" s="19"/>
      <c r="F1014" s="15"/>
      <c r="G1014" s="18"/>
      <c r="H1014" s="15">
        <f>ROUND(SUM(H1012:H1013),1)</f>
        <v>854161.8</v>
      </c>
    </row>
    <row r="1015" spans="1:8" ht="27.75" customHeight="1">
      <c r="A1015" s="238"/>
      <c r="B1015" s="159"/>
      <c r="C1015" s="158" t="s">
        <v>1085</v>
      </c>
      <c r="D1015" s="159" t="s">
        <v>810</v>
      </c>
      <c r="E1015" s="239"/>
      <c r="F1015" s="162"/>
      <c r="G1015" s="240"/>
      <c r="H1015" s="162">
        <f>ROUND(+H1009+H1011,1)</f>
        <v>958174.2</v>
      </c>
    </row>
    <row r="1016" spans="1:8" ht="16.5" customHeight="1">
      <c r="A1016" s="241"/>
      <c r="B1016" s="147"/>
      <c r="C1016" s="146" t="s">
        <v>812</v>
      </c>
      <c r="D1016" s="147" t="str">
        <f>""</f>
        <v/>
      </c>
      <c r="E1016" s="242"/>
      <c r="F1016" s="150"/>
      <c r="G1016" s="149"/>
      <c r="H1016" s="150"/>
    </row>
    <row r="1017" spans="1:8" ht="16.5" customHeight="1">
      <c r="A1017" s="241"/>
      <c r="B1017" s="147"/>
      <c r="C1017" s="146" t="str">
        <f>"Chi phí chung ( T x "&amp;HSXL!C$14&amp;" )"</f>
        <v>Chi phí chung ( T x 6,2% )</v>
      </c>
      <c r="D1017" s="147" t="s">
        <v>807</v>
      </c>
      <c r="E1017" s="242" t="str">
        <f>HSXL!C$14</f>
        <v>6,2%</v>
      </c>
      <c r="F1017" s="150"/>
      <c r="G1017" s="149"/>
      <c r="H1017" s="150">
        <f>ROUND(H1015*HSXL!D$14,1)</f>
        <v>59406.8</v>
      </c>
    </row>
    <row r="1018" spans="1:8" ht="27.75" customHeight="1">
      <c r="A1018" s="241"/>
      <c r="B1018" s="147"/>
      <c r="C1018" s="146" t="str">
        <f>"Chi phí nhà tạm để ở và điều hành thi công ( T x "&amp;HSXL!C$18&amp;" )"</f>
        <v>Chi phí nhà tạm để ở và điều hành thi công ( T x 2,2% )</v>
      </c>
      <c r="D1018" s="147" t="s">
        <v>815</v>
      </c>
      <c r="E1018" s="242" t="str">
        <f>HSXL!C$18</f>
        <v>2,2%</v>
      </c>
      <c r="F1018" s="150"/>
      <c r="G1018" s="149"/>
      <c r="H1018" s="150">
        <f>ROUND(H1015*HSXL!D$18,1)</f>
        <v>21079.8</v>
      </c>
    </row>
    <row r="1019" spans="1:8" ht="39.75" customHeight="1">
      <c r="A1019" s="241"/>
      <c r="B1019" s="147"/>
      <c r="C1019" s="146" t="str">
        <f>"Chi phí một số công việc không xác định được khối lượng từ thiết kế ( T x "&amp;HSXL!C$13&amp;" )"</f>
        <v>Chi phí một số công việc không xác định được khối lượng từ thiết kế ( T x 2% )</v>
      </c>
      <c r="D1019" s="147" t="s">
        <v>61</v>
      </c>
      <c r="E1019" s="242" t="str">
        <f>HSXL!C$13</f>
        <v>2%</v>
      </c>
      <c r="F1019" s="150"/>
      <c r="G1019" s="149"/>
      <c r="H1019" s="150">
        <f>ROUND(H1015*HSXL!D$13,1)</f>
        <v>19163.5</v>
      </c>
    </row>
    <row r="1020" spans="1:8" ht="27.75" customHeight="1">
      <c r="A1020" s="238"/>
      <c r="B1020" s="159"/>
      <c r="C1020" s="158" t="s">
        <v>1086</v>
      </c>
      <c r="D1020" s="159" t="s">
        <v>818</v>
      </c>
      <c r="E1020" s="239"/>
      <c r="F1020" s="162"/>
      <c r="G1020" s="240"/>
      <c r="H1020" s="162">
        <f>ROUND(SUM(H1017:H1019),1)</f>
        <v>99650.1</v>
      </c>
    </row>
    <row r="1021" spans="1:8" ht="27.75" customHeight="1">
      <c r="A1021" s="241"/>
      <c r="B1021" s="147"/>
      <c r="C1021" s="146" t="str">
        <f>"THU NHẬP CHỊU THUẾ TÍNH TRƯỚC (T+GT) x "&amp;HSXL!C$16</f>
        <v>THU NHẬP CHỊU THUẾ TÍNH TRƯỚC (T+GT) x 6%</v>
      </c>
      <c r="D1021" s="147" t="s">
        <v>821</v>
      </c>
      <c r="E1021" s="242" t="str">
        <f>HSXL!C$16</f>
        <v>6%</v>
      </c>
      <c r="F1021" s="150"/>
      <c r="G1021" s="149"/>
      <c r="H1021" s="150">
        <f>ROUND((H1015+H1020)*HSXL!D$16,1)</f>
        <v>63469.5</v>
      </c>
    </row>
    <row r="1022" spans="1:8" ht="27.75" customHeight="1">
      <c r="A1022" s="241"/>
      <c r="B1022" s="147"/>
      <c r="C1022" s="146" t="s">
        <v>1087</v>
      </c>
      <c r="D1022" s="147" t="s">
        <v>823</v>
      </c>
      <c r="E1022" s="242"/>
      <c r="F1022" s="150"/>
      <c r="G1022" s="149"/>
      <c r="H1022" s="150">
        <f>ROUND(H1015+H1020+H1021,0)</f>
        <v>1121294</v>
      </c>
    </row>
    <row r="1023" spans="1:8" ht="27.75" customHeight="1">
      <c r="A1023" s="241"/>
      <c r="B1023" s="147"/>
      <c r="C1023" s="146" t="str">
        <f>"THUẾ GIÁ TRỊ GIA TĂNG ( G x "&amp;HSXL!C$17&amp;" )"</f>
        <v>THUẾ GIÁ TRỊ GIA TĂNG ( G x 10% )</v>
      </c>
      <c r="D1023" s="147" t="s">
        <v>827</v>
      </c>
      <c r="E1023" s="164">
        <f>HSXL!D$17</f>
        <v>0.1</v>
      </c>
      <c r="F1023" s="150"/>
      <c r="G1023" s="149"/>
      <c r="H1023" s="150">
        <f>ROUND(E1023*H1022,1)</f>
        <v>112129.4</v>
      </c>
    </row>
    <row r="1024" spans="1:8" ht="27.75" customHeight="1">
      <c r="A1024" s="243"/>
      <c r="B1024" s="244"/>
      <c r="C1024" s="245" t="s">
        <v>1088</v>
      </c>
      <c r="D1024" s="244" t="s">
        <v>830</v>
      </c>
      <c r="E1024" s="246"/>
      <c r="F1024" s="247"/>
      <c r="G1024" s="248"/>
      <c r="H1024" s="249">
        <f>ROUND(H1022+H1023,0)</f>
        <v>1233423</v>
      </c>
    </row>
    <row r="1025" spans="1:8" ht="40.5" customHeight="1">
      <c r="A1025" s="128">
        <f>'Công trình'!A133</f>
        <v>39</v>
      </c>
      <c r="B1025" s="129" t="str">
        <f>'Công trình'!E133</f>
        <v>AC.12121</v>
      </c>
      <c r="C1025" s="130" t="str">
        <f>'Công trình'!F133</f>
        <v>Nhổ cọc tre, phên nứa (vận dụng chi phí nhân công, máy đóng cọc tre)</v>
      </c>
      <c r="D1025" s="129" t="str">
        <f>'Công trình'!G133</f>
        <v>100m</v>
      </c>
      <c r="E1025" s="237">
        <v>1</v>
      </c>
      <c r="F1025" s="69"/>
      <c r="G1025" s="68"/>
      <c r="H1025" s="69"/>
    </row>
    <row r="1026" spans="1:8" ht="16.5" customHeight="1">
      <c r="A1026" s="131"/>
      <c r="B1026" s="91"/>
      <c r="C1026" s="90" t="s">
        <v>683</v>
      </c>
      <c r="D1026" s="91"/>
      <c r="E1026" s="93"/>
      <c r="F1026" s="132"/>
      <c r="G1026" s="94"/>
      <c r="H1026" s="132">
        <f>ROUND(H1027,1)</f>
        <v>546000</v>
      </c>
    </row>
    <row r="1027" spans="1:8" ht="16.5" customHeight="1">
      <c r="A1027" s="127"/>
      <c r="B1027" s="13" t="str">
        <f>'Giá tháng'!B$13</f>
        <v>A24.0227</v>
      </c>
      <c r="C1027" s="14" t="str">
        <f>'Giá tháng'!C$13</f>
        <v>Cọc tre &gt;2,5m</v>
      </c>
      <c r="D1027" s="13" t="str">
        <f>'Giá tháng'!D$13</f>
        <v>m</v>
      </c>
      <c r="E1027" s="80">
        <f>HaoPhiVatTu!F$406</f>
        <v>105</v>
      </c>
      <c r="F1027" s="15">
        <f>ROUND('Tổng hợp VT'!O$18,1)</f>
        <v>5200</v>
      </c>
      <c r="G1027" s="81">
        <f>'Giá tháng'!G$13</f>
        <v>1</v>
      </c>
      <c r="H1027" s="15">
        <f>ROUND(E1027*F1027*G1027,1)</f>
        <v>546000</v>
      </c>
    </row>
    <row r="1028" spans="1:8" ht="16.5" customHeight="1">
      <c r="A1028" s="131"/>
      <c r="B1028" s="91"/>
      <c r="C1028" s="90" t="s">
        <v>678</v>
      </c>
      <c r="D1028" s="91"/>
      <c r="E1028" s="93"/>
      <c r="F1028" s="132"/>
      <c r="G1028" s="94"/>
      <c r="H1028" s="132">
        <f>ROUND(H1029,1)</f>
        <v>79065.399999999994</v>
      </c>
    </row>
    <row r="1029" spans="1:8" ht="16.5" customHeight="1">
      <c r="A1029" s="127"/>
      <c r="B1029" s="13" t="str">
        <f>'Giá tháng'!B$49</f>
        <v>N2.30</v>
      </c>
      <c r="C1029" s="14" t="str">
        <f>'Giá tháng'!C$49</f>
        <v>Nhân công 3,0/7 - Nhóm 2</v>
      </c>
      <c r="D1029" s="13" t="str">
        <f>'Giá tháng'!D$49</f>
        <v>công</v>
      </c>
      <c r="E1029" s="80">
        <f>HaoPhiVatTu!G$408</f>
        <v>0.33</v>
      </c>
      <c r="F1029" s="15">
        <f>ROUND('Tổng hợp VT'!O$57,1)</f>
        <v>239592</v>
      </c>
      <c r="G1029" s="81">
        <f>'Giá tháng'!G$49</f>
        <v>1</v>
      </c>
      <c r="H1029" s="15">
        <f>ROUND(E1029*F1029*G1029,1)</f>
        <v>79065.399999999994</v>
      </c>
    </row>
    <row r="1030" spans="1:8" ht="16.5" customHeight="1">
      <c r="A1030" s="131"/>
      <c r="B1030" s="91"/>
      <c r="C1030" s="90" t="s">
        <v>679</v>
      </c>
      <c r="D1030" s="91"/>
      <c r="E1030" s="93"/>
      <c r="F1030" s="132"/>
      <c r="G1030" s="94"/>
      <c r="H1030" s="132">
        <f>ROUND(H1031,1)</f>
        <v>235886.2</v>
      </c>
    </row>
    <row r="1031" spans="1:8" ht="27.75" customHeight="1">
      <c r="A1031" s="127"/>
      <c r="B1031" s="13" t="str">
        <f>'Giá tháng'!B$59</f>
        <v>M101.0102</v>
      </c>
      <c r="C1031" s="14" t="str">
        <f>'Giá tháng'!C$59</f>
        <v>Máy đào một gầu, bánh xích - dung tích gầu : 0,50 m3</v>
      </c>
      <c r="D1031" s="13" t="str">
        <f>'Giá tháng'!D$59</f>
        <v>ca</v>
      </c>
      <c r="E1031" s="80">
        <f>HaoPhiVatTu!H$410</f>
        <v>9.8000000000000004E-2</v>
      </c>
      <c r="F1031" s="15">
        <f>ROUND('Tổng hợp VT'!O$68,1)</f>
        <v>2407002</v>
      </c>
      <c r="G1031" s="81">
        <f>'Giá tháng'!G$59</f>
        <v>1</v>
      </c>
      <c r="H1031" s="15">
        <f>ROUND(E1031*F1031*G1031,1)</f>
        <v>235886.2</v>
      </c>
    </row>
    <row r="1032" spans="1:8" ht="27.75" customHeight="1">
      <c r="A1032" s="238"/>
      <c r="B1032" s="159"/>
      <c r="C1032" s="158" t="s">
        <v>1085</v>
      </c>
      <c r="D1032" s="159" t="s">
        <v>810</v>
      </c>
      <c r="E1032" s="239"/>
      <c r="F1032" s="162"/>
      <c r="G1032" s="240"/>
      <c r="H1032" s="162">
        <f>ROUND(H1026+H1028+H1030,1)</f>
        <v>860951.6</v>
      </c>
    </row>
    <row r="1033" spans="1:8" ht="16.5" customHeight="1">
      <c r="A1033" s="241"/>
      <c r="B1033" s="147"/>
      <c r="C1033" s="146" t="s">
        <v>812</v>
      </c>
      <c r="D1033" s="147" t="str">
        <f>""</f>
        <v/>
      </c>
      <c r="E1033" s="242"/>
      <c r="F1033" s="150"/>
      <c r="G1033" s="149"/>
      <c r="H1033" s="150"/>
    </row>
    <row r="1034" spans="1:8" ht="16.5" customHeight="1">
      <c r="A1034" s="241"/>
      <c r="B1034" s="147"/>
      <c r="C1034" s="146" t="str">
        <f>"Chi phí chung ( T x "&amp;HSXL!C$14&amp;" )"</f>
        <v>Chi phí chung ( T x 6,2% )</v>
      </c>
      <c r="D1034" s="147" t="s">
        <v>807</v>
      </c>
      <c r="E1034" s="242" t="str">
        <f>HSXL!C$14</f>
        <v>6,2%</v>
      </c>
      <c r="F1034" s="150"/>
      <c r="G1034" s="149"/>
      <c r="H1034" s="150">
        <f>ROUND(H1032*HSXL!D$14,1)</f>
        <v>53379</v>
      </c>
    </row>
    <row r="1035" spans="1:8" ht="27.75" customHeight="1">
      <c r="A1035" s="241"/>
      <c r="B1035" s="147"/>
      <c r="C1035" s="146" t="str">
        <f>"Chi phí nhà tạm để ở và điều hành thi công ( T x "&amp;HSXL!C$18&amp;" )"</f>
        <v>Chi phí nhà tạm để ở và điều hành thi công ( T x 2,2% )</v>
      </c>
      <c r="D1035" s="147" t="s">
        <v>815</v>
      </c>
      <c r="E1035" s="242" t="str">
        <f>HSXL!C$18</f>
        <v>2,2%</v>
      </c>
      <c r="F1035" s="150"/>
      <c r="G1035" s="149"/>
      <c r="H1035" s="150">
        <f>ROUND(H1032*HSXL!D$18,1)</f>
        <v>18940.900000000001</v>
      </c>
    </row>
    <row r="1036" spans="1:8" ht="39.75" customHeight="1">
      <c r="A1036" s="241"/>
      <c r="B1036" s="147"/>
      <c r="C1036" s="146" t="str">
        <f>"Chi phí một số công việc không xác định được khối lượng từ thiết kế ( T x "&amp;HSXL!C$13&amp;" )"</f>
        <v>Chi phí một số công việc không xác định được khối lượng từ thiết kế ( T x 2% )</v>
      </c>
      <c r="D1036" s="147" t="s">
        <v>61</v>
      </c>
      <c r="E1036" s="242" t="str">
        <f>HSXL!C$13</f>
        <v>2%</v>
      </c>
      <c r="F1036" s="150"/>
      <c r="G1036" s="149"/>
      <c r="H1036" s="150">
        <f>ROUND(H1032*HSXL!D$13,1)</f>
        <v>17219</v>
      </c>
    </row>
    <row r="1037" spans="1:8" ht="27.75" customHeight="1">
      <c r="A1037" s="238"/>
      <c r="B1037" s="159"/>
      <c r="C1037" s="158" t="s">
        <v>1086</v>
      </c>
      <c r="D1037" s="159" t="s">
        <v>818</v>
      </c>
      <c r="E1037" s="239"/>
      <c r="F1037" s="162"/>
      <c r="G1037" s="240"/>
      <c r="H1037" s="162">
        <f>ROUND(SUM(H1034:H1036),1)</f>
        <v>89538.9</v>
      </c>
    </row>
    <row r="1038" spans="1:8" ht="27.75" customHeight="1">
      <c r="A1038" s="241"/>
      <c r="B1038" s="147"/>
      <c r="C1038" s="146" t="str">
        <f>"THU NHẬP CHỊU THUẾ TÍNH TRƯỚC (T+GT) x "&amp;HSXL!C$16</f>
        <v>THU NHẬP CHỊU THUẾ TÍNH TRƯỚC (T+GT) x 6%</v>
      </c>
      <c r="D1038" s="147" t="s">
        <v>821</v>
      </c>
      <c r="E1038" s="242" t="str">
        <f>HSXL!C$16</f>
        <v>6%</v>
      </c>
      <c r="F1038" s="150"/>
      <c r="G1038" s="149"/>
      <c r="H1038" s="150">
        <f>ROUND((H1032+H1037)*HSXL!D$16,1)</f>
        <v>57029.4</v>
      </c>
    </row>
    <row r="1039" spans="1:8" ht="27.75" customHeight="1">
      <c r="A1039" s="241"/>
      <c r="B1039" s="147"/>
      <c r="C1039" s="146" t="s">
        <v>1087</v>
      </c>
      <c r="D1039" s="147" t="s">
        <v>823</v>
      </c>
      <c r="E1039" s="242"/>
      <c r="F1039" s="150"/>
      <c r="G1039" s="149"/>
      <c r="H1039" s="150">
        <f>ROUND(H1032+H1037+H1038,0)</f>
        <v>1007520</v>
      </c>
    </row>
    <row r="1040" spans="1:8" ht="27.75" customHeight="1">
      <c r="A1040" s="241"/>
      <c r="B1040" s="147"/>
      <c r="C1040" s="146" t="str">
        <f>"THUẾ GIÁ TRỊ GIA TĂNG ( G x "&amp;HSXL!C$17&amp;" )"</f>
        <v>THUẾ GIÁ TRỊ GIA TĂNG ( G x 10% )</v>
      </c>
      <c r="D1040" s="147" t="s">
        <v>827</v>
      </c>
      <c r="E1040" s="164">
        <f>HSXL!D$17</f>
        <v>0.1</v>
      </c>
      <c r="F1040" s="150"/>
      <c r="G1040" s="149"/>
      <c r="H1040" s="150">
        <f>ROUND(E1040*H1039,1)</f>
        <v>100752</v>
      </c>
    </row>
    <row r="1041" spans="1:8" ht="27.75" customHeight="1">
      <c r="A1041" s="243"/>
      <c r="B1041" s="244"/>
      <c r="C1041" s="245" t="s">
        <v>1088</v>
      </c>
      <c r="D1041" s="244" t="s">
        <v>830</v>
      </c>
      <c r="E1041" s="246"/>
      <c r="F1041" s="247"/>
      <c r="G1041" s="248"/>
      <c r="H1041" s="249">
        <f>ROUND(H1039+H1040,0)</f>
        <v>1108272</v>
      </c>
    </row>
    <row r="1042" spans="1:8" ht="40.5" customHeight="1">
      <c r="A1042" s="128">
        <f>'Công trình'!A135</f>
        <v>34</v>
      </c>
      <c r="B1042" s="129" t="str">
        <f>'Công trình'!E135</f>
        <v>AB.41412</v>
      </c>
      <c r="C1042" s="130" t="str">
        <f>'Công trình'!F135</f>
        <v>Vận chuyển đất bằng ôtô tự đổ 5 tấn trong phạm vi &lt;= 1000m, đất cấp II</v>
      </c>
      <c r="D1042" s="129" t="str">
        <f>'Công trình'!G135</f>
        <v>100m3</v>
      </c>
      <c r="E1042" s="237">
        <v>1</v>
      </c>
      <c r="F1042" s="69"/>
      <c r="G1042" s="68"/>
      <c r="H1042" s="69"/>
    </row>
    <row r="1043" spans="1:8" ht="16.5" customHeight="1">
      <c r="A1043" s="131"/>
      <c r="B1043" s="91"/>
      <c r="C1043" s="90" t="s">
        <v>679</v>
      </c>
      <c r="D1043" s="91"/>
      <c r="E1043" s="93"/>
      <c r="F1043" s="132"/>
      <c r="G1043" s="94"/>
      <c r="H1043" s="132">
        <f>ROUND(H1044,1)</f>
        <v>2313202.9</v>
      </c>
    </row>
    <row r="1044" spans="1:8" ht="27.75" customHeight="1">
      <c r="A1044" s="127"/>
      <c r="B1044" s="13" t="str">
        <f>'Giá tháng'!B$78</f>
        <v>M106.0202</v>
      </c>
      <c r="C1044" s="14" t="str">
        <f>'Giá tháng'!C$78</f>
        <v>Ô tô tự đổ - trọng tải : 5,0 T</v>
      </c>
      <c r="D1044" s="13" t="str">
        <f>'Giá tháng'!D$78</f>
        <v>ca</v>
      </c>
      <c r="E1044" s="80">
        <f>HaoPhiVatTu!H$413</f>
        <v>1.329</v>
      </c>
      <c r="F1044" s="15">
        <f>ROUND('Tổng hợp VT'!O$87,1)</f>
        <v>1740559</v>
      </c>
      <c r="G1044" s="81">
        <f>'Giá tháng'!G$78</f>
        <v>1</v>
      </c>
      <c r="H1044" s="15">
        <f>ROUND(E1044*F1044*G1044,1)</f>
        <v>2313202.9</v>
      </c>
    </row>
    <row r="1045" spans="1:8" ht="27.75" customHeight="1">
      <c r="A1045" s="238"/>
      <c r="B1045" s="159"/>
      <c r="C1045" s="158" t="s">
        <v>1085</v>
      </c>
      <c r="D1045" s="159" t="s">
        <v>810</v>
      </c>
      <c r="E1045" s="239"/>
      <c r="F1045" s="162"/>
      <c r="G1045" s="240"/>
      <c r="H1045" s="162">
        <f>ROUND(+H1043,1)</f>
        <v>2313202.9</v>
      </c>
    </row>
    <row r="1046" spans="1:8" ht="16.5" customHeight="1">
      <c r="A1046" s="241"/>
      <c r="B1046" s="147"/>
      <c r="C1046" s="146" t="s">
        <v>812</v>
      </c>
      <c r="D1046" s="147" t="str">
        <f>""</f>
        <v/>
      </c>
      <c r="E1046" s="242"/>
      <c r="F1046" s="150"/>
      <c r="G1046" s="149"/>
      <c r="H1046" s="150"/>
    </row>
    <row r="1047" spans="1:8" ht="16.5" customHeight="1">
      <c r="A1047" s="241"/>
      <c r="B1047" s="147"/>
      <c r="C1047" s="146" t="str">
        <f>"Chi phí chung ( T x "&amp;HSXL!C$14&amp;" )"</f>
        <v>Chi phí chung ( T x 6,2% )</v>
      </c>
      <c r="D1047" s="147" t="s">
        <v>807</v>
      </c>
      <c r="E1047" s="242" t="str">
        <f>HSXL!C$14</f>
        <v>6,2%</v>
      </c>
      <c r="F1047" s="150"/>
      <c r="G1047" s="149"/>
      <c r="H1047" s="150">
        <f>ROUND(H1045*HSXL!D$14,1)</f>
        <v>143418.6</v>
      </c>
    </row>
    <row r="1048" spans="1:8" ht="27.75" customHeight="1">
      <c r="A1048" s="241"/>
      <c r="B1048" s="147"/>
      <c r="C1048" s="146" t="str">
        <f>"Chi phí nhà tạm để ở và điều hành thi công ( T x "&amp;HSXL!C$18&amp;" )"</f>
        <v>Chi phí nhà tạm để ở và điều hành thi công ( T x 2,2% )</v>
      </c>
      <c r="D1048" s="147" t="s">
        <v>815</v>
      </c>
      <c r="E1048" s="242" t="str">
        <f>HSXL!C$18</f>
        <v>2,2%</v>
      </c>
      <c r="F1048" s="150"/>
      <c r="G1048" s="149"/>
      <c r="H1048" s="150">
        <f>ROUND(H1045*HSXL!D$18,1)</f>
        <v>50890.5</v>
      </c>
    </row>
    <row r="1049" spans="1:8" ht="39.75" customHeight="1">
      <c r="A1049" s="241"/>
      <c r="B1049" s="147"/>
      <c r="C1049" s="146" t="str">
        <f>"Chi phí một số công việc không xác định được khối lượng từ thiết kế ( T x "&amp;HSXL!C$13&amp;" )"</f>
        <v>Chi phí một số công việc không xác định được khối lượng từ thiết kế ( T x 2% )</v>
      </c>
      <c r="D1049" s="147" t="s">
        <v>61</v>
      </c>
      <c r="E1049" s="242" t="str">
        <f>HSXL!C$13</f>
        <v>2%</v>
      </c>
      <c r="F1049" s="150"/>
      <c r="G1049" s="149"/>
      <c r="H1049" s="150">
        <f>ROUND(H1045*HSXL!D$13,1)</f>
        <v>46264.1</v>
      </c>
    </row>
    <row r="1050" spans="1:8" ht="27.75" customHeight="1">
      <c r="A1050" s="238"/>
      <c r="B1050" s="159"/>
      <c r="C1050" s="158" t="s">
        <v>1086</v>
      </c>
      <c r="D1050" s="159" t="s">
        <v>818</v>
      </c>
      <c r="E1050" s="239"/>
      <c r="F1050" s="162"/>
      <c r="G1050" s="240"/>
      <c r="H1050" s="162">
        <f>ROUND(SUM(H1047:H1049),1)</f>
        <v>240573.2</v>
      </c>
    </row>
    <row r="1051" spans="1:8" ht="27.75" customHeight="1">
      <c r="A1051" s="241"/>
      <c r="B1051" s="147"/>
      <c r="C1051" s="146" t="str">
        <f>"THU NHẬP CHỊU THUẾ TÍNH TRƯỚC (T+GT) x "&amp;HSXL!C$16</f>
        <v>THU NHẬP CHỊU THUẾ TÍNH TRƯỚC (T+GT) x 6%</v>
      </c>
      <c r="D1051" s="147" t="s">
        <v>821</v>
      </c>
      <c r="E1051" s="242" t="str">
        <f>HSXL!C$16</f>
        <v>6%</v>
      </c>
      <c r="F1051" s="150"/>
      <c r="G1051" s="149"/>
      <c r="H1051" s="150">
        <f>ROUND((H1045+H1050)*HSXL!D$16,1)</f>
        <v>153226.6</v>
      </c>
    </row>
    <row r="1052" spans="1:8" ht="27.75" customHeight="1">
      <c r="A1052" s="241"/>
      <c r="B1052" s="147"/>
      <c r="C1052" s="146" t="s">
        <v>1087</v>
      </c>
      <c r="D1052" s="147" t="s">
        <v>823</v>
      </c>
      <c r="E1052" s="242"/>
      <c r="F1052" s="150"/>
      <c r="G1052" s="149"/>
      <c r="H1052" s="150">
        <f>ROUND(H1045+H1050+H1051,0)</f>
        <v>2707003</v>
      </c>
    </row>
    <row r="1053" spans="1:8" ht="27.75" customHeight="1">
      <c r="A1053" s="241"/>
      <c r="B1053" s="147"/>
      <c r="C1053" s="146" t="str">
        <f>"THUẾ GIÁ TRỊ GIA TĂNG ( G x "&amp;HSXL!C$17&amp;" )"</f>
        <v>THUẾ GIÁ TRỊ GIA TĂNG ( G x 10% )</v>
      </c>
      <c r="D1053" s="147" t="s">
        <v>827</v>
      </c>
      <c r="E1053" s="164">
        <f>HSXL!D$17</f>
        <v>0.1</v>
      </c>
      <c r="F1053" s="150"/>
      <c r="G1053" s="149"/>
      <c r="H1053" s="150">
        <f>ROUND(E1053*H1052,1)</f>
        <v>270700.3</v>
      </c>
    </row>
    <row r="1054" spans="1:8" ht="27.75" customHeight="1">
      <c r="A1054" s="243"/>
      <c r="B1054" s="244"/>
      <c r="C1054" s="245" t="s">
        <v>1088</v>
      </c>
      <c r="D1054" s="244" t="s">
        <v>830</v>
      </c>
      <c r="E1054" s="246"/>
      <c r="F1054" s="247"/>
      <c r="G1054" s="248"/>
      <c r="H1054" s="249">
        <f>ROUND(H1052+H1053,0)</f>
        <v>2977703</v>
      </c>
    </row>
    <row r="1055" spans="1:8" ht="16.5" customHeight="1">
      <c r="A1055" s="128">
        <f>'Công trình'!A137</f>
        <v>41</v>
      </c>
      <c r="B1055" s="129" t="str">
        <f>'Công trình'!E137</f>
        <v>TT</v>
      </c>
      <c r="C1055" s="130" t="str">
        <f>'Công trình'!F137</f>
        <v>Bơm nước phục vụ thi công</v>
      </c>
      <c r="D1055" s="129" t="str">
        <f>'Công trình'!G137</f>
        <v>ca</v>
      </c>
      <c r="E1055" s="237">
        <v>1</v>
      </c>
      <c r="F1055" s="69"/>
      <c r="G1055" s="68"/>
      <c r="H1055" s="69"/>
    </row>
    <row r="1056" spans="1:8" ht="16.5" customHeight="1">
      <c r="A1056" s="131"/>
      <c r="B1056" s="91"/>
      <c r="C1056" s="90" t="s">
        <v>678</v>
      </c>
      <c r="D1056" s="91"/>
      <c r="E1056" s="93"/>
      <c r="F1056" s="132"/>
      <c r="G1056" s="94"/>
      <c r="H1056" s="132">
        <f>ROUND(H1057,1)</f>
        <v>200000</v>
      </c>
    </row>
    <row r="1057" spans="1:8" ht="16.5" customHeight="1">
      <c r="A1057" s="127"/>
      <c r="B1057" s="13" t="str">
        <f>""</f>
        <v/>
      </c>
      <c r="C1057" s="14" t="s">
        <v>29</v>
      </c>
      <c r="D1057" s="13" t="str">
        <f>""</f>
        <v/>
      </c>
      <c r="E1057" s="80">
        <v>1</v>
      </c>
      <c r="F1057" s="15">
        <f>ROUND('Tổng hợp VT'!O55,1)</f>
        <v>200000</v>
      </c>
      <c r="G1057" s="81"/>
      <c r="H1057" s="15">
        <f>ROUND(E1057*F1057,1)</f>
        <v>200000</v>
      </c>
    </row>
    <row r="1058" spans="1:8" ht="16.5" customHeight="1">
      <c r="A1058" s="131"/>
      <c r="B1058" s="91"/>
      <c r="C1058" s="90" t="s">
        <v>679</v>
      </c>
      <c r="D1058" s="91"/>
      <c r="E1058" s="93"/>
      <c r="F1058" s="132"/>
      <c r="G1058" s="94"/>
      <c r="H1058" s="132">
        <f>ROUND(H1059,1)</f>
        <v>300000</v>
      </c>
    </row>
    <row r="1059" spans="1:8" ht="16.5" customHeight="1">
      <c r="A1059" s="127"/>
      <c r="B1059" s="13" t="str">
        <f>""</f>
        <v/>
      </c>
      <c r="C1059" s="14" t="s">
        <v>31</v>
      </c>
      <c r="D1059" s="13" t="str">
        <f>""</f>
        <v/>
      </c>
      <c r="E1059" s="80">
        <v>1</v>
      </c>
      <c r="F1059" s="15">
        <f>ROUND('Tổng hợp VT'!O63,1)</f>
        <v>300000</v>
      </c>
      <c r="G1059" s="81"/>
      <c r="H1059" s="15">
        <f>ROUND(E1059*F1059,1)</f>
        <v>300000</v>
      </c>
    </row>
    <row r="1060" spans="1:8" ht="27.75" customHeight="1">
      <c r="A1060" s="238"/>
      <c r="B1060" s="159"/>
      <c r="C1060" s="158" t="s">
        <v>1085</v>
      </c>
      <c r="D1060" s="159" t="s">
        <v>810</v>
      </c>
      <c r="E1060" s="239"/>
      <c r="F1060" s="162"/>
      <c r="G1060" s="240"/>
      <c r="H1060" s="162">
        <f>ROUND(+H1056+H1058,1)</f>
        <v>500000</v>
      </c>
    </row>
    <row r="1061" spans="1:8" ht="16.5" customHeight="1">
      <c r="A1061" s="241"/>
      <c r="B1061" s="147"/>
      <c r="C1061" s="146" t="s">
        <v>812</v>
      </c>
      <c r="D1061" s="147" t="str">
        <f>""</f>
        <v/>
      </c>
      <c r="E1061" s="242"/>
      <c r="F1061" s="150"/>
      <c r="G1061" s="149"/>
      <c r="H1061" s="150"/>
    </row>
    <row r="1062" spans="1:8" ht="16.5" customHeight="1">
      <c r="A1062" s="241"/>
      <c r="B1062" s="147"/>
      <c r="C1062" s="146" t="str">
        <f>"Chi phí chung ( T x "&amp;HSXL!C$14&amp;" )"</f>
        <v>Chi phí chung ( T x 6,2% )</v>
      </c>
      <c r="D1062" s="147" t="s">
        <v>807</v>
      </c>
      <c r="E1062" s="242" t="str">
        <f>HSXL!C$14</f>
        <v>6,2%</v>
      </c>
      <c r="F1062" s="150"/>
      <c r="G1062" s="149"/>
      <c r="H1062" s="150">
        <f>ROUND(H1060*HSXL!D$14,1)</f>
        <v>31000</v>
      </c>
    </row>
    <row r="1063" spans="1:8" ht="27.75" customHeight="1">
      <c r="A1063" s="241"/>
      <c r="B1063" s="147"/>
      <c r="C1063" s="146" t="str">
        <f>"Chi phí nhà tạm để ở và điều hành thi công ( T x "&amp;HSXL!C$18&amp;" )"</f>
        <v>Chi phí nhà tạm để ở và điều hành thi công ( T x 2,2% )</v>
      </c>
      <c r="D1063" s="147" t="s">
        <v>815</v>
      </c>
      <c r="E1063" s="242" t="str">
        <f>HSXL!C$18</f>
        <v>2,2%</v>
      </c>
      <c r="F1063" s="150"/>
      <c r="G1063" s="149"/>
      <c r="H1063" s="150">
        <f>ROUND(H1060*HSXL!D$18,1)</f>
        <v>11000</v>
      </c>
    </row>
    <row r="1064" spans="1:8" ht="39.75" customHeight="1">
      <c r="A1064" s="241"/>
      <c r="B1064" s="147"/>
      <c r="C1064" s="146" t="str">
        <f>"Chi phí một số công việc không xác định được khối lượng từ thiết kế ( T x "&amp;HSXL!C$13&amp;" )"</f>
        <v>Chi phí một số công việc không xác định được khối lượng từ thiết kế ( T x 2% )</v>
      </c>
      <c r="D1064" s="147" t="s">
        <v>61</v>
      </c>
      <c r="E1064" s="242" t="str">
        <f>HSXL!C$13</f>
        <v>2%</v>
      </c>
      <c r="F1064" s="150"/>
      <c r="G1064" s="149"/>
      <c r="H1064" s="150">
        <f>ROUND(H1060*HSXL!D$13,1)</f>
        <v>10000</v>
      </c>
    </row>
    <row r="1065" spans="1:8" ht="27.75" customHeight="1">
      <c r="A1065" s="238"/>
      <c r="B1065" s="159"/>
      <c r="C1065" s="158" t="s">
        <v>1086</v>
      </c>
      <c r="D1065" s="159" t="s">
        <v>818</v>
      </c>
      <c r="E1065" s="239"/>
      <c r="F1065" s="162"/>
      <c r="G1065" s="240"/>
      <c r="H1065" s="162">
        <f>ROUND(SUM(H1062:H1064),1)</f>
        <v>52000</v>
      </c>
    </row>
    <row r="1066" spans="1:8" ht="27.75" customHeight="1">
      <c r="A1066" s="241"/>
      <c r="B1066" s="147"/>
      <c r="C1066" s="146" t="str">
        <f>"THU NHẬP CHỊU THUẾ TÍNH TRƯỚC (T+GT) x "&amp;HSXL!C$16</f>
        <v>THU NHẬP CHỊU THUẾ TÍNH TRƯỚC (T+GT) x 6%</v>
      </c>
      <c r="D1066" s="147" t="s">
        <v>821</v>
      </c>
      <c r="E1066" s="242" t="str">
        <f>HSXL!C$16</f>
        <v>6%</v>
      </c>
      <c r="F1066" s="150"/>
      <c r="G1066" s="149"/>
      <c r="H1066" s="150">
        <f>ROUND((H1060+H1065)*HSXL!D$16,1)</f>
        <v>33120</v>
      </c>
    </row>
    <row r="1067" spans="1:8" ht="27.75" customHeight="1">
      <c r="A1067" s="241"/>
      <c r="B1067" s="147"/>
      <c r="C1067" s="146" t="s">
        <v>1087</v>
      </c>
      <c r="D1067" s="147" t="s">
        <v>823</v>
      </c>
      <c r="E1067" s="242"/>
      <c r="F1067" s="150"/>
      <c r="G1067" s="149"/>
      <c r="H1067" s="150">
        <f>ROUND(H1060+H1065+H1066,0)</f>
        <v>585120</v>
      </c>
    </row>
    <row r="1068" spans="1:8" ht="27.75" customHeight="1">
      <c r="A1068" s="241"/>
      <c r="B1068" s="147"/>
      <c r="C1068" s="146" t="str">
        <f>"THUẾ GIÁ TRỊ GIA TĂNG ( G x "&amp;HSXL!C$17&amp;" )"</f>
        <v>THUẾ GIÁ TRỊ GIA TĂNG ( G x 10% )</v>
      </c>
      <c r="D1068" s="147" t="s">
        <v>827</v>
      </c>
      <c r="E1068" s="164">
        <f>HSXL!D$17</f>
        <v>0.1</v>
      </c>
      <c r="F1068" s="150"/>
      <c r="G1068" s="149"/>
      <c r="H1068" s="150">
        <f>ROUND(E1068*H1067,1)</f>
        <v>58512</v>
      </c>
    </row>
    <row r="1069" spans="1:8" ht="27.75" customHeight="1">
      <c r="A1069" s="243"/>
      <c r="B1069" s="244"/>
      <c r="C1069" s="245" t="s">
        <v>1088</v>
      </c>
      <c r="D1069" s="244" t="s">
        <v>830</v>
      </c>
      <c r="E1069" s="246"/>
      <c r="F1069" s="247"/>
      <c r="G1069" s="248"/>
      <c r="H1069" s="249">
        <f>ROUND(H1067+H1068,0)</f>
        <v>643632</v>
      </c>
    </row>
    <row r="1070" spans="1:8" ht="16.5" customHeight="1">
      <c r="A1070" s="128">
        <f>'Công trình'!A140</f>
        <v>42</v>
      </c>
      <c r="B1070" s="129" t="str">
        <f>'Công trình'!E140</f>
        <v>AB.25102</v>
      </c>
      <c r="C1070" s="130" t="str">
        <f>'Công trình'!F140</f>
        <v>Đào đất cấp II</v>
      </c>
      <c r="D1070" s="129" t="str">
        <f>'Công trình'!G140</f>
        <v>100m3</v>
      </c>
      <c r="E1070" s="237">
        <v>1</v>
      </c>
      <c r="F1070" s="69"/>
      <c r="G1070" s="68"/>
      <c r="H1070" s="69"/>
    </row>
    <row r="1071" spans="1:8" ht="16.5" customHeight="1">
      <c r="A1071" s="131"/>
      <c r="B1071" s="91"/>
      <c r="C1071" s="90" t="s">
        <v>678</v>
      </c>
      <c r="D1071" s="91"/>
      <c r="E1071" s="93"/>
      <c r="F1071" s="132"/>
      <c r="G1071" s="94"/>
      <c r="H1071" s="132">
        <f>ROUND(H1072,1)</f>
        <v>863081.7</v>
      </c>
    </row>
    <row r="1072" spans="1:8" ht="16.5" customHeight="1">
      <c r="A1072" s="127"/>
      <c r="B1072" s="13" t="str">
        <f>'Giá tháng'!B$48</f>
        <v>N1.30</v>
      </c>
      <c r="C1072" s="14" t="str">
        <f>'Giá tháng'!C$48</f>
        <v>Nhân công 3,0/7 - Nhóm 1</v>
      </c>
      <c r="D1072" s="13" t="str">
        <f>'Giá tháng'!D$48</f>
        <v>công</v>
      </c>
      <c r="E1072" s="80">
        <f>HaoPhiVatTu!G$416</f>
        <v>3.9</v>
      </c>
      <c r="F1072" s="15">
        <f>ROUND('Tổng hợp VT'!O$56,1)</f>
        <v>221303</v>
      </c>
      <c r="G1072" s="81">
        <f>'Giá tháng'!G$48</f>
        <v>1</v>
      </c>
      <c r="H1072" s="15">
        <f>ROUND(E1072*F1072*G1072,1)</f>
        <v>863081.7</v>
      </c>
    </row>
    <row r="1073" spans="1:8" ht="16.5" customHeight="1">
      <c r="A1073" s="131"/>
      <c r="B1073" s="91"/>
      <c r="C1073" s="90" t="s">
        <v>679</v>
      </c>
      <c r="D1073" s="91"/>
      <c r="E1073" s="93"/>
      <c r="F1073" s="132"/>
      <c r="G1073" s="94"/>
      <c r="H1073" s="132">
        <f>ROUND(H1074,1)</f>
        <v>1313771</v>
      </c>
    </row>
    <row r="1074" spans="1:8" ht="27.75" customHeight="1">
      <c r="A1074" s="127"/>
      <c r="B1074" s="13" t="str">
        <f>'Giá tháng'!B$58</f>
        <v>M101.0101</v>
      </c>
      <c r="C1074" s="14" t="str">
        <f>'Giá tháng'!C$58</f>
        <v>Máy đào một gầu, bánh xích - dung tích gầu : 0,40 m3</v>
      </c>
      <c r="D1074" s="13" t="str">
        <f>'Giá tháng'!D$58</f>
        <v>ca</v>
      </c>
      <c r="E1074" s="80">
        <f>HaoPhiVatTu!H$418</f>
        <v>0.63100000000000001</v>
      </c>
      <c r="F1074" s="15">
        <f>ROUND('Tổng hợp VT'!O$67,1)</f>
        <v>2082046</v>
      </c>
      <c r="G1074" s="81">
        <f>'Giá tháng'!G$58</f>
        <v>1</v>
      </c>
      <c r="H1074" s="15">
        <f>ROUND(E1074*F1074*G1074,1)</f>
        <v>1313771</v>
      </c>
    </row>
    <row r="1075" spans="1:8" ht="27.75" customHeight="1">
      <c r="A1075" s="238"/>
      <c r="B1075" s="159"/>
      <c r="C1075" s="158" t="s">
        <v>1085</v>
      </c>
      <c r="D1075" s="159" t="s">
        <v>810</v>
      </c>
      <c r="E1075" s="239"/>
      <c r="F1075" s="162"/>
      <c r="G1075" s="240"/>
      <c r="H1075" s="162">
        <f>ROUND(+H1071+H1073,1)</f>
        <v>2176852.7000000002</v>
      </c>
    </row>
    <row r="1076" spans="1:8" ht="16.5" customHeight="1">
      <c r="A1076" s="241"/>
      <c r="B1076" s="147"/>
      <c r="C1076" s="146" t="s">
        <v>812</v>
      </c>
      <c r="D1076" s="147" t="str">
        <f>""</f>
        <v/>
      </c>
      <c r="E1076" s="242"/>
      <c r="F1076" s="150"/>
      <c r="G1076" s="149"/>
      <c r="H1076" s="150"/>
    </row>
    <row r="1077" spans="1:8" ht="16.5" customHeight="1">
      <c r="A1077" s="241"/>
      <c r="B1077" s="147"/>
      <c r="C1077" s="146" t="str">
        <f>"Chi phí chung ( T x "&amp;HSXL!C$14&amp;" )"</f>
        <v>Chi phí chung ( T x 6,2% )</v>
      </c>
      <c r="D1077" s="147" t="s">
        <v>807</v>
      </c>
      <c r="E1077" s="242" t="str">
        <f>HSXL!C$14</f>
        <v>6,2%</v>
      </c>
      <c r="F1077" s="150"/>
      <c r="G1077" s="149"/>
      <c r="H1077" s="150">
        <f>ROUND(H1075*HSXL!D$14,1)</f>
        <v>134964.9</v>
      </c>
    </row>
    <row r="1078" spans="1:8" ht="27.75" customHeight="1">
      <c r="A1078" s="241"/>
      <c r="B1078" s="147"/>
      <c r="C1078" s="146" t="str">
        <f>"Chi phí nhà tạm để ở và điều hành thi công ( T x "&amp;HSXL!C$18&amp;" )"</f>
        <v>Chi phí nhà tạm để ở và điều hành thi công ( T x 2,2% )</v>
      </c>
      <c r="D1078" s="147" t="s">
        <v>815</v>
      </c>
      <c r="E1078" s="242" t="str">
        <f>HSXL!C$18</f>
        <v>2,2%</v>
      </c>
      <c r="F1078" s="150"/>
      <c r="G1078" s="149"/>
      <c r="H1078" s="150">
        <f>ROUND(H1075*HSXL!D$18,1)</f>
        <v>47890.8</v>
      </c>
    </row>
    <row r="1079" spans="1:8" ht="39.75" customHeight="1">
      <c r="A1079" s="241"/>
      <c r="B1079" s="147"/>
      <c r="C1079" s="146" t="str">
        <f>"Chi phí một số công việc không xác định được khối lượng từ thiết kế ( T x "&amp;HSXL!C$13&amp;" )"</f>
        <v>Chi phí một số công việc không xác định được khối lượng từ thiết kế ( T x 2% )</v>
      </c>
      <c r="D1079" s="147" t="s">
        <v>61</v>
      </c>
      <c r="E1079" s="242" t="str">
        <f>HSXL!C$13</f>
        <v>2%</v>
      </c>
      <c r="F1079" s="150"/>
      <c r="G1079" s="149"/>
      <c r="H1079" s="150">
        <f>ROUND(H1075*HSXL!D$13,1)</f>
        <v>43537.1</v>
      </c>
    </row>
    <row r="1080" spans="1:8" ht="27.75" customHeight="1">
      <c r="A1080" s="238"/>
      <c r="B1080" s="159"/>
      <c r="C1080" s="158" t="s">
        <v>1086</v>
      </c>
      <c r="D1080" s="159" t="s">
        <v>818</v>
      </c>
      <c r="E1080" s="239"/>
      <c r="F1080" s="162"/>
      <c r="G1080" s="240"/>
      <c r="H1080" s="162">
        <f>ROUND(SUM(H1077:H1079),1)</f>
        <v>226392.8</v>
      </c>
    </row>
    <row r="1081" spans="1:8" ht="27.75" customHeight="1">
      <c r="A1081" s="241"/>
      <c r="B1081" s="147"/>
      <c r="C1081" s="146" t="str">
        <f>"THU NHẬP CHỊU THUẾ TÍNH TRƯỚC (T+GT) x "&amp;HSXL!C$16</f>
        <v>THU NHẬP CHỊU THUẾ TÍNH TRƯỚC (T+GT) x 6%</v>
      </c>
      <c r="D1081" s="147" t="s">
        <v>821</v>
      </c>
      <c r="E1081" s="242" t="str">
        <f>HSXL!C$16</f>
        <v>6%</v>
      </c>
      <c r="F1081" s="150"/>
      <c r="G1081" s="149"/>
      <c r="H1081" s="150">
        <f>ROUND((H1075+H1080)*HSXL!D$16,1)</f>
        <v>144194.70000000001</v>
      </c>
    </row>
    <row r="1082" spans="1:8" ht="27.75" customHeight="1">
      <c r="A1082" s="241"/>
      <c r="B1082" s="147"/>
      <c r="C1082" s="146" t="s">
        <v>1087</v>
      </c>
      <c r="D1082" s="147" t="s">
        <v>823</v>
      </c>
      <c r="E1082" s="242"/>
      <c r="F1082" s="150"/>
      <c r="G1082" s="149"/>
      <c r="H1082" s="150">
        <f>ROUND(H1075+H1080+H1081,0)</f>
        <v>2547440</v>
      </c>
    </row>
    <row r="1083" spans="1:8" ht="27.75" customHeight="1">
      <c r="A1083" s="241"/>
      <c r="B1083" s="147"/>
      <c r="C1083" s="146" t="str">
        <f>"THUẾ GIÁ TRỊ GIA TĂNG ( G x "&amp;HSXL!C$17&amp;" )"</f>
        <v>THUẾ GIÁ TRỊ GIA TĂNG ( G x 10% )</v>
      </c>
      <c r="D1083" s="147" t="s">
        <v>827</v>
      </c>
      <c r="E1083" s="164">
        <f>HSXL!D$17</f>
        <v>0.1</v>
      </c>
      <c r="F1083" s="150"/>
      <c r="G1083" s="149"/>
      <c r="H1083" s="150">
        <f>ROUND(E1083*H1082,1)</f>
        <v>254744</v>
      </c>
    </row>
    <row r="1084" spans="1:8" ht="27.75" customHeight="1">
      <c r="A1084" s="243"/>
      <c r="B1084" s="244"/>
      <c r="C1084" s="245" t="s">
        <v>1088</v>
      </c>
      <c r="D1084" s="244" t="s">
        <v>830</v>
      </c>
      <c r="E1084" s="246"/>
      <c r="F1084" s="247"/>
      <c r="G1084" s="248"/>
      <c r="H1084" s="249">
        <f>ROUND(H1082+H1083,0)</f>
        <v>2802184</v>
      </c>
    </row>
    <row r="1085" spans="1:8" ht="16.5" customHeight="1">
      <c r="A1085" s="128">
        <f>'Công trình'!A142</f>
        <v>43</v>
      </c>
      <c r="B1085" s="129" t="str">
        <f>'Công trình'!E142</f>
        <v>AB.13111</v>
      </c>
      <c r="C1085" s="130" t="str">
        <f>'Công trình'!F142</f>
        <v>Đắp đất hoàn trả móng</v>
      </c>
      <c r="D1085" s="129" t="str">
        <f>'Công trình'!G142</f>
        <v>m3</v>
      </c>
      <c r="E1085" s="237">
        <v>1</v>
      </c>
      <c r="F1085" s="69"/>
      <c r="G1085" s="68"/>
      <c r="H1085" s="69"/>
    </row>
    <row r="1086" spans="1:8" ht="16.5" customHeight="1">
      <c r="A1086" s="131"/>
      <c r="B1086" s="91"/>
      <c r="C1086" s="90" t="s">
        <v>678</v>
      </c>
      <c r="D1086" s="91"/>
      <c r="E1086" s="93"/>
      <c r="F1086" s="132"/>
      <c r="G1086" s="94"/>
      <c r="H1086" s="132">
        <f>ROUND(H1087,1)</f>
        <v>123929.7</v>
      </c>
    </row>
    <row r="1087" spans="1:8" ht="16.5" customHeight="1">
      <c r="A1087" s="127"/>
      <c r="B1087" s="13" t="str">
        <f>'Giá tháng'!B$48</f>
        <v>N1.30</v>
      </c>
      <c r="C1087" s="14" t="str">
        <f>'Giá tháng'!C$48</f>
        <v>Nhân công 3,0/7 - Nhóm 1</v>
      </c>
      <c r="D1087" s="13" t="str">
        <f>'Giá tháng'!D$48</f>
        <v>công</v>
      </c>
      <c r="E1087" s="80">
        <f>HaoPhiVatTu!G$421</f>
        <v>0.56000000000000005</v>
      </c>
      <c r="F1087" s="15">
        <f>ROUND('Tổng hợp VT'!O$56,1)</f>
        <v>221303</v>
      </c>
      <c r="G1087" s="81">
        <f>'Giá tháng'!G$48</f>
        <v>1</v>
      </c>
      <c r="H1087" s="15">
        <f>ROUND(E1087*F1087*G1087,1)</f>
        <v>123929.7</v>
      </c>
    </row>
    <row r="1088" spans="1:8" ht="27.75" customHeight="1">
      <c r="A1088" s="238"/>
      <c r="B1088" s="159"/>
      <c r="C1088" s="158" t="s">
        <v>1085</v>
      </c>
      <c r="D1088" s="159" t="s">
        <v>810</v>
      </c>
      <c r="E1088" s="239"/>
      <c r="F1088" s="162"/>
      <c r="G1088" s="240"/>
      <c r="H1088" s="162">
        <f>ROUND(+H1086,1)</f>
        <v>123929.7</v>
      </c>
    </row>
    <row r="1089" spans="1:8" ht="16.5" customHeight="1">
      <c r="A1089" s="241"/>
      <c r="B1089" s="147"/>
      <c r="C1089" s="146" t="s">
        <v>812</v>
      </c>
      <c r="D1089" s="147" t="str">
        <f>""</f>
        <v/>
      </c>
      <c r="E1089" s="242"/>
      <c r="F1089" s="150"/>
      <c r="G1089" s="149"/>
      <c r="H1089" s="150"/>
    </row>
    <row r="1090" spans="1:8" ht="16.5" customHeight="1">
      <c r="A1090" s="241"/>
      <c r="B1090" s="147"/>
      <c r="C1090" s="146" t="str">
        <f>"Chi phí chung ( T x "&amp;HSXL!C$14&amp;" )"</f>
        <v>Chi phí chung ( T x 6,2% )</v>
      </c>
      <c r="D1090" s="147" t="s">
        <v>807</v>
      </c>
      <c r="E1090" s="242" t="str">
        <f>HSXL!C$14</f>
        <v>6,2%</v>
      </c>
      <c r="F1090" s="150"/>
      <c r="G1090" s="149"/>
      <c r="H1090" s="150">
        <f>ROUND(H1088*HSXL!D$14,1)</f>
        <v>7683.6</v>
      </c>
    </row>
    <row r="1091" spans="1:8" ht="27.75" customHeight="1">
      <c r="A1091" s="241"/>
      <c r="B1091" s="147"/>
      <c r="C1091" s="146" t="str">
        <f>"Chi phí nhà tạm để ở và điều hành thi công ( T x "&amp;HSXL!C$18&amp;" )"</f>
        <v>Chi phí nhà tạm để ở và điều hành thi công ( T x 2,2% )</v>
      </c>
      <c r="D1091" s="147" t="s">
        <v>815</v>
      </c>
      <c r="E1091" s="242" t="str">
        <f>HSXL!C$18</f>
        <v>2,2%</v>
      </c>
      <c r="F1091" s="150"/>
      <c r="G1091" s="149"/>
      <c r="H1091" s="150">
        <f>ROUND(H1088*HSXL!D$18,1)</f>
        <v>2726.5</v>
      </c>
    </row>
    <row r="1092" spans="1:8" ht="39.75" customHeight="1">
      <c r="A1092" s="241"/>
      <c r="B1092" s="147"/>
      <c r="C1092" s="146" t="str">
        <f>"Chi phí một số công việc không xác định được khối lượng từ thiết kế ( T x "&amp;HSXL!C$13&amp;" )"</f>
        <v>Chi phí một số công việc không xác định được khối lượng từ thiết kế ( T x 2% )</v>
      </c>
      <c r="D1092" s="147" t="s">
        <v>61</v>
      </c>
      <c r="E1092" s="242" t="str">
        <f>HSXL!C$13</f>
        <v>2%</v>
      </c>
      <c r="F1092" s="150"/>
      <c r="G1092" s="149"/>
      <c r="H1092" s="150">
        <f>ROUND(H1088*HSXL!D$13,1)</f>
        <v>2478.6</v>
      </c>
    </row>
    <row r="1093" spans="1:8" ht="27.75" customHeight="1">
      <c r="A1093" s="238"/>
      <c r="B1093" s="159"/>
      <c r="C1093" s="158" t="s">
        <v>1086</v>
      </c>
      <c r="D1093" s="159" t="s">
        <v>818</v>
      </c>
      <c r="E1093" s="239"/>
      <c r="F1093" s="162"/>
      <c r="G1093" s="240"/>
      <c r="H1093" s="162">
        <f>ROUND(SUM(H1090:H1092),1)</f>
        <v>12888.7</v>
      </c>
    </row>
    <row r="1094" spans="1:8" ht="27.75" customHeight="1">
      <c r="A1094" s="241"/>
      <c r="B1094" s="147"/>
      <c r="C1094" s="146" t="str">
        <f>"THU NHẬP CHỊU THUẾ TÍNH TRƯỚC (T+GT) x "&amp;HSXL!C$16</f>
        <v>THU NHẬP CHỊU THUẾ TÍNH TRƯỚC (T+GT) x 6%</v>
      </c>
      <c r="D1094" s="147" t="s">
        <v>821</v>
      </c>
      <c r="E1094" s="242" t="str">
        <f>HSXL!C$16</f>
        <v>6%</v>
      </c>
      <c r="F1094" s="150"/>
      <c r="G1094" s="149"/>
      <c r="H1094" s="150">
        <f>ROUND((H1088+H1093)*HSXL!D$16,1)</f>
        <v>8209.1</v>
      </c>
    </row>
    <row r="1095" spans="1:8" ht="27.75" customHeight="1">
      <c r="A1095" s="241"/>
      <c r="B1095" s="147"/>
      <c r="C1095" s="146" t="s">
        <v>1087</v>
      </c>
      <c r="D1095" s="147" t="s">
        <v>823</v>
      </c>
      <c r="E1095" s="242"/>
      <c r="F1095" s="150"/>
      <c r="G1095" s="149"/>
      <c r="H1095" s="150">
        <f>ROUND(H1088+H1093+H1094,0)</f>
        <v>145028</v>
      </c>
    </row>
    <row r="1096" spans="1:8" ht="27.75" customHeight="1">
      <c r="A1096" s="241"/>
      <c r="B1096" s="147"/>
      <c r="C1096" s="146" t="str">
        <f>"THUẾ GIÁ TRỊ GIA TĂNG ( G x "&amp;HSXL!C$17&amp;" )"</f>
        <v>THUẾ GIÁ TRỊ GIA TĂNG ( G x 10% )</v>
      </c>
      <c r="D1096" s="147" t="s">
        <v>827</v>
      </c>
      <c r="E1096" s="164">
        <f>HSXL!D$17</f>
        <v>0.1</v>
      </c>
      <c r="F1096" s="150"/>
      <c r="G1096" s="149"/>
      <c r="H1096" s="150">
        <f>ROUND(E1096*H1095,1)</f>
        <v>14502.8</v>
      </c>
    </row>
    <row r="1097" spans="1:8" ht="27.75" customHeight="1">
      <c r="A1097" s="243"/>
      <c r="B1097" s="244"/>
      <c r="C1097" s="245" t="s">
        <v>1088</v>
      </c>
      <c r="D1097" s="244" t="s">
        <v>830</v>
      </c>
      <c r="E1097" s="246"/>
      <c r="F1097" s="247"/>
      <c r="G1097" s="248"/>
      <c r="H1097" s="249">
        <f>ROUND(H1095+H1096,0)</f>
        <v>159531</v>
      </c>
    </row>
    <row r="1098" spans="1:8" ht="27.75" customHeight="1">
      <c r="A1098" s="128">
        <f>'Công trình'!A144</f>
        <v>44</v>
      </c>
      <c r="B1098" s="129" t="str">
        <f>'Công trình'!E144</f>
        <v>AC.11121</v>
      </c>
      <c r="C1098" s="130" t="str">
        <f>'Công trình'!F144</f>
        <v>Đóng cọc tre D80-D1000, 25c/m2, L=2.5m</v>
      </c>
      <c r="D1098" s="129" t="str">
        <f>'Công trình'!G144</f>
        <v>100m</v>
      </c>
      <c r="E1098" s="237">
        <v>1</v>
      </c>
      <c r="F1098" s="69"/>
      <c r="G1098" s="68"/>
      <c r="H1098" s="69"/>
    </row>
    <row r="1099" spans="1:8" ht="16.5" customHeight="1">
      <c r="A1099" s="131"/>
      <c r="B1099" s="91"/>
      <c r="C1099" s="90" t="s">
        <v>683</v>
      </c>
      <c r="D1099" s="91"/>
      <c r="E1099" s="93"/>
      <c r="F1099" s="132"/>
      <c r="G1099" s="94"/>
      <c r="H1099" s="132">
        <f>ROUND(H1104,1)</f>
        <v>644246.30000000005</v>
      </c>
    </row>
    <row r="1100" spans="1:8" ht="16.5" customHeight="1">
      <c r="A1100" s="127"/>
      <c r="B1100" s="13" t="str">
        <f>'Giá tháng'!B$13</f>
        <v>A24.0227</v>
      </c>
      <c r="C1100" s="14" t="str">
        <f>'Giá tháng'!C$13</f>
        <v>Cọc tre &gt;2,5m</v>
      </c>
      <c r="D1100" s="13" t="str">
        <f>'Giá tháng'!D$13</f>
        <v>m</v>
      </c>
      <c r="E1100" s="80">
        <f>HaoPhiVatTu!F$424</f>
        <v>105</v>
      </c>
      <c r="F1100" s="15">
        <f>ROUND('Tổng hợp VT'!O$18,1)</f>
        <v>5200</v>
      </c>
      <c r="G1100" s="81">
        <f>'Giá tháng'!G$13</f>
        <v>1</v>
      </c>
      <c r="H1100" s="15">
        <f>ROUND(E1100*F1100*G1100,1)</f>
        <v>546000</v>
      </c>
    </row>
    <row r="1101" spans="1:8" ht="16.5" customHeight="1">
      <c r="A1101" s="127"/>
      <c r="B1101" s="13" t="str">
        <f>'Giá tháng'!B$12</f>
        <v>A24.0183</v>
      </c>
      <c r="C1101" s="14" t="str">
        <f>'Giá tháng'!C$12</f>
        <v>Cây chống</v>
      </c>
      <c r="D1101" s="13" t="str">
        <f>'Giá tháng'!D$12</f>
        <v>cây</v>
      </c>
      <c r="E1101" s="80">
        <f>HaoPhiVatTu!F$425</f>
        <v>1.65</v>
      </c>
      <c r="F1101" s="15">
        <f>ROUND('Tổng hợp VT'!O$17,1)</f>
        <v>22000</v>
      </c>
      <c r="G1101" s="81">
        <f>'Giá tháng'!G$12</f>
        <v>1</v>
      </c>
      <c r="H1101" s="15">
        <f>ROUND(E1101*F1101*G1101,1)</f>
        <v>36300</v>
      </c>
    </row>
    <row r="1102" spans="1:8" ht="16.5" customHeight="1">
      <c r="A1102" s="127"/>
      <c r="B1102" s="13" t="str">
        <f>'Giá tháng'!B$23</f>
        <v>A24.0418</v>
      </c>
      <c r="C1102" s="14" t="str">
        <f>'Giá tháng'!C$23</f>
        <v>Gỗ ván</v>
      </c>
      <c r="D1102" s="13" t="str">
        <f>'Giá tháng'!D$23</f>
        <v>m3</v>
      </c>
      <c r="E1102" s="80">
        <f>HaoPhiVatTu!F$426</f>
        <v>0.01</v>
      </c>
      <c r="F1102" s="15">
        <f>ROUND('Tổng hợp VT'!O$28,1)</f>
        <v>4318182</v>
      </c>
      <c r="G1102" s="81">
        <f>'Giá tháng'!G$23</f>
        <v>1</v>
      </c>
      <c r="H1102" s="15">
        <f>ROUND(E1102*F1102*G1102,1)</f>
        <v>43181.8</v>
      </c>
    </row>
    <row r="1103" spans="1:8" ht="16.5" customHeight="1">
      <c r="A1103" s="127"/>
      <c r="B1103" s="13" t="s">
        <v>684</v>
      </c>
      <c r="C1103" s="14" t="s">
        <v>685</v>
      </c>
      <c r="D1103" s="13" t="s">
        <v>682</v>
      </c>
      <c r="E1103" s="80">
        <f>HaoPhiVatTu!F$427</f>
        <v>3</v>
      </c>
      <c r="F1103" s="15">
        <f>ROUND(SUM(H1100:H1102),1)</f>
        <v>625481.80000000005</v>
      </c>
      <c r="G1103" s="81"/>
      <c r="H1103" s="15">
        <f>ROUND(E1103*F1103/100,1)</f>
        <v>18764.5</v>
      </c>
    </row>
    <row r="1104" spans="1:8" ht="16.5" customHeight="1">
      <c r="A1104" s="127"/>
      <c r="B1104" s="13"/>
      <c r="C1104" s="14" t="s">
        <v>776</v>
      </c>
      <c r="D1104" s="13"/>
      <c r="E1104" s="80"/>
      <c r="F1104" s="15"/>
      <c r="G1104" s="81"/>
      <c r="H1104" s="15">
        <f>ROUND(SUM(H1100:H1103),1)</f>
        <v>644246.30000000005</v>
      </c>
    </row>
    <row r="1105" spans="1:8" ht="16.5" customHeight="1">
      <c r="A1105" s="131"/>
      <c r="B1105" s="91"/>
      <c r="C1105" s="90" t="s">
        <v>678</v>
      </c>
      <c r="D1105" s="91"/>
      <c r="E1105" s="93"/>
      <c r="F1105" s="132"/>
      <c r="G1105" s="94"/>
      <c r="H1105" s="132">
        <f>ROUND(H1106,1)</f>
        <v>483975.8</v>
      </c>
    </row>
    <row r="1106" spans="1:8" ht="16.5" customHeight="1">
      <c r="A1106" s="127"/>
      <c r="B1106" s="13" t="str">
        <f>'Giá tháng'!B$49</f>
        <v>N2.30</v>
      </c>
      <c r="C1106" s="14" t="str">
        <f>'Giá tháng'!C$49</f>
        <v>Nhân công 3,0/7 - Nhóm 2</v>
      </c>
      <c r="D1106" s="13" t="str">
        <f>'Giá tháng'!D$49</f>
        <v>công</v>
      </c>
      <c r="E1106" s="80">
        <f>HaoPhiVatTu!G$429</f>
        <v>2.02</v>
      </c>
      <c r="F1106" s="15">
        <f>ROUND('Tổng hợp VT'!O$57,1)</f>
        <v>239592</v>
      </c>
      <c r="G1106" s="81">
        <f>'Giá tháng'!G$49</f>
        <v>1</v>
      </c>
      <c r="H1106" s="15">
        <f>ROUND(E1106*F1106*G1106,1)</f>
        <v>483975.8</v>
      </c>
    </row>
    <row r="1107" spans="1:8" ht="27.75" customHeight="1">
      <c r="A1107" s="238"/>
      <c r="B1107" s="159"/>
      <c r="C1107" s="158" t="s">
        <v>1085</v>
      </c>
      <c r="D1107" s="159" t="s">
        <v>810</v>
      </c>
      <c r="E1107" s="239"/>
      <c r="F1107" s="162"/>
      <c r="G1107" s="240"/>
      <c r="H1107" s="162">
        <f>ROUND(H1099+H1105,1)</f>
        <v>1128222.1000000001</v>
      </c>
    </row>
    <row r="1108" spans="1:8" ht="16.5" customHeight="1">
      <c r="A1108" s="241"/>
      <c r="B1108" s="147"/>
      <c r="C1108" s="146" t="s">
        <v>812</v>
      </c>
      <c r="D1108" s="147" t="str">
        <f>""</f>
        <v/>
      </c>
      <c r="E1108" s="242"/>
      <c r="F1108" s="150"/>
      <c r="G1108" s="149"/>
      <c r="H1108" s="150"/>
    </row>
    <row r="1109" spans="1:8" ht="16.5" customHeight="1">
      <c r="A1109" s="241"/>
      <c r="B1109" s="147"/>
      <c r="C1109" s="146" t="str">
        <f>"Chi phí chung ( T x "&amp;HSXL!C$14&amp;" )"</f>
        <v>Chi phí chung ( T x 6,2% )</v>
      </c>
      <c r="D1109" s="147" t="s">
        <v>807</v>
      </c>
      <c r="E1109" s="242" t="str">
        <f>HSXL!C$14</f>
        <v>6,2%</v>
      </c>
      <c r="F1109" s="150"/>
      <c r="G1109" s="149"/>
      <c r="H1109" s="150">
        <f>ROUND(H1107*HSXL!D$14,1)</f>
        <v>69949.8</v>
      </c>
    </row>
    <row r="1110" spans="1:8" ht="27.75" customHeight="1">
      <c r="A1110" s="241"/>
      <c r="B1110" s="147"/>
      <c r="C1110" s="146" t="str">
        <f>"Chi phí nhà tạm để ở và điều hành thi công ( T x "&amp;HSXL!C$18&amp;" )"</f>
        <v>Chi phí nhà tạm để ở và điều hành thi công ( T x 2,2% )</v>
      </c>
      <c r="D1110" s="147" t="s">
        <v>815</v>
      </c>
      <c r="E1110" s="242" t="str">
        <f>HSXL!C$18</f>
        <v>2,2%</v>
      </c>
      <c r="F1110" s="150"/>
      <c r="G1110" s="149"/>
      <c r="H1110" s="150">
        <f>ROUND(H1107*HSXL!D$18,1)</f>
        <v>24820.9</v>
      </c>
    </row>
    <row r="1111" spans="1:8" ht="39.75" customHeight="1">
      <c r="A1111" s="241"/>
      <c r="B1111" s="147"/>
      <c r="C1111" s="146" t="str">
        <f>"Chi phí một số công việc không xác định được khối lượng từ thiết kế ( T x "&amp;HSXL!C$13&amp;" )"</f>
        <v>Chi phí một số công việc không xác định được khối lượng từ thiết kế ( T x 2% )</v>
      </c>
      <c r="D1111" s="147" t="s">
        <v>61</v>
      </c>
      <c r="E1111" s="242" t="str">
        <f>HSXL!C$13</f>
        <v>2%</v>
      </c>
      <c r="F1111" s="150"/>
      <c r="G1111" s="149"/>
      <c r="H1111" s="150">
        <f>ROUND(H1107*HSXL!D$13,1)</f>
        <v>22564.400000000001</v>
      </c>
    </row>
    <row r="1112" spans="1:8" ht="27.75" customHeight="1">
      <c r="A1112" s="238"/>
      <c r="B1112" s="159"/>
      <c r="C1112" s="158" t="s">
        <v>1086</v>
      </c>
      <c r="D1112" s="159" t="s">
        <v>818</v>
      </c>
      <c r="E1112" s="239"/>
      <c r="F1112" s="162"/>
      <c r="G1112" s="240"/>
      <c r="H1112" s="162">
        <f>ROUND(SUM(H1109:H1111),1)</f>
        <v>117335.1</v>
      </c>
    </row>
    <row r="1113" spans="1:8" ht="27.75" customHeight="1">
      <c r="A1113" s="241"/>
      <c r="B1113" s="147"/>
      <c r="C1113" s="146" t="str">
        <f>"THU NHẬP CHỊU THUẾ TÍNH TRƯỚC (T+GT) x "&amp;HSXL!C$16</f>
        <v>THU NHẬP CHỊU THUẾ TÍNH TRƯỚC (T+GT) x 6%</v>
      </c>
      <c r="D1113" s="147" t="s">
        <v>821</v>
      </c>
      <c r="E1113" s="242" t="str">
        <f>HSXL!C$16</f>
        <v>6%</v>
      </c>
      <c r="F1113" s="150"/>
      <c r="G1113" s="149"/>
      <c r="H1113" s="150">
        <f>ROUND((H1107+H1112)*HSXL!D$16,1)</f>
        <v>74733.399999999994</v>
      </c>
    </row>
    <row r="1114" spans="1:8" ht="27.75" customHeight="1">
      <c r="A1114" s="241"/>
      <c r="B1114" s="147"/>
      <c r="C1114" s="146" t="s">
        <v>1087</v>
      </c>
      <c r="D1114" s="147" t="s">
        <v>823</v>
      </c>
      <c r="E1114" s="242"/>
      <c r="F1114" s="150"/>
      <c r="G1114" s="149"/>
      <c r="H1114" s="150">
        <f>ROUND(H1107+H1112+H1113,0)</f>
        <v>1320291</v>
      </c>
    </row>
    <row r="1115" spans="1:8" ht="27.75" customHeight="1">
      <c r="A1115" s="241"/>
      <c r="B1115" s="147"/>
      <c r="C1115" s="146" t="str">
        <f>"THUẾ GIÁ TRỊ GIA TĂNG ( G x "&amp;HSXL!C$17&amp;" )"</f>
        <v>THUẾ GIÁ TRỊ GIA TĂNG ( G x 10% )</v>
      </c>
      <c r="D1115" s="147" t="s">
        <v>827</v>
      </c>
      <c r="E1115" s="164">
        <f>HSXL!D$17</f>
        <v>0.1</v>
      </c>
      <c r="F1115" s="150"/>
      <c r="G1115" s="149"/>
      <c r="H1115" s="150">
        <f>ROUND(E1115*H1114,1)</f>
        <v>132029.1</v>
      </c>
    </row>
    <row r="1116" spans="1:8" ht="27.75" customHeight="1">
      <c r="A1116" s="243"/>
      <c r="B1116" s="244"/>
      <c r="C1116" s="245" t="s">
        <v>1088</v>
      </c>
      <c r="D1116" s="244" t="s">
        <v>830</v>
      </c>
      <c r="E1116" s="246"/>
      <c r="F1116" s="247"/>
      <c r="G1116" s="248"/>
      <c r="H1116" s="249">
        <f>ROUND(H1114+H1115,0)</f>
        <v>1452320</v>
      </c>
    </row>
    <row r="1117" spans="1:8" ht="16.5" customHeight="1">
      <c r="A1117" s="128">
        <f>'Công trình'!A146</f>
        <v>45</v>
      </c>
      <c r="B1117" s="129" t="str">
        <f>'Công trình'!E146</f>
        <v>AB.11114</v>
      </c>
      <c r="C1117" s="130" t="str">
        <f>'Công trình'!F146</f>
        <v>Vét bùn đầu cọc</v>
      </c>
      <c r="D1117" s="129" t="str">
        <f>'Công trình'!G146</f>
        <v>m3</v>
      </c>
      <c r="E1117" s="237">
        <v>1</v>
      </c>
      <c r="F1117" s="69"/>
      <c r="G1117" s="68"/>
      <c r="H1117" s="69"/>
    </row>
    <row r="1118" spans="1:8" ht="16.5" customHeight="1">
      <c r="A1118" s="131"/>
      <c r="B1118" s="91"/>
      <c r="C1118" s="90" t="s">
        <v>678</v>
      </c>
      <c r="D1118" s="91"/>
      <c r="E1118" s="93"/>
      <c r="F1118" s="132"/>
      <c r="G1118" s="94"/>
      <c r="H1118" s="132">
        <f>ROUND(H1119,1)</f>
        <v>316463.3</v>
      </c>
    </row>
    <row r="1119" spans="1:8" ht="16.5" customHeight="1">
      <c r="A1119" s="127"/>
      <c r="B1119" s="13" t="str">
        <f>'Giá tháng'!B$48</f>
        <v>N1.30</v>
      </c>
      <c r="C1119" s="14" t="str">
        <f>'Giá tháng'!C$48</f>
        <v>Nhân công 3,0/7 - Nhóm 1</v>
      </c>
      <c r="D1119" s="13" t="str">
        <f>'Giá tháng'!D$48</f>
        <v>công</v>
      </c>
      <c r="E1119" s="80">
        <f>HaoPhiVatTu!G$432</f>
        <v>1.43</v>
      </c>
      <c r="F1119" s="15">
        <f>ROUND('Tổng hợp VT'!O$56,1)</f>
        <v>221303</v>
      </c>
      <c r="G1119" s="81">
        <f>'Giá tháng'!G$48</f>
        <v>1</v>
      </c>
      <c r="H1119" s="15">
        <f>ROUND(E1119*F1119*G1119,1)</f>
        <v>316463.3</v>
      </c>
    </row>
    <row r="1120" spans="1:8" ht="27.75" customHeight="1">
      <c r="A1120" s="238"/>
      <c r="B1120" s="159"/>
      <c r="C1120" s="158" t="s">
        <v>1085</v>
      </c>
      <c r="D1120" s="159" t="s">
        <v>810</v>
      </c>
      <c r="E1120" s="239"/>
      <c r="F1120" s="162"/>
      <c r="G1120" s="240"/>
      <c r="H1120" s="162">
        <f>ROUND(+H1118,1)</f>
        <v>316463.3</v>
      </c>
    </row>
    <row r="1121" spans="1:8" ht="16.5" customHeight="1">
      <c r="A1121" s="241"/>
      <c r="B1121" s="147"/>
      <c r="C1121" s="146" t="s">
        <v>812</v>
      </c>
      <c r="D1121" s="147" t="str">
        <f>""</f>
        <v/>
      </c>
      <c r="E1121" s="242"/>
      <c r="F1121" s="150"/>
      <c r="G1121" s="149"/>
      <c r="H1121" s="150"/>
    </row>
    <row r="1122" spans="1:8" ht="16.5" customHeight="1">
      <c r="A1122" s="241"/>
      <c r="B1122" s="147"/>
      <c r="C1122" s="146" t="str">
        <f>"Chi phí chung ( T x "&amp;HSXL!C$14&amp;" )"</f>
        <v>Chi phí chung ( T x 6,2% )</v>
      </c>
      <c r="D1122" s="147" t="s">
        <v>807</v>
      </c>
      <c r="E1122" s="242" t="str">
        <f>HSXL!C$14</f>
        <v>6,2%</v>
      </c>
      <c r="F1122" s="150"/>
      <c r="G1122" s="149"/>
      <c r="H1122" s="150">
        <f>ROUND(H1120*HSXL!D$14,1)</f>
        <v>19620.7</v>
      </c>
    </row>
    <row r="1123" spans="1:8" ht="27.75" customHeight="1">
      <c r="A1123" s="241"/>
      <c r="B1123" s="147"/>
      <c r="C1123" s="146" t="str">
        <f>"Chi phí nhà tạm để ở và điều hành thi công ( T x "&amp;HSXL!C$18&amp;" )"</f>
        <v>Chi phí nhà tạm để ở và điều hành thi công ( T x 2,2% )</v>
      </c>
      <c r="D1123" s="147" t="s">
        <v>815</v>
      </c>
      <c r="E1123" s="242" t="str">
        <f>HSXL!C$18</f>
        <v>2,2%</v>
      </c>
      <c r="F1123" s="150"/>
      <c r="G1123" s="149"/>
      <c r="H1123" s="150">
        <f>ROUND(H1120*HSXL!D$18,1)</f>
        <v>6962.2</v>
      </c>
    </row>
    <row r="1124" spans="1:8" ht="39.75" customHeight="1">
      <c r="A1124" s="241"/>
      <c r="B1124" s="147"/>
      <c r="C1124" s="146" t="str">
        <f>"Chi phí một số công việc không xác định được khối lượng từ thiết kế ( T x "&amp;HSXL!C$13&amp;" )"</f>
        <v>Chi phí một số công việc không xác định được khối lượng từ thiết kế ( T x 2% )</v>
      </c>
      <c r="D1124" s="147" t="s">
        <v>61</v>
      </c>
      <c r="E1124" s="242" t="str">
        <f>HSXL!C$13</f>
        <v>2%</v>
      </c>
      <c r="F1124" s="150"/>
      <c r="G1124" s="149"/>
      <c r="H1124" s="150">
        <f>ROUND(H1120*HSXL!D$13,1)</f>
        <v>6329.3</v>
      </c>
    </row>
    <row r="1125" spans="1:8" ht="27.75" customHeight="1">
      <c r="A1125" s="238"/>
      <c r="B1125" s="159"/>
      <c r="C1125" s="158" t="s">
        <v>1086</v>
      </c>
      <c r="D1125" s="159" t="s">
        <v>818</v>
      </c>
      <c r="E1125" s="239"/>
      <c r="F1125" s="162"/>
      <c r="G1125" s="240"/>
      <c r="H1125" s="162">
        <f>ROUND(SUM(H1122:H1124),1)</f>
        <v>32912.199999999997</v>
      </c>
    </row>
    <row r="1126" spans="1:8" ht="27.75" customHeight="1">
      <c r="A1126" s="241"/>
      <c r="B1126" s="147"/>
      <c r="C1126" s="146" t="str">
        <f>"THU NHẬP CHỊU THUẾ TÍNH TRƯỚC (T+GT) x "&amp;HSXL!C$16</f>
        <v>THU NHẬP CHỊU THUẾ TÍNH TRƯỚC (T+GT) x 6%</v>
      </c>
      <c r="D1126" s="147" t="s">
        <v>821</v>
      </c>
      <c r="E1126" s="242" t="str">
        <f>HSXL!C$16</f>
        <v>6%</v>
      </c>
      <c r="F1126" s="150"/>
      <c r="G1126" s="149"/>
      <c r="H1126" s="150">
        <f>ROUND((H1120+H1125)*HSXL!D$16,1)</f>
        <v>20962.5</v>
      </c>
    </row>
    <row r="1127" spans="1:8" ht="27.75" customHeight="1">
      <c r="A1127" s="241"/>
      <c r="B1127" s="147"/>
      <c r="C1127" s="146" t="s">
        <v>1087</v>
      </c>
      <c r="D1127" s="147" t="s">
        <v>823</v>
      </c>
      <c r="E1127" s="242"/>
      <c r="F1127" s="150"/>
      <c r="G1127" s="149"/>
      <c r="H1127" s="150">
        <f>ROUND(H1120+H1125+H1126,0)</f>
        <v>370338</v>
      </c>
    </row>
    <row r="1128" spans="1:8" ht="27.75" customHeight="1">
      <c r="A1128" s="241"/>
      <c r="B1128" s="147"/>
      <c r="C1128" s="146" t="str">
        <f>"THUẾ GIÁ TRỊ GIA TĂNG ( G x "&amp;HSXL!C$17&amp;" )"</f>
        <v>THUẾ GIÁ TRỊ GIA TĂNG ( G x 10% )</v>
      </c>
      <c r="D1128" s="147" t="s">
        <v>827</v>
      </c>
      <c r="E1128" s="164">
        <f>HSXL!D$17</f>
        <v>0.1</v>
      </c>
      <c r="F1128" s="150"/>
      <c r="G1128" s="149"/>
      <c r="H1128" s="150">
        <f>ROUND(E1128*H1127,1)</f>
        <v>37033.800000000003</v>
      </c>
    </row>
    <row r="1129" spans="1:8" ht="27.75" customHeight="1">
      <c r="A1129" s="243"/>
      <c r="B1129" s="244"/>
      <c r="C1129" s="245" t="s">
        <v>1088</v>
      </c>
      <c r="D1129" s="244" t="s">
        <v>830</v>
      </c>
      <c r="E1129" s="246"/>
      <c r="F1129" s="247"/>
      <c r="G1129" s="248"/>
      <c r="H1129" s="249">
        <f>ROUND(H1127+H1128,0)</f>
        <v>407372</v>
      </c>
    </row>
    <row r="1130" spans="1:8" ht="16.5" customHeight="1">
      <c r="A1130" s="128">
        <f>'Công trình'!A148</f>
        <v>46</v>
      </c>
      <c r="B1130" s="129" t="str">
        <f>'Công trình'!E148</f>
        <v>AB.13411</v>
      </c>
      <c r="C1130" s="130" t="str">
        <f>'Công trình'!F148</f>
        <v>Cát đen đệm đầu cọc</v>
      </c>
      <c r="D1130" s="129" t="str">
        <f>'Công trình'!G148</f>
        <v>m3</v>
      </c>
      <c r="E1130" s="237">
        <v>1</v>
      </c>
      <c r="F1130" s="69"/>
      <c r="G1130" s="68"/>
      <c r="H1130" s="69"/>
    </row>
    <row r="1131" spans="1:8" ht="16.5" customHeight="1">
      <c r="A1131" s="131"/>
      <c r="B1131" s="91"/>
      <c r="C1131" s="90" t="s">
        <v>683</v>
      </c>
      <c r="D1131" s="91"/>
      <c r="E1131" s="93"/>
      <c r="F1131" s="132"/>
      <c r="G1131" s="94"/>
      <c r="H1131" s="132">
        <f>ROUND(H1134,1)</f>
        <v>186660</v>
      </c>
    </row>
    <row r="1132" spans="1:8" ht="16.5" customHeight="1">
      <c r="A1132" s="127"/>
      <c r="B1132" s="13" t="str">
        <f>'Giá tháng'!B$7</f>
        <v>A24.1042</v>
      </c>
      <c r="C1132" s="14" t="str">
        <f>'Giá tháng'!C$7</f>
        <v>Cát</v>
      </c>
      <c r="D1132" s="13" t="str">
        <f>'Giá tháng'!D$7</f>
        <v>m3</v>
      </c>
      <c r="E1132" s="80">
        <f>HaoPhiVatTu!F$435</f>
        <v>1.22</v>
      </c>
      <c r="F1132" s="15">
        <f>ROUND('Tổng hợp VT'!O$12,1)</f>
        <v>150000</v>
      </c>
      <c r="G1132" s="81">
        <f>'Giá tháng'!G$7</f>
        <v>1</v>
      </c>
      <c r="H1132" s="15">
        <f>ROUND(E1132*F1132*G1132,1)</f>
        <v>183000</v>
      </c>
    </row>
    <row r="1133" spans="1:8" ht="16.5" customHeight="1">
      <c r="A1133" s="127"/>
      <c r="B1133" s="13" t="s">
        <v>684</v>
      </c>
      <c r="C1133" s="14" t="s">
        <v>685</v>
      </c>
      <c r="D1133" s="13" t="s">
        <v>682</v>
      </c>
      <c r="E1133" s="80">
        <f>HaoPhiVatTu!F$436</f>
        <v>2</v>
      </c>
      <c r="F1133" s="15">
        <f>ROUND(SUM(H1132:H1132),1)</f>
        <v>183000</v>
      </c>
      <c r="G1133" s="81"/>
      <c r="H1133" s="15">
        <f>ROUND(E1133*F1133/100,1)</f>
        <v>3660</v>
      </c>
    </row>
    <row r="1134" spans="1:8" ht="16.5" customHeight="1">
      <c r="A1134" s="127"/>
      <c r="B1134" s="13"/>
      <c r="C1134" s="14" t="s">
        <v>776</v>
      </c>
      <c r="D1134" s="13"/>
      <c r="E1134" s="80"/>
      <c r="F1134" s="15"/>
      <c r="G1134" s="81"/>
      <c r="H1134" s="15">
        <f>ROUND(SUM(H1132:H1133),1)</f>
        <v>186660</v>
      </c>
    </row>
    <row r="1135" spans="1:8" ht="16.5" customHeight="1">
      <c r="A1135" s="131"/>
      <c r="B1135" s="91"/>
      <c r="C1135" s="90" t="s">
        <v>678</v>
      </c>
      <c r="D1135" s="91"/>
      <c r="E1135" s="93"/>
      <c r="F1135" s="132"/>
      <c r="G1135" s="94"/>
      <c r="H1135" s="132">
        <f>ROUND(H1136,1)</f>
        <v>99586.4</v>
      </c>
    </row>
    <row r="1136" spans="1:8" ht="16.5" customHeight="1">
      <c r="A1136" s="127"/>
      <c r="B1136" s="13" t="str">
        <f>'Giá tháng'!B$48</f>
        <v>N1.30</v>
      </c>
      <c r="C1136" s="14" t="str">
        <f>'Giá tháng'!C$48</f>
        <v>Nhân công 3,0/7 - Nhóm 1</v>
      </c>
      <c r="D1136" s="13" t="str">
        <f>'Giá tháng'!D$48</f>
        <v>công</v>
      </c>
      <c r="E1136" s="80">
        <f>HaoPhiVatTu!G$438</f>
        <v>0.45</v>
      </c>
      <c r="F1136" s="15">
        <f>ROUND('Tổng hợp VT'!O$56,1)</f>
        <v>221303</v>
      </c>
      <c r="G1136" s="81">
        <f>'Giá tháng'!G$48</f>
        <v>1</v>
      </c>
      <c r="H1136" s="15">
        <f>ROUND(E1136*F1136*G1136,1)</f>
        <v>99586.4</v>
      </c>
    </row>
    <row r="1137" spans="1:8" ht="27.75" customHeight="1">
      <c r="A1137" s="238"/>
      <c r="B1137" s="159"/>
      <c r="C1137" s="158" t="s">
        <v>1085</v>
      </c>
      <c r="D1137" s="159" t="s">
        <v>810</v>
      </c>
      <c r="E1137" s="239"/>
      <c r="F1137" s="162"/>
      <c r="G1137" s="240"/>
      <c r="H1137" s="162">
        <f>ROUND(H1131+H1135,1)</f>
        <v>286246.40000000002</v>
      </c>
    </row>
    <row r="1138" spans="1:8" ht="16.5" customHeight="1">
      <c r="A1138" s="241"/>
      <c r="B1138" s="147"/>
      <c r="C1138" s="146" t="s">
        <v>812</v>
      </c>
      <c r="D1138" s="147" t="str">
        <f>""</f>
        <v/>
      </c>
      <c r="E1138" s="242"/>
      <c r="F1138" s="150"/>
      <c r="G1138" s="149"/>
      <c r="H1138" s="150"/>
    </row>
    <row r="1139" spans="1:8" ht="16.5" customHeight="1">
      <c r="A1139" s="241"/>
      <c r="B1139" s="147"/>
      <c r="C1139" s="146" t="str">
        <f>"Chi phí chung ( T x "&amp;HSXL!C$14&amp;" )"</f>
        <v>Chi phí chung ( T x 6,2% )</v>
      </c>
      <c r="D1139" s="147" t="s">
        <v>807</v>
      </c>
      <c r="E1139" s="242" t="str">
        <f>HSXL!C$14</f>
        <v>6,2%</v>
      </c>
      <c r="F1139" s="150"/>
      <c r="G1139" s="149"/>
      <c r="H1139" s="150">
        <f>ROUND(H1137*HSXL!D$14,1)</f>
        <v>17747.3</v>
      </c>
    </row>
    <row r="1140" spans="1:8" ht="27.75" customHeight="1">
      <c r="A1140" s="241"/>
      <c r="B1140" s="147"/>
      <c r="C1140" s="146" t="str">
        <f>"Chi phí nhà tạm để ở và điều hành thi công ( T x "&amp;HSXL!C$18&amp;" )"</f>
        <v>Chi phí nhà tạm để ở và điều hành thi công ( T x 2,2% )</v>
      </c>
      <c r="D1140" s="147" t="s">
        <v>815</v>
      </c>
      <c r="E1140" s="242" t="str">
        <f>HSXL!C$18</f>
        <v>2,2%</v>
      </c>
      <c r="F1140" s="150"/>
      <c r="G1140" s="149"/>
      <c r="H1140" s="150">
        <f>ROUND(H1137*HSXL!D$18,1)</f>
        <v>6297.4</v>
      </c>
    </row>
    <row r="1141" spans="1:8" ht="39.75" customHeight="1">
      <c r="A1141" s="241"/>
      <c r="B1141" s="147"/>
      <c r="C1141" s="146" t="str">
        <f>"Chi phí một số công việc không xác định được khối lượng từ thiết kế ( T x "&amp;HSXL!C$13&amp;" )"</f>
        <v>Chi phí một số công việc không xác định được khối lượng từ thiết kế ( T x 2% )</v>
      </c>
      <c r="D1141" s="147" t="s">
        <v>61</v>
      </c>
      <c r="E1141" s="242" t="str">
        <f>HSXL!C$13</f>
        <v>2%</v>
      </c>
      <c r="F1141" s="150"/>
      <c r="G1141" s="149"/>
      <c r="H1141" s="150">
        <f>ROUND(H1137*HSXL!D$13,1)</f>
        <v>5724.9</v>
      </c>
    </row>
    <row r="1142" spans="1:8" ht="27.75" customHeight="1">
      <c r="A1142" s="238"/>
      <c r="B1142" s="159"/>
      <c r="C1142" s="158" t="s">
        <v>1086</v>
      </c>
      <c r="D1142" s="159" t="s">
        <v>818</v>
      </c>
      <c r="E1142" s="239"/>
      <c r="F1142" s="162"/>
      <c r="G1142" s="240"/>
      <c r="H1142" s="162">
        <f>ROUND(SUM(H1139:H1141),1)</f>
        <v>29769.599999999999</v>
      </c>
    </row>
    <row r="1143" spans="1:8" ht="27.75" customHeight="1">
      <c r="A1143" s="241"/>
      <c r="B1143" s="147"/>
      <c r="C1143" s="146" t="str">
        <f>"THU NHẬP CHỊU THUẾ TÍNH TRƯỚC (T+GT) x "&amp;HSXL!C$16</f>
        <v>THU NHẬP CHỊU THUẾ TÍNH TRƯỚC (T+GT) x 6%</v>
      </c>
      <c r="D1143" s="147" t="s">
        <v>821</v>
      </c>
      <c r="E1143" s="242" t="str">
        <f>HSXL!C$16</f>
        <v>6%</v>
      </c>
      <c r="F1143" s="150"/>
      <c r="G1143" s="149"/>
      <c r="H1143" s="150">
        <f>ROUND((H1137+H1142)*HSXL!D$16,1)</f>
        <v>18961</v>
      </c>
    </row>
    <row r="1144" spans="1:8" ht="27.75" customHeight="1">
      <c r="A1144" s="241"/>
      <c r="B1144" s="147"/>
      <c r="C1144" s="146" t="s">
        <v>1087</v>
      </c>
      <c r="D1144" s="147" t="s">
        <v>823</v>
      </c>
      <c r="E1144" s="242"/>
      <c r="F1144" s="150"/>
      <c r="G1144" s="149"/>
      <c r="H1144" s="150">
        <f>ROUND(H1137+H1142+H1143,0)</f>
        <v>334977</v>
      </c>
    </row>
    <row r="1145" spans="1:8" ht="27.75" customHeight="1">
      <c r="A1145" s="241"/>
      <c r="B1145" s="147"/>
      <c r="C1145" s="146" t="str">
        <f>"THUẾ GIÁ TRỊ GIA TĂNG ( G x "&amp;HSXL!C$17&amp;" )"</f>
        <v>THUẾ GIÁ TRỊ GIA TĂNG ( G x 10% )</v>
      </c>
      <c r="D1145" s="147" t="s">
        <v>827</v>
      </c>
      <c r="E1145" s="164">
        <f>HSXL!D$17</f>
        <v>0.1</v>
      </c>
      <c r="F1145" s="150"/>
      <c r="G1145" s="149"/>
      <c r="H1145" s="150">
        <f>ROUND(E1145*H1144,1)</f>
        <v>33497.699999999997</v>
      </c>
    </row>
    <row r="1146" spans="1:8" ht="27.75" customHeight="1">
      <c r="A1146" s="243"/>
      <c r="B1146" s="244"/>
      <c r="C1146" s="245" t="s">
        <v>1088</v>
      </c>
      <c r="D1146" s="244" t="s">
        <v>830</v>
      </c>
      <c r="E1146" s="246"/>
      <c r="F1146" s="247"/>
      <c r="G1146" s="248"/>
      <c r="H1146" s="249">
        <f>ROUND(H1144+H1145,0)</f>
        <v>368475</v>
      </c>
    </row>
    <row r="1147" spans="1:8" ht="16.5" customHeight="1">
      <c r="A1147" s="128">
        <f>'Công trình'!A150</f>
        <v>47</v>
      </c>
      <c r="B1147" s="129" t="str">
        <f>'Công trình'!E150</f>
        <v>AK.98110</v>
      </c>
      <c r="C1147" s="130" t="str">
        <f>'Công trình'!F150</f>
        <v>Đá dăm 2x4 lót móng, dày 10cm</v>
      </c>
      <c r="D1147" s="129" t="str">
        <f>'Công trình'!G150</f>
        <v>m3</v>
      </c>
      <c r="E1147" s="237">
        <v>1</v>
      </c>
      <c r="F1147" s="69"/>
      <c r="G1147" s="68"/>
      <c r="H1147" s="69"/>
    </row>
    <row r="1148" spans="1:8" ht="16.5" customHeight="1">
      <c r="A1148" s="131"/>
      <c r="B1148" s="91"/>
      <c r="C1148" s="90" t="s">
        <v>683</v>
      </c>
      <c r="D1148" s="91"/>
      <c r="E1148" s="93"/>
      <c r="F1148" s="132"/>
      <c r="G1148" s="94"/>
      <c r="H1148" s="132">
        <f>ROUND(H1151,1)</f>
        <v>453000</v>
      </c>
    </row>
    <row r="1149" spans="1:8" ht="16.5" customHeight="1">
      <c r="A1149" s="127"/>
      <c r="B1149" s="13" t="str">
        <f>'Giá tháng'!B$17</f>
        <v>A24.0025</v>
      </c>
      <c r="C1149" s="14" t="str">
        <f>'Giá tháng'!C$17</f>
        <v>Đá dăm 2x4 lót móng</v>
      </c>
      <c r="D1149" s="13" t="str">
        <f>'Giá tháng'!D$17</f>
        <v>m3</v>
      </c>
      <c r="E1149" s="80">
        <f>HaoPhiVatTu!F$441</f>
        <v>1.2</v>
      </c>
      <c r="F1149" s="15">
        <f>ROUND('Tổng hợp VT'!O$22,1)</f>
        <v>340000</v>
      </c>
      <c r="G1149" s="81">
        <f>'Giá tháng'!G$17</f>
        <v>1</v>
      </c>
      <c r="H1149" s="15">
        <f>ROUND(E1149*F1149*G1149,1)</f>
        <v>408000</v>
      </c>
    </row>
    <row r="1150" spans="1:8" ht="16.5" customHeight="1">
      <c r="A1150" s="127"/>
      <c r="B1150" s="13" t="str">
        <f>'Giá tháng'!B$7</f>
        <v>A24.1042</v>
      </c>
      <c r="C1150" s="14" t="str">
        <f>'Giá tháng'!C$7</f>
        <v>Cát</v>
      </c>
      <c r="D1150" s="13" t="str">
        <f>'Giá tháng'!D$7</f>
        <v>m3</v>
      </c>
      <c r="E1150" s="80">
        <f>HaoPhiVatTu!F$442</f>
        <v>0.3</v>
      </c>
      <c r="F1150" s="15">
        <f>ROUND('Tổng hợp VT'!O$12,1)</f>
        <v>150000</v>
      </c>
      <c r="G1150" s="81">
        <f>'Giá tháng'!G$7</f>
        <v>1</v>
      </c>
      <c r="H1150" s="15">
        <f>ROUND(E1150*F1150*G1150,1)</f>
        <v>45000</v>
      </c>
    </row>
    <row r="1151" spans="1:8" ht="16.5" customHeight="1">
      <c r="A1151" s="127"/>
      <c r="B1151" s="13"/>
      <c r="C1151" s="14" t="s">
        <v>776</v>
      </c>
      <c r="D1151" s="13"/>
      <c r="E1151" s="80"/>
      <c r="F1151" s="15"/>
      <c r="G1151" s="81"/>
      <c r="H1151" s="15">
        <f>ROUND(SUM(H1149:H1150),1)</f>
        <v>453000</v>
      </c>
    </row>
    <row r="1152" spans="1:8" ht="16.5" customHeight="1">
      <c r="A1152" s="131"/>
      <c r="B1152" s="91"/>
      <c r="C1152" s="90" t="s">
        <v>678</v>
      </c>
      <c r="D1152" s="91"/>
      <c r="E1152" s="93"/>
      <c r="F1152" s="132"/>
      <c r="G1152" s="94"/>
      <c r="H1152" s="132">
        <f>ROUND(H1153,1)</f>
        <v>420923.8</v>
      </c>
    </row>
    <row r="1153" spans="1:8" ht="16.5" customHeight="1">
      <c r="A1153" s="127"/>
      <c r="B1153" s="13" t="str">
        <f>'Giá tháng'!B$53</f>
        <v>N2.40</v>
      </c>
      <c r="C1153" s="14" t="str">
        <f>'Giá tháng'!C$53</f>
        <v>Nhân công 4,0/7 - Nhóm 2</v>
      </c>
      <c r="D1153" s="13" t="str">
        <f>'Giá tháng'!D$53</f>
        <v>công</v>
      </c>
      <c r="E1153" s="80">
        <f>HaoPhiVatTu!G$444</f>
        <v>1.48</v>
      </c>
      <c r="F1153" s="15">
        <f>ROUND('Tổng hợp VT'!O$60,1)</f>
        <v>284408</v>
      </c>
      <c r="G1153" s="81">
        <f>'Giá tháng'!G$53</f>
        <v>1</v>
      </c>
      <c r="H1153" s="15">
        <f>ROUND(E1153*F1153*G1153,1)</f>
        <v>420923.8</v>
      </c>
    </row>
    <row r="1154" spans="1:8" ht="27.75" customHeight="1">
      <c r="A1154" s="238"/>
      <c r="B1154" s="159"/>
      <c r="C1154" s="158" t="s">
        <v>1085</v>
      </c>
      <c r="D1154" s="159" t="s">
        <v>810</v>
      </c>
      <c r="E1154" s="239"/>
      <c r="F1154" s="162"/>
      <c r="G1154" s="240"/>
      <c r="H1154" s="162">
        <f>ROUND(H1148+H1152,1)</f>
        <v>873923.8</v>
      </c>
    </row>
    <row r="1155" spans="1:8" ht="16.5" customHeight="1">
      <c r="A1155" s="241"/>
      <c r="B1155" s="147"/>
      <c r="C1155" s="146" t="s">
        <v>812</v>
      </c>
      <c r="D1155" s="147" t="str">
        <f>""</f>
        <v/>
      </c>
      <c r="E1155" s="242"/>
      <c r="F1155" s="150"/>
      <c r="G1155" s="149"/>
      <c r="H1155" s="150"/>
    </row>
    <row r="1156" spans="1:8" ht="16.5" customHeight="1">
      <c r="A1156" s="241"/>
      <c r="B1156" s="147"/>
      <c r="C1156" s="146" t="str">
        <f>"Chi phí chung ( T x "&amp;HSXL!C$14&amp;" )"</f>
        <v>Chi phí chung ( T x 6,2% )</v>
      </c>
      <c r="D1156" s="147" t="s">
        <v>807</v>
      </c>
      <c r="E1156" s="242" t="str">
        <f>HSXL!C$14</f>
        <v>6,2%</v>
      </c>
      <c r="F1156" s="150"/>
      <c r="G1156" s="149"/>
      <c r="H1156" s="150">
        <f>ROUND(H1154*HSXL!D$14,1)</f>
        <v>54183.3</v>
      </c>
    </row>
    <row r="1157" spans="1:8" ht="27.75" customHeight="1">
      <c r="A1157" s="241"/>
      <c r="B1157" s="147"/>
      <c r="C1157" s="146" t="str">
        <f>"Chi phí nhà tạm để ở và điều hành thi công ( T x "&amp;HSXL!C$18&amp;" )"</f>
        <v>Chi phí nhà tạm để ở và điều hành thi công ( T x 2,2% )</v>
      </c>
      <c r="D1157" s="147" t="s">
        <v>815</v>
      </c>
      <c r="E1157" s="242" t="str">
        <f>HSXL!C$18</f>
        <v>2,2%</v>
      </c>
      <c r="F1157" s="150"/>
      <c r="G1157" s="149"/>
      <c r="H1157" s="150">
        <f>ROUND(H1154*HSXL!D$18,1)</f>
        <v>19226.3</v>
      </c>
    </row>
    <row r="1158" spans="1:8" ht="39.75" customHeight="1">
      <c r="A1158" s="241"/>
      <c r="B1158" s="147"/>
      <c r="C1158" s="146" t="str">
        <f>"Chi phí một số công việc không xác định được khối lượng từ thiết kế ( T x "&amp;HSXL!C$13&amp;" )"</f>
        <v>Chi phí một số công việc không xác định được khối lượng từ thiết kế ( T x 2% )</v>
      </c>
      <c r="D1158" s="147" t="s">
        <v>61</v>
      </c>
      <c r="E1158" s="242" t="str">
        <f>HSXL!C$13</f>
        <v>2%</v>
      </c>
      <c r="F1158" s="150"/>
      <c r="G1158" s="149"/>
      <c r="H1158" s="150">
        <f>ROUND(H1154*HSXL!D$13,1)</f>
        <v>17478.5</v>
      </c>
    </row>
    <row r="1159" spans="1:8" ht="27.75" customHeight="1">
      <c r="A1159" s="238"/>
      <c r="B1159" s="159"/>
      <c r="C1159" s="158" t="s">
        <v>1086</v>
      </c>
      <c r="D1159" s="159" t="s">
        <v>818</v>
      </c>
      <c r="E1159" s="239"/>
      <c r="F1159" s="162"/>
      <c r="G1159" s="240"/>
      <c r="H1159" s="162">
        <f>ROUND(SUM(H1156:H1158),1)</f>
        <v>90888.1</v>
      </c>
    </row>
    <row r="1160" spans="1:8" ht="27.75" customHeight="1">
      <c r="A1160" s="241"/>
      <c r="B1160" s="147"/>
      <c r="C1160" s="146" t="str">
        <f>"THU NHẬP CHỊU THUẾ TÍNH TRƯỚC (T+GT) x "&amp;HSXL!C$16</f>
        <v>THU NHẬP CHỊU THUẾ TÍNH TRƯỚC (T+GT) x 6%</v>
      </c>
      <c r="D1160" s="147" t="s">
        <v>821</v>
      </c>
      <c r="E1160" s="242" t="str">
        <f>HSXL!C$16</f>
        <v>6%</v>
      </c>
      <c r="F1160" s="150"/>
      <c r="G1160" s="149"/>
      <c r="H1160" s="150">
        <f>ROUND((H1154+H1159)*HSXL!D$16,1)</f>
        <v>57888.7</v>
      </c>
    </row>
    <row r="1161" spans="1:8" ht="27.75" customHeight="1">
      <c r="A1161" s="241"/>
      <c r="B1161" s="147"/>
      <c r="C1161" s="146" t="s">
        <v>1087</v>
      </c>
      <c r="D1161" s="147" t="s">
        <v>823</v>
      </c>
      <c r="E1161" s="242"/>
      <c r="F1161" s="150"/>
      <c r="G1161" s="149"/>
      <c r="H1161" s="150">
        <f>ROUND(H1154+H1159+H1160,0)</f>
        <v>1022701</v>
      </c>
    </row>
    <row r="1162" spans="1:8" ht="27.75" customHeight="1">
      <c r="A1162" s="241"/>
      <c r="B1162" s="147"/>
      <c r="C1162" s="146" t="str">
        <f>"THUẾ GIÁ TRỊ GIA TĂNG ( G x "&amp;HSXL!C$17&amp;" )"</f>
        <v>THUẾ GIÁ TRỊ GIA TĂNG ( G x 10% )</v>
      </c>
      <c r="D1162" s="147" t="s">
        <v>827</v>
      </c>
      <c r="E1162" s="164">
        <f>HSXL!D$17</f>
        <v>0.1</v>
      </c>
      <c r="F1162" s="150"/>
      <c r="G1162" s="149"/>
      <c r="H1162" s="150">
        <f>ROUND(E1162*H1161,1)</f>
        <v>102270.1</v>
      </c>
    </row>
    <row r="1163" spans="1:8" ht="27.75" customHeight="1">
      <c r="A1163" s="243"/>
      <c r="B1163" s="244"/>
      <c r="C1163" s="245" t="s">
        <v>1088</v>
      </c>
      <c r="D1163" s="244" t="s">
        <v>830</v>
      </c>
      <c r="E1163" s="246"/>
      <c r="F1163" s="247"/>
      <c r="G1163" s="248"/>
      <c r="H1163" s="249">
        <f>ROUND(H1161+H1162,0)</f>
        <v>1124971</v>
      </c>
    </row>
    <row r="1164" spans="1:8" ht="16.5" customHeight="1">
      <c r="A1164" s="128">
        <f>'Công trình'!A152</f>
        <v>48</v>
      </c>
      <c r="B1164" s="129" t="str">
        <f>'Công trình'!E152</f>
        <v>AF.81122</v>
      </c>
      <c r="C1164" s="130" t="str">
        <f>'Công trình'!F152</f>
        <v>Ván khuôn gỗ móng</v>
      </c>
      <c r="D1164" s="129" t="str">
        <f>'Công trình'!G152</f>
        <v>100m2</v>
      </c>
      <c r="E1164" s="237">
        <v>1</v>
      </c>
      <c r="F1164" s="69"/>
      <c r="G1164" s="68"/>
      <c r="H1164" s="69"/>
    </row>
    <row r="1165" spans="1:8" ht="16.5" customHeight="1">
      <c r="A1165" s="131"/>
      <c r="B1165" s="91"/>
      <c r="C1165" s="90" t="s">
        <v>683</v>
      </c>
      <c r="D1165" s="91"/>
      <c r="E1165" s="93"/>
      <c r="F1165" s="132"/>
      <c r="G1165" s="94"/>
      <c r="H1165" s="132">
        <f>ROUND(H1171,1)</f>
        <v>6188316.2000000002</v>
      </c>
    </row>
    <row r="1166" spans="1:8" ht="16.5" customHeight="1">
      <c r="A1166" s="127"/>
      <c r="B1166" s="13" t="str">
        <f>'Giá tháng'!B$23</f>
        <v>A24.0418</v>
      </c>
      <c r="C1166" s="14" t="str">
        <f>'Giá tháng'!C$23</f>
        <v>Gỗ ván</v>
      </c>
      <c r="D1166" s="13" t="str">
        <f>'Giá tháng'!D$23</f>
        <v>m3</v>
      </c>
      <c r="E1166" s="80">
        <f>HaoPhiVatTu!F$447</f>
        <v>0.79400000000000004</v>
      </c>
      <c r="F1166" s="15">
        <f>ROUND('Tổng hợp VT'!O$28,1)</f>
        <v>4318182</v>
      </c>
      <c r="G1166" s="81">
        <f>'Giá tháng'!G$23</f>
        <v>1</v>
      </c>
      <c r="H1166" s="15">
        <f>ROUND(E1166*F1166*G1166,1)</f>
        <v>3428636.5</v>
      </c>
    </row>
    <row r="1167" spans="1:8" ht="16.5" customHeight="1">
      <c r="A1167" s="127"/>
      <c r="B1167" s="13" t="str">
        <f>'Giá tháng'!B$22</f>
        <v>A24.0404</v>
      </c>
      <c r="C1167" s="14" t="str">
        <f>'Giá tháng'!C$22</f>
        <v>Gỗ đà nẹp</v>
      </c>
      <c r="D1167" s="13" t="str">
        <f>'Giá tháng'!D$22</f>
        <v>m3</v>
      </c>
      <c r="E1167" s="80">
        <f>HaoPhiVatTu!F$448</f>
        <v>0.21</v>
      </c>
      <c r="F1167" s="15">
        <f>ROUND('Tổng hợp VT'!O$27,1)</f>
        <v>4318182</v>
      </c>
      <c r="G1167" s="81">
        <f>'Giá tháng'!G$22</f>
        <v>1</v>
      </c>
      <c r="H1167" s="15">
        <f>ROUND(E1167*F1167*G1167,1)</f>
        <v>906818.2</v>
      </c>
    </row>
    <row r="1168" spans="1:8" ht="16.5" customHeight="1">
      <c r="A1168" s="127"/>
      <c r="B1168" s="13" t="str">
        <f>'Giá tháng'!B$21</f>
        <v>A24.0406</v>
      </c>
      <c r="C1168" s="14" t="str">
        <f>'Giá tháng'!C$21</f>
        <v>Gỗ chống</v>
      </c>
      <c r="D1168" s="13" t="str">
        <f>'Giá tháng'!D$21</f>
        <v>m3</v>
      </c>
      <c r="E1168" s="80">
        <f>HaoPhiVatTu!F$449</f>
        <v>0.33500000000000002</v>
      </c>
      <c r="F1168" s="15">
        <f>ROUND('Tổng hợp VT'!O$26,1)</f>
        <v>4318182</v>
      </c>
      <c r="G1168" s="81">
        <f>'Giá tháng'!G$21</f>
        <v>1</v>
      </c>
      <c r="H1168" s="15">
        <f>ROUND(E1168*F1168*G1168,1)</f>
        <v>1446591</v>
      </c>
    </row>
    <row r="1169" spans="1:8" ht="16.5" customHeight="1">
      <c r="A1169" s="127"/>
      <c r="B1169" s="13" t="str">
        <f>'Giá tháng'!B$19</f>
        <v>A24.0054</v>
      </c>
      <c r="C1169" s="14" t="str">
        <f>'Giá tháng'!C$19</f>
        <v>Đinh</v>
      </c>
      <c r="D1169" s="13" t="str">
        <f>'Giá tháng'!D$19</f>
        <v>kg</v>
      </c>
      <c r="E1169" s="80">
        <f>HaoPhiVatTu!F$450</f>
        <v>15</v>
      </c>
      <c r="F1169" s="15">
        <f>ROUND('Tổng hợp VT'!O$24,1)</f>
        <v>23000</v>
      </c>
      <c r="G1169" s="81">
        <f>'Giá tháng'!G$19</f>
        <v>1</v>
      </c>
      <c r="H1169" s="15">
        <f>ROUND(E1169*F1169*G1169,1)</f>
        <v>345000</v>
      </c>
    </row>
    <row r="1170" spans="1:8" ht="16.5" customHeight="1">
      <c r="A1170" s="127"/>
      <c r="B1170" s="13" t="s">
        <v>684</v>
      </c>
      <c r="C1170" s="14" t="s">
        <v>685</v>
      </c>
      <c r="D1170" s="13" t="s">
        <v>682</v>
      </c>
      <c r="E1170" s="80">
        <f>HaoPhiVatTu!F$451</f>
        <v>1</v>
      </c>
      <c r="F1170" s="15">
        <f>ROUND(SUM(H1166:H1169),1)</f>
        <v>6127045.7000000002</v>
      </c>
      <c r="G1170" s="81"/>
      <c r="H1170" s="15">
        <f>ROUND(E1170*F1170/100,1)</f>
        <v>61270.5</v>
      </c>
    </row>
    <row r="1171" spans="1:8" ht="16.5" customHeight="1">
      <c r="A1171" s="127"/>
      <c r="B1171" s="13"/>
      <c r="C1171" s="14" t="s">
        <v>776</v>
      </c>
      <c r="D1171" s="13"/>
      <c r="E1171" s="80"/>
      <c r="F1171" s="15"/>
      <c r="G1171" s="81"/>
      <c r="H1171" s="15">
        <f>ROUND(SUM(H1166:H1170),1)</f>
        <v>6188316.2000000002</v>
      </c>
    </row>
    <row r="1172" spans="1:8" ht="16.5" customHeight="1">
      <c r="A1172" s="131"/>
      <c r="B1172" s="91"/>
      <c r="C1172" s="90" t="s">
        <v>678</v>
      </c>
      <c r="D1172" s="91"/>
      <c r="E1172" s="93"/>
      <c r="F1172" s="132"/>
      <c r="G1172" s="94"/>
      <c r="H1172" s="132">
        <f>ROUND(H1173,1)</f>
        <v>7781400</v>
      </c>
    </row>
    <row r="1173" spans="1:8" ht="16.5" customHeight="1">
      <c r="A1173" s="127"/>
      <c r="B1173" s="13" t="str">
        <f>'Giá tháng'!B$51</f>
        <v>N2.35</v>
      </c>
      <c r="C1173" s="14" t="str">
        <f>'Giá tháng'!C$51</f>
        <v>Nhân công 3,5/7 - Nhóm 2</v>
      </c>
      <c r="D1173" s="13" t="str">
        <f>'Giá tháng'!D$51</f>
        <v>công</v>
      </c>
      <c r="E1173" s="80">
        <f>HaoPhiVatTu!G$453</f>
        <v>29.7</v>
      </c>
      <c r="F1173" s="15">
        <f>ROUND('Tổng hợp VT'!O$59,1)</f>
        <v>262000</v>
      </c>
      <c r="G1173" s="81">
        <f>'Giá tháng'!G$51</f>
        <v>1</v>
      </c>
      <c r="H1173" s="15">
        <f>ROUND(E1173*F1173*G1173,1)</f>
        <v>7781400</v>
      </c>
    </row>
    <row r="1174" spans="1:8" ht="27.75" customHeight="1">
      <c r="A1174" s="238"/>
      <c r="B1174" s="159"/>
      <c r="C1174" s="158" t="s">
        <v>1085</v>
      </c>
      <c r="D1174" s="159" t="s">
        <v>810</v>
      </c>
      <c r="E1174" s="239"/>
      <c r="F1174" s="162"/>
      <c r="G1174" s="240"/>
      <c r="H1174" s="162">
        <f>ROUND(H1165+H1172,1)</f>
        <v>13969716.199999999</v>
      </c>
    </row>
    <row r="1175" spans="1:8" ht="16.5" customHeight="1">
      <c r="A1175" s="241"/>
      <c r="B1175" s="147"/>
      <c r="C1175" s="146" t="s">
        <v>812</v>
      </c>
      <c r="D1175" s="147" t="str">
        <f>""</f>
        <v/>
      </c>
      <c r="E1175" s="242"/>
      <c r="F1175" s="150"/>
      <c r="G1175" s="149"/>
      <c r="H1175" s="150"/>
    </row>
    <row r="1176" spans="1:8" ht="16.5" customHeight="1">
      <c r="A1176" s="241"/>
      <c r="B1176" s="147"/>
      <c r="C1176" s="146" t="str">
        <f>"Chi phí chung ( T x "&amp;HSXL!C$14&amp;" )"</f>
        <v>Chi phí chung ( T x 6,2% )</v>
      </c>
      <c r="D1176" s="147" t="s">
        <v>807</v>
      </c>
      <c r="E1176" s="242" t="str">
        <f>HSXL!C$14</f>
        <v>6,2%</v>
      </c>
      <c r="F1176" s="150"/>
      <c r="G1176" s="149"/>
      <c r="H1176" s="150">
        <f>ROUND(H1174*HSXL!D$14,1)</f>
        <v>866122.4</v>
      </c>
    </row>
    <row r="1177" spans="1:8" ht="27.75" customHeight="1">
      <c r="A1177" s="241"/>
      <c r="B1177" s="147"/>
      <c r="C1177" s="146" t="str">
        <f>"Chi phí nhà tạm để ở và điều hành thi công ( T x "&amp;HSXL!C$18&amp;" )"</f>
        <v>Chi phí nhà tạm để ở và điều hành thi công ( T x 2,2% )</v>
      </c>
      <c r="D1177" s="147" t="s">
        <v>815</v>
      </c>
      <c r="E1177" s="242" t="str">
        <f>HSXL!C$18</f>
        <v>2,2%</v>
      </c>
      <c r="F1177" s="150"/>
      <c r="G1177" s="149"/>
      <c r="H1177" s="150">
        <f>ROUND(H1174*HSXL!D$18,1)</f>
        <v>307333.8</v>
      </c>
    </row>
    <row r="1178" spans="1:8" ht="39.75" customHeight="1">
      <c r="A1178" s="241"/>
      <c r="B1178" s="147"/>
      <c r="C1178" s="146" t="str">
        <f>"Chi phí một số công việc không xác định được khối lượng từ thiết kế ( T x "&amp;HSXL!C$13&amp;" )"</f>
        <v>Chi phí một số công việc không xác định được khối lượng từ thiết kế ( T x 2% )</v>
      </c>
      <c r="D1178" s="147" t="s">
        <v>61</v>
      </c>
      <c r="E1178" s="242" t="str">
        <f>HSXL!C$13</f>
        <v>2%</v>
      </c>
      <c r="F1178" s="150"/>
      <c r="G1178" s="149"/>
      <c r="H1178" s="150">
        <f>ROUND(H1174*HSXL!D$13,1)</f>
        <v>279394.3</v>
      </c>
    </row>
    <row r="1179" spans="1:8" ht="27.75" customHeight="1">
      <c r="A1179" s="238"/>
      <c r="B1179" s="159"/>
      <c r="C1179" s="158" t="s">
        <v>1086</v>
      </c>
      <c r="D1179" s="159" t="s">
        <v>818</v>
      </c>
      <c r="E1179" s="239"/>
      <c r="F1179" s="162"/>
      <c r="G1179" s="240"/>
      <c r="H1179" s="162">
        <f>ROUND(SUM(H1176:H1178),1)</f>
        <v>1452850.5</v>
      </c>
    </row>
    <row r="1180" spans="1:8" ht="27.75" customHeight="1">
      <c r="A1180" s="241"/>
      <c r="B1180" s="147"/>
      <c r="C1180" s="146" t="str">
        <f>"THU NHẬP CHỊU THUẾ TÍNH TRƯỚC (T+GT) x "&amp;HSXL!C$16</f>
        <v>THU NHẬP CHỊU THUẾ TÍNH TRƯỚC (T+GT) x 6%</v>
      </c>
      <c r="D1180" s="147" t="s">
        <v>821</v>
      </c>
      <c r="E1180" s="242" t="str">
        <f>HSXL!C$16</f>
        <v>6%</v>
      </c>
      <c r="F1180" s="150"/>
      <c r="G1180" s="149"/>
      <c r="H1180" s="150">
        <f>ROUND((H1174+H1179)*HSXL!D$16,1)</f>
        <v>925354</v>
      </c>
    </row>
    <row r="1181" spans="1:8" ht="27.75" customHeight="1">
      <c r="A1181" s="241"/>
      <c r="B1181" s="147"/>
      <c r="C1181" s="146" t="s">
        <v>1087</v>
      </c>
      <c r="D1181" s="147" t="s">
        <v>823</v>
      </c>
      <c r="E1181" s="242"/>
      <c r="F1181" s="150"/>
      <c r="G1181" s="149"/>
      <c r="H1181" s="150">
        <f>ROUND(H1174+H1179+H1180,0)</f>
        <v>16347921</v>
      </c>
    </row>
    <row r="1182" spans="1:8" ht="27.75" customHeight="1">
      <c r="A1182" s="241"/>
      <c r="B1182" s="147"/>
      <c r="C1182" s="146" t="str">
        <f>"THUẾ GIÁ TRỊ GIA TĂNG ( G x "&amp;HSXL!C$17&amp;" )"</f>
        <v>THUẾ GIÁ TRỊ GIA TĂNG ( G x 10% )</v>
      </c>
      <c r="D1182" s="147" t="s">
        <v>827</v>
      </c>
      <c r="E1182" s="164">
        <f>HSXL!D$17</f>
        <v>0.1</v>
      </c>
      <c r="F1182" s="150"/>
      <c r="G1182" s="149"/>
      <c r="H1182" s="150">
        <f>ROUND(E1182*H1181,1)</f>
        <v>1634792.1</v>
      </c>
    </row>
    <row r="1183" spans="1:8" ht="27.75" customHeight="1">
      <c r="A1183" s="243"/>
      <c r="B1183" s="244"/>
      <c r="C1183" s="245" t="s">
        <v>1088</v>
      </c>
      <c r="D1183" s="244" t="s">
        <v>830</v>
      </c>
      <c r="E1183" s="246"/>
      <c r="F1183" s="247"/>
      <c r="G1183" s="248"/>
      <c r="H1183" s="249">
        <f>ROUND(H1181+H1182,0)</f>
        <v>17982713</v>
      </c>
    </row>
    <row r="1184" spans="1:8" ht="27.75" customHeight="1">
      <c r="A1184" s="128">
        <f>'Công trình'!A154</f>
        <v>49</v>
      </c>
      <c r="B1184" s="129" t="str">
        <f>'Công trình'!E154</f>
        <v>AF.11213A</v>
      </c>
      <c r="C1184" s="130" t="str">
        <f>'Công trình'!F154</f>
        <v>Bê tông móng M200, đá 1x2 dày 20cm</v>
      </c>
      <c r="D1184" s="129" t="str">
        <f>'Công trình'!G154</f>
        <v>m3</v>
      </c>
      <c r="E1184" s="237">
        <v>1</v>
      </c>
      <c r="F1184" s="69"/>
      <c r="G1184" s="68"/>
      <c r="H1184" s="69"/>
    </row>
    <row r="1185" spans="1:8" ht="16.5" customHeight="1">
      <c r="A1185" s="131"/>
      <c r="B1185" s="91"/>
      <c r="C1185" s="90" t="s">
        <v>683</v>
      </c>
      <c r="D1185" s="91"/>
      <c r="E1185" s="93"/>
      <c r="F1185" s="132"/>
      <c r="G1185" s="94"/>
      <c r="H1185" s="132">
        <f>ROUND(H1191,1)</f>
        <v>1040813.5</v>
      </c>
    </row>
    <row r="1186" spans="1:8" ht="27.75" customHeight="1">
      <c r="A1186" s="127"/>
      <c r="B1186" s="13" t="str">
        <f>'Giá tháng'!B$45</f>
        <v>A24.0797A</v>
      </c>
      <c r="C1186" s="14" t="str">
        <f>'Giá tháng'!C$45</f>
        <v>Xi măng PCB30</v>
      </c>
      <c r="D1186" s="13" t="str">
        <f>'Giá tháng'!D$45</f>
        <v>kg</v>
      </c>
      <c r="E1186" s="80">
        <f>HaoPhiVatTu!F$456</f>
        <v>321.85000000000002</v>
      </c>
      <c r="F1186" s="15">
        <f>ROUND('Tổng hợp VT'!O$49,1)</f>
        <v>1481</v>
      </c>
      <c r="G1186" s="81">
        <f>'Giá tháng'!G$45</f>
        <v>1</v>
      </c>
      <c r="H1186" s="15">
        <f>ROUND(E1186*F1186*G1186,1)</f>
        <v>476659.9</v>
      </c>
    </row>
    <row r="1187" spans="1:8" ht="16.5" customHeight="1">
      <c r="A1187" s="127"/>
      <c r="B1187" s="13" t="str">
        <f>'Giá tháng'!B$10</f>
        <v>A24.0180</v>
      </c>
      <c r="C1187" s="14" t="str">
        <f>'Giá tháng'!C$10</f>
        <v>Cát vàng</v>
      </c>
      <c r="D1187" s="13" t="str">
        <f>'Giá tháng'!D$10</f>
        <v>m3</v>
      </c>
      <c r="E1187" s="80">
        <f>HaoPhiVatTu!F$457</f>
        <v>0.52890000000000004</v>
      </c>
      <c r="F1187" s="15">
        <f>ROUND('Tổng hợp VT'!O$15,1)</f>
        <v>480000</v>
      </c>
      <c r="G1187" s="81">
        <f>'Giá tháng'!G$10</f>
        <v>1</v>
      </c>
      <c r="H1187" s="15">
        <f>ROUND(E1187*F1187*G1187,1)</f>
        <v>253872</v>
      </c>
    </row>
    <row r="1188" spans="1:8" ht="16.5" customHeight="1">
      <c r="A1188" s="127"/>
      <c r="B1188" s="13" t="str">
        <f>'Giá tháng'!B$15</f>
        <v>A24.0008</v>
      </c>
      <c r="C1188" s="14" t="str">
        <f>'Giá tháng'!C$15</f>
        <v>Đá 1x2</v>
      </c>
      <c r="D1188" s="13" t="str">
        <f>'Giá tháng'!D$15</f>
        <v>m3</v>
      </c>
      <c r="E1188" s="80">
        <f>HaoPhiVatTu!F$458</f>
        <v>0.87124999999999997</v>
      </c>
      <c r="F1188" s="15">
        <f>ROUND('Tổng hợp VT'!O$20,1)</f>
        <v>340000</v>
      </c>
      <c r="G1188" s="81">
        <f>'Giá tháng'!G$15</f>
        <v>1</v>
      </c>
      <c r="H1188" s="15">
        <f>ROUND(E1188*F1188*G1188,1)</f>
        <v>296225</v>
      </c>
    </row>
    <row r="1189" spans="1:8" ht="16.5" customHeight="1">
      <c r="A1189" s="127"/>
      <c r="B1189" s="13" t="str">
        <f>'Giá tháng'!B$32</f>
        <v>A24.0524</v>
      </c>
      <c r="C1189" s="14" t="str">
        <f>'Giá tháng'!C$32</f>
        <v>Nước</v>
      </c>
      <c r="D1189" s="13" t="str">
        <f>'Giá tháng'!D$32</f>
        <v>lít</v>
      </c>
      <c r="E1189" s="80">
        <f>HaoPhiVatTu!F$459</f>
        <v>187.57499999999999</v>
      </c>
      <c r="F1189" s="15">
        <f>ROUND('Tổng hợp VT'!O$37,1)</f>
        <v>20</v>
      </c>
      <c r="G1189" s="81">
        <f>'Giá tháng'!G$32</f>
        <v>1</v>
      </c>
      <c r="H1189" s="15">
        <f>ROUND(E1189*F1189*G1189,1)</f>
        <v>3751.5</v>
      </c>
    </row>
    <row r="1190" spans="1:8" ht="16.5" customHeight="1">
      <c r="A1190" s="127"/>
      <c r="B1190" s="13" t="s">
        <v>684</v>
      </c>
      <c r="C1190" s="14" t="s">
        <v>685</v>
      </c>
      <c r="D1190" s="13" t="s">
        <v>682</v>
      </c>
      <c r="E1190" s="80">
        <f>HaoPhiVatTu!F$460</f>
        <v>1</v>
      </c>
      <c r="F1190" s="15">
        <f>ROUND(SUM(H1186:H1189),1)</f>
        <v>1030508.4</v>
      </c>
      <c r="G1190" s="81"/>
      <c r="H1190" s="15">
        <f>ROUND(E1190*F1190/100,1)</f>
        <v>10305.1</v>
      </c>
    </row>
    <row r="1191" spans="1:8" ht="16.5" customHeight="1">
      <c r="A1191" s="127"/>
      <c r="B1191" s="13"/>
      <c r="C1191" s="14" t="s">
        <v>776</v>
      </c>
      <c r="D1191" s="13"/>
      <c r="E1191" s="80"/>
      <c r="F1191" s="15"/>
      <c r="G1191" s="81"/>
      <c r="H1191" s="15">
        <f>ROUND(SUM(H1186:H1190),1)</f>
        <v>1040813.5</v>
      </c>
    </row>
    <row r="1192" spans="1:8" ht="16.5" customHeight="1">
      <c r="A1192" s="131"/>
      <c r="B1192" s="91"/>
      <c r="C1192" s="90" t="s">
        <v>678</v>
      </c>
      <c r="D1192" s="91"/>
      <c r="E1192" s="93"/>
      <c r="F1192" s="132"/>
      <c r="G1192" s="94"/>
      <c r="H1192" s="132">
        <f>ROUND(H1193,1)</f>
        <v>294698.2</v>
      </c>
    </row>
    <row r="1193" spans="1:8" ht="16.5" customHeight="1">
      <c r="A1193" s="127"/>
      <c r="B1193" s="13" t="str">
        <f>'Giá tháng'!B$49</f>
        <v>N2.30</v>
      </c>
      <c r="C1193" s="14" t="str">
        <f>'Giá tháng'!C$49</f>
        <v>Nhân công 3,0/7 - Nhóm 2</v>
      </c>
      <c r="D1193" s="13" t="str">
        <f>'Giá tháng'!D$49</f>
        <v>công</v>
      </c>
      <c r="E1193" s="80">
        <f>HaoPhiVatTu!G$462</f>
        <v>1.23</v>
      </c>
      <c r="F1193" s="15">
        <f>ROUND('Tổng hợp VT'!O$57,1)</f>
        <v>239592</v>
      </c>
      <c r="G1193" s="81">
        <f>'Giá tháng'!G$49</f>
        <v>1</v>
      </c>
      <c r="H1193" s="15">
        <f>ROUND(E1193*F1193*G1193,1)</f>
        <v>294698.2</v>
      </c>
    </row>
    <row r="1194" spans="1:8" ht="16.5" customHeight="1">
      <c r="A1194" s="131"/>
      <c r="B1194" s="91"/>
      <c r="C1194" s="90" t="s">
        <v>679</v>
      </c>
      <c r="D1194" s="91"/>
      <c r="E1194" s="93"/>
      <c r="F1194" s="132"/>
      <c r="G1194" s="94"/>
      <c r="H1194" s="132">
        <f>ROUND(H1197,1)</f>
        <v>54795.9</v>
      </c>
    </row>
    <row r="1195" spans="1:8" ht="27.75" customHeight="1">
      <c r="A1195" s="127"/>
      <c r="B1195" s="13" t="str">
        <f>'Giá tháng'!B$74</f>
        <v>M104.0102</v>
      </c>
      <c r="C1195" s="14" t="str">
        <f>'Giá tháng'!C$74</f>
        <v>Máy trộn bê tông - dung tích : 250,0 lít</v>
      </c>
      <c r="D1195" s="13" t="str">
        <f>'Giá tháng'!D$74</f>
        <v>ca</v>
      </c>
      <c r="E1195" s="80">
        <f>HaoPhiVatTu!H$464</f>
        <v>9.5000000000000001E-2</v>
      </c>
      <c r="F1195" s="15">
        <f>ROUND('Tổng hợp VT'!O$83,1)</f>
        <v>318734</v>
      </c>
      <c r="G1195" s="81">
        <f>'Giá tháng'!G$74</f>
        <v>1</v>
      </c>
      <c r="H1195" s="15">
        <f>ROUND(E1195*F1195*G1195,1)</f>
        <v>30279.7</v>
      </c>
    </row>
    <row r="1196" spans="1:8" ht="27.75" customHeight="1">
      <c r="A1196" s="127"/>
      <c r="B1196" s="13" t="str">
        <f>'Giá tháng'!B$62</f>
        <v>M112.1301</v>
      </c>
      <c r="C1196" s="14" t="str">
        <f>'Giá tháng'!C$62</f>
        <v>Máy đầm bê tông, dầm dùi - công suất : 1,5 kW</v>
      </c>
      <c r="D1196" s="13" t="str">
        <f>'Giá tháng'!D$62</f>
        <v>ca</v>
      </c>
      <c r="E1196" s="80">
        <f>HaoPhiVatTu!H$465</f>
        <v>8.8999999999999996E-2</v>
      </c>
      <c r="F1196" s="15">
        <f>ROUND('Tổng hợp VT'!O$71,1)</f>
        <v>275463</v>
      </c>
      <c r="G1196" s="81">
        <f>'Giá tháng'!G$62</f>
        <v>1</v>
      </c>
      <c r="H1196" s="15">
        <f>ROUND(E1196*F1196*G1196,1)</f>
        <v>24516.2</v>
      </c>
    </row>
    <row r="1197" spans="1:8" ht="16.5" customHeight="1">
      <c r="A1197" s="127"/>
      <c r="B1197" s="13"/>
      <c r="C1197" s="14" t="s">
        <v>776</v>
      </c>
      <c r="D1197" s="13"/>
      <c r="E1197" s="19"/>
      <c r="F1197" s="15"/>
      <c r="G1197" s="18"/>
      <c r="H1197" s="15">
        <f>ROUND(SUM(H1195:H1196),1)</f>
        <v>54795.9</v>
      </c>
    </row>
    <row r="1198" spans="1:8" ht="27.75" customHeight="1">
      <c r="A1198" s="238"/>
      <c r="B1198" s="159"/>
      <c r="C1198" s="158" t="s">
        <v>1085</v>
      </c>
      <c r="D1198" s="159" t="s">
        <v>810</v>
      </c>
      <c r="E1198" s="239"/>
      <c r="F1198" s="162"/>
      <c r="G1198" s="240"/>
      <c r="H1198" s="162">
        <f>ROUND(H1185+H1192+H1194,1)</f>
        <v>1390307.6</v>
      </c>
    </row>
    <row r="1199" spans="1:8" ht="16.5" customHeight="1">
      <c r="A1199" s="241"/>
      <c r="B1199" s="147"/>
      <c r="C1199" s="146" t="s">
        <v>812</v>
      </c>
      <c r="D1199" s="147" t="str">
        <f>""</f>
        <v/>
      </c>
      <c r="E1199" s="242"/>
      <c r="F1199" s="150"/>
      <c r="G1199" s="149"/>
      <c r="H1199" s="150"/>
    </row>
    <row r="1200" spans="1:8" ht="16.5" customHeight="1">
      <c r="A1200" s="241"/>
      <c r="B1200" s="147"/>
      <c r="C1200" s="146" t="str">
        <f>"Chi phí chung ( T x "&amp;HSXL!C$14&amp;" )"</f>
        <v>Chi phí chung ( T x 6,2% )</v>
      </c>
      <c r="D1200" s="147" t="s">
        <v>807</v>
      </c>
      <c r="E1200" s="242" t="str">
        <f>HSXL!C$14</f>
        <v>6,2%</v>
      </c>
      <c r="F1200" s="150"/>
      <c r="G1200" s="149"/>
      <c r="H1200" s="150">
        <f>ROUND(H1198*HSXL!D$14,1)</f>
        <v>86199.1</v>
      </c>
    </row>
    <row r="1201" spans="1:8" ht="27.75" customHeight="1">
      <c r="A1201" s="241"/>
      <c r="B1201" s="147"/>
      <c r="C1201" s="146" t="str">
        <f>"Chi phí nhà tạm để ở và điều hành thi công ( T x "&amp;HSXL!C$18&amp;" )"</f>
        <v>Chi phí nhà tạm để ở và điều hành thi công ( T x 2,2% )</v>
      </c>
      <c r="D1201" s="147" t="s">
        <v>815</v>
      </c>
      <c r="E1201" s="242" t="str">
        <f>HSXL!C$18</f>
        <v>2,2%</v>
      </c>
      <c r="F1201" s="150"/>
      <c r="G1201" s="149"/>
      <c r="H1201" s="150">
        <f>ROUND(H1198*HSXL!D$18,1)</f>
        <v>30586.799999999999</v>
      </c>
    </row>
    <row r="1202" spans="1:8" ht="39.75" customHeight="1">
      <c r="A1202" s="241"/>
      <c r="B1202" s="147"/>
      <c r="C1202" s="146" t="str">
        <f>"Chi phí một số công việc không xác định được khối lượng từ thiết kế ( T x "&amp;HSXL!C$13&amp;" )"</f>
        <v>Chi phí một số công việc không xác định được khối lượng từ thiết kế ( T x 2% )</v>
      </c>
      <c r="D1202" s="147" t="s">
        <v>61</v>
      </c>
      <c r="E1202" s="242" t="str">
        <f>HSXL!C$13</f>
        <v>2%</v>
      </c>
      <c r="F1202" s="150"/>
      <c r="G1202" s="149"/>
      <c r="H1202" s="150">
        <f>ROUND(H1198*HSXL!D$13,1)</f>
        <v>27806.2</v>
      </c>
    </row>
    <row r="1203" spans="1:8" ht="27.75" customHeight="1">
      <c r="A1203" s="238"/>
      <c r="B1203" s="159"/>
      <c r="C1203" s="158" t="s">
        <v>1086</v>
      </c>
      <c r="D1203" s="159" t="s">
        <v>818</v>
      </c>
      <c r="E1203" s="239"/>
      <c r="F1203" s="162"/>
      <c r="G1203" s="240"/>
      <c r="H1203" s="162">
        <f>ROUND(SUM(H1200:H1202),1)</f>
        <v>144592.1</v>
      </c>
    </row>
    <row r="1204" spans="1:8" ht="27.75" customHeight="1">
      <c r="A1204" s="241"/>
      <c r="B1204" s="147"/>
      <c r="C1204" s="146" t="str">
        <f>"THU NHẬP CHỊU THUẾ TÍNH TRƯỚC (T+GT) x "&amp;HSXL!C$16</f>
        <v>THU NHẬP CHỊU THUẾ TÍNH TRƯỚC (T+GT) x 6%</v>
      </c>
      <c r="D1204" s="147" t="s">
        <v>821</v>
      </c>
      <c r="E1204" s="242" t="str">
        <f>HSXL!C$16</f>
        <v>6%</v>
      </c>
      <c r="F1204" s="150"/>
      <c r="G1204" s="149"/>
      <c r="H1204" s="150">
        <f>ROUND((H1198+H1203)*HSXL!D$16,1)</f>
        <v>92094</v>
      </c>
    </row>
    <row r="1205" spans="1:8" ht="27.75" customHeight="1">
      <c r="A1205" s="241"/>
      <c r="B1205" s="147"/>
      <c r="C1205" s="146" t="s">
        <v>1087</v>
      </c>
      <c r="D1205" s="147" t="s">
        <v>823</v>
      </c>
      <c r="E1205" s="242"/>
      <c r="F1205" s="150"/>
      <c r="G1205" s="149"/>
      <c r="H1205" s="150">
        <f>ROUND(H1198+H1203+H1204,0)</f>
        <v>1626994</v>
      </c>
    </row>
    <row r="1206" spans="1:8" ht="27.75" customHeight="1">
      <c r="A1206" s="241"/>
      <c r="B1206" s="147"/>
      <c r="C1206" s="146" t="str">
        <f>"THUẾ GIÁ TRỊ GIA TĂNG ( G x "&amp;HSXL!C$17&amp;" )"</f>
        <v>THUẾ GIÁ TRỊ GIA TĂNG ( G x 10% )</v>
      </c>
      <c r="D1206" s="147" t="s">
        <v>827</v>
      </c>
      <c r="E1206" s="164">
        <f>HSXL!D$17</f>
        <v>0.1</v>
      </c>
      <c r="F1206" s="150"/>
      <c r="G1206" s="149"/>
      <c r="H1206" s="150">
        <f>ROUND(E1206*H1205,1)</f>
        <v>162699.4</v>
      </c>
    </row>
    <row r="1207" spans="1:8" ht="27.75" customHeight="1">
      <c r="A1207" s="243"/>
      <c r="B1207" s="244"/>
      <c r="C1207" s="245" t="s">
        <v>1088</v>
      </c>
      <c r="D1207" s="244" t="s">
        <v>830</v>
      </c>
      <c r="E1207" s="246"/>
      <c r="F1207" s="247"/>
      <c r="G1207" s="248"/>
      <c r="H1207" s="249">
        <f>ROUND(H1205+H1206,0)</f>
        <v>1789693</v>
      </c>
    </row>
    <row r="1208" spans="1:8" ht="27.75" customHeight="1">
      <c r="A1208" s="128">
        <f>'Công trình'!A156</f>
        <v>50</v>
      </c>
      <c r="B1208" s="129" t="str">
        <f>'Công trình'!E156</f>
        <v>AK.21133A</v>
      </c>
      <c r="C1208" s="130" t="str">
        <f>'Công trình'!F156</f>
        <v>Trát tường ngoài, chiều dày trát 2cm, vữa XM mác 75, PCB30</v>
      </c>
      <c r="D1208" s="129" t="str">
        <f>'Công trình'!G156</f>
        <v>m2</v>
      </c>
      <c r="E1208" s="237">
        <v>1</v>
      </c>
      <c r="F1208" s="69"/>
      <c r="G1208" s="68"/>
      <c r="H1208" s="69"/>
    </row>
    <row r="1209" spans="1:8" ht="16.5" customHeight="1">
      <c r="A1209" s="131"/>
      <c r="B1209" s="91"/>
      <c r="C1209" s="90" t="s">
        <v>683</v>
      </c>
      <c r="D1209" s="91"/>
      <c r="E1209" s="93"/>
      <c r="F1209" s="132"/>
      <c r="G1209" s="94"/>
      <c r="H1209" s="132">
        <f>ROUND(H1214,1)</f>
        <v>24806.9</v>
      </c>
    </row>
    <row r="1210" spans="1:8" ht="27.75" customHeight="1">
      <c r="A1210" s="127"/>
      <c r="B1210" s="13" t="str">
        <f>'Giá tháng'!B$45</f>
        <v>A24.0797A</v>
      </c>
      <c r="C1210" s="14" t="str">
        <f>'Giá tháng'!C$45</f>
        <v>Xi măng PCB30</v>
      </c>
      <c r="D1210" s="13" t="str">
        <f>'Giá tháng'!D$45</f>
        <v>kg</v>
      </c>
      <c r="E1210" s="80">
        <f>HaoPhiVatTu!F$468</f>
        <v>8.8550000000000004</v>
      </c>
      <c r="F1210" s="15">
        <f>ROUND('Tổng hợp VT'!O$49,1)</f>
        <v>1481</v>
      </c>
      <c r="G1210" s="81">
        <f>'Giá tháng'!G$45</f>
        <v>1</v>
      </c>
      <c r="H1210" s="15">
        <f>ROUND(E1210*F1210*G1210,1)</f>
        <v>13114.3</v>
      </c>
    </row>
    <row r="1211" spans="1:8" ht="16.5" customHeight="1">
      <c r="A1211" s="127"/>
      <c r="B1211" s="13" t="str">
        <f>'Giá tháng'!B$8</f>
        <v>A24.0175</v>
      </c>
      <c r="C1211" s="14" t="str">
        <f>'Giá tháng'!C$8</f>
        <v>Cát mịn ML=0,7-1,4</v>
      </c>
      <c r="D1211" s="13" t="str">
        <f>'Giá tháng'!D$8</f>
        <v>m3</v>
      </c>
      <c r="E1211" s="80">
        <f>HaoPhiVatTu!F$469</f>
        <v>2.5714000000000001E-2</v>
      </c>
      <c r="F1211" s="15">
        <f>ROUND('Tổng hợp VT'!O$13,1)</f>
        <v>445000</v>
      </c>
      <c r="G1211" s="81">
        <f>'Giá tháng'!G$8</f>
        <v>1</v>
      </c>
      <c r="H1211" s="15">
        <f>ROUND(E1211*F1211*G1211,1)</f>
        <v>11442.7</v>
      </c>
    </row>
    <row r="1212" spans="1:8" ht="16.5" customHeight="1">
      <c r="A1212" s="127"/>
      <c r="B1212" s="13" t="str">
        <f>'Giá tháng'!B$32</f>
        <v>A24.0524</v>
      </c>
      <c r="C1212" s="14" t="str">
        <f>'Giá tháng'!C$32</f>
        <v>Nước</v>
      </c>
      <c r="D1212" s="13" t="str">
        <f>'Giá tháng'!D$32</f>
        <v>lít</v>
      </c>
      <c r="E1212" s="80">
        <f>HaoPhiVatTu!F$470</f>
        <v>6.3250000000000002</v>
      </c>
      <c r="F1212" s="15">
        <f>ROUND('Tổng hợp VT'!O$37,1)</f>
        <v>20</v>
      </c>
      <c r="G1212" s="81">
        <f>'Giá tháng'!G$32</f>
        <v>1</v>
      </c>
      <c r="H1212" s="15">
        <f>ROUND(E1212*F1212*G1212,1)</f>
        <v>126.5</v>
      </c>
    </row>
    <row r="1213" spans="1:8" ht="16.5" customHeight="1">
      <c r="A1213" s="127"/>
      <c r="B1213" s="13" t="s">
        <v>684</v>
      </c>
      <c r="C1213" s="14" t="s">
        <v>685</v>
      </c>
      <c r="D1213" s="13" t="s">
        <v>682</v>
      </c>
      <c r="E1213" s="80">
        <f>HaoPhiVatTu!F$471</f>
        <v>0.5</v>
      </c>
      <c r="F1213" s="15">
        <f>ROUND(SUM(H1210:H1212),1)</f>
        <v>24683.5</v>
      </c>
      <c r="G1213" s="81"/>
      <c r="H1213" s="15">
        <f>ROUND(E1213*F1213/100,1)</f>
        <v>123.4</v>
      </c>
    </row>
    <row r="1214" spans="1:8" ht="16.5" customHeight="1">
      <c r="A1214" s="127"/>
      <c r="B1214" s="13"/>
      <c r="C1214" s="14" t="s">
        <v>776</v>
      </c>
      <c r="D1214" s="13"/>
      <c r="E1214" s="80"/>
      <c r="F1214" s="15"/>
      <c r="G1214" s="81"/>
      <c r="H1214" s="15">
        <f>ROUND(SUM(H1210:H1213),1)</f>
        <v>24806.9</v>
      </c>
    </row>
    <row r="1215" spans="1:8" ht="16.5" customHeight="1">
      <c r="A1215" s="131"/>
      <c r="B1215" s="91"/>
      <c r="C1215" s="90" t="s">
        <v>678</v>
      </c>
      <c r="D1215" s="91"/>
      <c r="E1215" s="93"/>
      <c r="F1215" s="132"/>
      <c r="G1215" s="94"/>
      <c r="H1215" s="132">
        <f>ROUND(H1216,1)</f>
        <v>83840</v>
      </c>
    </row>
    <row r="1216" spans="1:8" ht="16.5" customHeight="1">
      <c r="A1216" s="127"/>
      <c r="B1216" s="13" t="str">
        <f>'Giá tháng'!B$51</f>
        <v>N2.35</v>
      </c>
      <c r="C1216" s="14" t="str">
        <f>'Giá tháng'!C$51</f>
        <v>Nhân công 3,5/7 - Nhóm 2</v>
      </c>
      <c r="D1216" s="13" t="str">
        <f>'Giá tháng'!D$51</f>
        <v>công</v>
      </c>
      <c r="E1216" s="80">
        <f>HaoPhiVatTu!G$473</f>
        <v>0.32</v>
      </c>
      <c r="F1216" s="15">
        <f>ROUND('Tổng hợp VT'!O$59,1)</f>
        <v>262000</v>
      </c>
      <c r="G1216" s="81">
        <f>'Giá tháng'!G$51</f>
        <v>1</v>
      </c>
      <c r="H1216" s="15">
        <f>ROUND(E1216*F1216*G1216,1)</f>
        <v>83840</v>
      </c>
    </row>
    <row r="1217" spans="1:8" ht="16.5" customHeight="1">
      <c r="A1217" s="131"/>
      <c r="B1217" s="91"/>
      <c r="C1217" s="90" t="s">
        <v>679</v>
      </c>
      <c r="D1217" s="91"/>
      <c r="E1217" s="93"/>
      <c r="F1217" s="132"/>
      <c r="G1217" s="94"/>
      <c r="H1217" s="132">
        <f>ROUND(H1218,1)</f>
        <v>880.1</v>
      </c>
    </row>
    <row r="1218" spans="1:8" ht="27.75" customHeight="1">
      <c r="A1218" s="127"/>
      <c r="B1218" s="13" t="str">
        <f>'Giá tháng'!B$75</f>
        <v>M104.0202</v>
      </c>
      <c r="C1218" s="14" t="str">
        <f>'Giá tháng'!C$75</f>
        <v>Máy trộn vữa 150 lít</v>
      </c>
      <c r="D1218" s="13" t="str">
        <f>'Giá tháng'!D$75</f>
        <v>ca</v>
      </c>
      <c r="E1218" s="80">
        <f>HaoPhiVatTu!H$475</f>
        <v>3.0000000000000001E-3</v>
      </c>
      <c r="F1218" s="15">
        <f>ROUND('Tổng hợp VT'!O$84,1)</f>
        <v>293362</v>
      </c>
      <c r="G1218" s="81">
        <f>'Giá tháng'!G$75</f>
        <v>1</v>
      </c>
      <c r="H1218" s="15">
        <f>ROUND(E1218*F1218*G1218,1)</f>
        <v>880.1</v>
      </c>
    </row>
    <row r="1219" spans="1:8" ht="27.75" customHeight="1">
      <c r="A1219" s="238"/>
      <c r="B1219" s="159"/>
      <c r="C1219" s="158" t="s">
        <v>1085</v>
      </c>
      <c r="D1219" s="159" t="s">
        <v>810</v>
      </c>
      <c r="E1219" s="239"/>
      <c r="F1219" s="162"/>
      <c r="G1219" s="240"/>
      <c r="H1219" s="162">
        <f>ROUND(H1209+H1215+H1217,1)</f>
        <v>109527</v>
      </c>
    </row>
    <row r="1220" spans="1:8" ht="16.5" customHeight="1">
      <c r="A1220" s="241"/>
      <c r="B1220" s="147"/>
      <c r="C1220" s="146" t="s">
        <v>812</v>
      </c>
      <c r="D1220" s="147" t="str">
        <f>""</f>
        <v/>
      </c>
      <c r="E1220" s="242"/>
      <c r="F1220" s="150"/>
      <c r="G1220" s="149"/>
      <c r="H1220" s="150"/>
    </row>
    <row r="1221" spans="1:8" ht="16.5" customHeight="1">
      <c r="A1221" s="241"/>
      <c r="B1221" s="147"/>
      <c r="C1221" s="146" t="str">
        <f>"Chi phí chung ( T x "&amp;HSXL!C$14&amp;" )"</f>
        <v>Chi phí chung ( T x 6,2% )</v>
      </c>
      <c r="D1221" s="147" t="s">
        <v>807</v>
      </c>
      <c r="E1221" s="242" t="str">
        <f>HSXL!C$14</f>
        <v>6,2%</v>
      </c>
      <c r="F1221" s="150"/>
      <c r="G1221" s="149"/>
      <c r="H1221" s="150">
        <f>ROUND(H1219*HSXL!D$14,1)</f>
        <v>6790.7</v>
      </c>
    </row>
    <row r="1222" spans="1:8" ht="27.75" customHeight="1">
      <c r="A1222" s="241"/>
      <c r="B1222" s="147"/>
      <c r="C1222" s="146" t="str">
        <f>"Chi phí nhà tạm để ở và điều hành thi công ( T x "&amp;HSXL!C$18&amp;" )"</f>
        <v>Chi phí nhà tạm để ở và điều hành thi công ( T x 2,2% )</v>
      </c>
      <c r="D1222" s="147" t="s">
        <v>815</v>
      </c>
      <c r="E1222" s="242" t="str">
        <f>HSXL!C$18</f>
        <v>2,2%</v>
      </c>
      <c r="F1222" s="150"/>
      <c r="G1222" s="149"/>
      <c r="H1222" s="150">
        <f>ROUND(H1219*HSXL!D$18,1)</f>
        <v>2409.6</v>
      </c>
    </row>
    <row r="1223" spans="1:8" ht="39.75" customHeight="1">
      <c r="A1223" s="241"/>
      <c r="B1223" s="147"/>
      <c r="C1223" s="146" t="str">
        <f>"Chi phí một số công việc không xác định được khối lượng từ thiết kế ( T x "&amp;HSXL!C$13&amp;" )"</f>
        <v>Chi phí một số công việc không xác định được khối lượng từ thiết kế ( T x 2% )</v>
      </c>
      <c r="D1223" s="147" t="s">
        <v>61</v>
      </c>
      <c r="E1223" s="242" t="str">
        <f>HSXL!C$13</f>
        <v>2%</v>
      </c>
      <c r="F1223" s="150"/>
      <c r="G1223" s="149"/>
      <c r="H1223" s="150">
        <f>ROUND(H1219*HSXL!D$13,1)</f>
        <v>2190.5</v>
      </c>
    </row>
    <row r="1224" spans="1:8" ht="27.75" customHeight="1">
      <c r="A1224" s="238"/>
      <c r="B1224" s="159"/>
      <c r="C1224" s="158" t="s">
        <v>1086</v>
      </c>
      <c r="D1224" s="159" t="s">
        <v>818</v>
      </c>
      <c r="E1224" s="239"/>
      <c r="F1224" s="162"/>
      <c r="G1224" s="240"/>
      <c r="H1224" s="162">
        <f>ROUND(SUM(H1221:H1223),1)</f>
        <v>11390.8</v>
      </c>
    </row>
    <row r="1225" spans="1:8" ht="27.75" customHeight="1">
      <c r="A1225" s="241"/>
      <c r="B1225" s="147"/>
      <c r="C1225" s="146" t="str">
        <f>"THU NHẬP CHỊU THUẾ TÍNH TRƯỚC (T+GT) x "&amp;HSXL!C$16</f>
        <v>THU NHẬP CHỊU THUẾ TÍNH TRƯỚC (T+GT) x 6%</v>
      </c>
      <c r="D1225" s="147" t="s">
        <v>821</v>
      </c>
      <c r="E1225" s="242" t="str">
        <f>HSXL!C$16</f>
        <v>6%</v>
      </c>
      <c r="F1225" s="150"/>
      <c r="G1225" s="149"/>
      <c r="H1225" s="150">
        <f>ROUND((H1219+H1224)*HSXL!D$16,1)</f>
        <v>7255.1</v>
      </c>
    </row>
    <row r="1226" spans="1:8" ht="27.75" customHeight="1">
      <c r="A1226" s="241"/>
      <c r="B1226" s="147"/>
      <c r="C1226" s="146" t="s">
        <v>1087</v>
      </c>
      <c r="D1226" s="147" t="s">
        <v>823</v>
      </c>
      <c r="E1226" s="242"/>
      <c r="F1226" s="150"/>
      <c r="G1226" s="149"/>
      <c r="H1226" s="150">
        <f>ROUND(H1219+H1224+H1225,0)</f>
        <v>128173</v>
      </c>
    </row>
    <row r="1227" spans="1:8" ht="27.75" customHeight="1">
      <c r="A1227" s="241"/>
      <c r="B1227" s="147"/>
      <c r="C1227" s="146" t="str">
        <f>"THUẾ GIÁ TRỊ GIA TĂNG ( G x "&amp;HSXL!C$17&amp;" )"</f>
        <v>THUẾ GIÁ TRỊ GIA TĂNG ( G x 10% )</v>
      </c>
      <c r="D1227" s="147" t="s">
        <v>827</v>
      </c>
      <c r="E1227" s="164">
        <f>HSXL!D$17</f>
        <v>0.1</v>
      </c>
      <c r="F1227" s="150"/>
      <c r="G1227" s="149"/>
      <c r="H1227" s="150">
        <f>ROUND(E1227*H1226,1)</f>
        <v>12817.3</v>
      </c>
    </row>
    <row r="1228" spans="1:8" ht="27.75" customHeight="1">
      <c r="A1228" s="243"/>
      <c r="B1228" s="244"/>
      <c r="C1228" s="245" t="s">
        <v>1088</v>
      </c>
      <c r="D1228" s="244" t="s">
        <v>830</v>
      </c>
      <c r="E1228" s="246"/>
      <c r="F1228" s="247"/>
      <c r="G1228" s="248"/>
      <c r="H1228" s="249">
        <f>ROUND(H1226+H1227,0)</f>
        <v>140990</v>
      </c>
    </row>
    <row r="1229" spans="1:8" ht="27.75" customHeight="1">
      <c r="A1229" s="128">
        <f>'Công trình'!A158</f>
        <v>51</v>
      </c>
      <c r="B1229" s="129" t="str">
        <f>'Công trình'!E158</f>
        <v>AF.81141</v>
      </c>
      <c r="C1229" s="130" t="str">
        <f>'Công trình'!F158</f>
        <v>Ván khuôn gỗ. Ván khuôn cổ tường</v>
      </c>
      <c r="D1229" s="129" t="str">
        <f>'Công trình'!G158</f>
        <v>100m2</v>
      </c>
      <c r="E1229" s="237">
        <v>1</v>
      </c>
      <c r="F1229" s="69"/>
      <c r="G1229" s="68"/>
      <c r="H1229" s="69"/>
    </row>
    <row r="1230" spans="1:8" ht="16.5" customHeight="1">
      <c r="A1230" s="131"/>
      <c r="B1230" s="91"/>
      <c r="C1230" s="90" t="s">
        <v>683</v>
      </c>
      <c r="D1230" s="91"/>
      <c r="E1230" s="93"/>
      <c r="F1230" s="132"/>
      <c r="G1230" s="94"/>
      <c r="H1230" s="132">
        <f>ROUND(H1236,1)</f>
        <v>8793002.5</v>
      </c>
    </row>
    <row r="1231" spans="1:8" ht="16.5" customHeight="1">
      <c r="A1231" s="127"/>
      <c r="B1231" s="13" t="str">
        <f>'Giá tháng'!B$23</f>
        <v>A24.0418</v>
      </c>
      <c r="C1231" s="14" t="str">
        <f>'Giá tháng'!C$23</f>
        <v>Gỗ ván</v>
      </c>
      <c r="D1231" s="13" t="str">
        <f>'Giá tháng'!D$23</f>
        <v>m3</v>
      </c>
      <c r="E1231" s="80">
        <f>HaoPhiVatTu!F$478</f>
        <v>0.79400000000000004</v>
      </c>
      <c r="F1231" s="15">
        <f>ROUND('Tổng hợp VT'!O$28,1)</f>
        <v>4318182</v>
      </c>
      <c r="G1231" s="81">
        <f>'Giá tháng'!G$23</f>
        <v>1</v>
      </c>
      <c r="H1231" s="15">
        <f>ROUND(E1231*F1231*G1231,1)</f>
        <v>3428636.5</v>
      </c>
    </row>
    <row r="1232" spans="1:8" ht="16.5" customHeight="1">
      <c r="A1232" s="127"/>
      <c r="B1232" s="13" t="str">
        <f>'Giá tháng'!B$22</f>
        <v>A24.0404</v>
      </c>
      <c r="C1232" s="14" t="str">
        <f>'Giá tháng'!C$22</f>
        <v>Gỗ đà nẹp</v>
      </c>
      <c r="D1232" s="13" t="str">
        <f>'Giá tháng'!D$22</f>
        <v>m3</v>
      </c>
      <c r="E1232" s="80">
        <f>HaoPhiVatTu!F$479</f>
        <v>0.189</v>
      </c>
      <c r="F1232" s="15">
        <f>ROUND('Tổng hợp VT'!O$27,1)</f>
        <v>4318182</v>
      </c>
      <c r="G1232" s="81">
        <f>'Giá tháng'!G$22</f>
        <v>1</v>
      </c>
      <c r="H1232" s="15">
        <f>ROUND(E1232*F1232*G1232,1)</f>
        <v>816136.4</v>
      </c>
    </row>
    <row r="1233" spans="1:8" ht="16.5" customHeight="1">
      <c r="A1233" s="127"/>
      <c r="B1233" s="13" t="str">
        <f>'Giá tháng'!B$21</f>
        <v>A24.0406</v>
      </c>
      <c r="C1233" s="14" t="str">
        <f>'Giá tháng'!C$21</f>
        <v>Gỗ chống</v>
      </c>
      <c r="D1233" s="13" t="str">
        <f>'Giá tháng'!D$21</f>
        <v>m3</v>
      </c>
      <c r="E1233" s="80">
        <f>HaoPhiVatTu!F$480</f>
        <v>0.95699999999999996</v>
      </c>
      <c r="F1233" s="15">
        <f>ROUND('Tổng hợp VT'!O$26,1)</f>
        <v>4318182</v>
      </c>
      <c r="G1233" s="81">
        <f>'Giá tháng'!G$21</f>
        <v>1</v>
      </c>
      <c r="H1233" s="15">
        <f>ROUND(E1233*F1233*G1233,1)</f>
        <v>4132500.2</v>
      </c>
    </row>
    <row r="1234" spans="1:8" ht="16.5" customHeight="1">
      <c r="A1234" s="127"/>
      <c r="B1234" s="13" t="str">
        <f>'Giá tháng'!B$19</f>
        <v>A24.0054</v>
      </c>
      <c r="C1234" s="14" t="str">
        <f>'Giá tháng'!C$19</f>
        <v>Đinh</v>
      </c>
      <c r="D1234" s="13" t="str">
        <f>'Giá tháng'!D$19</f>
        <v>kg</v>
      </c>
      <c r="E1234" s="80">
        <f>HaoPhiVatTu!F$481</f>
        <v>14.29</v>
      </c>
      <c r="F1234" s="15">
        <f>ROUND('Tổng hợp VT'!O$24,1)</f>
        <v>23000</v>
      </c>
      <c r="G1234" s="81">
        <f>'Giá tháng'!G$19</f>
        <v>1</v>
      </c>
      <c r="H1234" s="15">
        <f>ROUND(E1234*F1234*G1234,1)</f>
        <v>328670</v>
      </c>
    </row>
    <row r="1235" spans="1:8" ht="16.5" customHeight="1">
      <c r="A1235" s="127"/>
      <c r="B1235" s="13" t="s">
        <v>684</v>
      </c>
      <c r="C1235" s="14" t="s">
        <v>685</v>
      </c>
      <c r="D1235" s="13" t="s">
        <v>682</v>
      </c>
      <c r="E1235" s="80">
        <f>HaoPhiVatTu!F$482</f>
        <v>1</v>
      </c>
      <c r="F1235" s="15">
        <f>ROUND(SUM(H1231:H1234),1)</f>
        <v>8705943.0999999996</v>
      </c>
      <c r="G1235" s="81"/>
      <c r="H1235" s="15">
        <f>ROUND(E1235*F1235/100,1)</f>
        <v>87059.4</v>
      </c>
    </row>
    <row r="1236" spans="1:8" ht="16.5" customHeight="1">
      <c r="A1236" s="127"/>
      <c r="B1236" s="13"/>
      <c r="C1236" s="14" t="s">
        <v>776</v>
      </c>
      <c r="D1236" s="13"/>
      <c r="E1236" s="80"/>
      <c r="F1236" s="15"/>
      <c r="G1236" s="81"/>
      <c r="H1236" s="15">
        <f>ROUND(SUM(H1231:H1235),1)</f>
        <v>8793002.5</v>
      </c>
    </row>
    <row r="1237" spans="1:8" ht="16.5" customHeight="1">
      <c r="A1237" s="131"/>
      <c r="B1237" s="91"/>
      <c r="C1237" s="90" t="s">
        <v>678</v>
      </c>
      <c r="D1237" s="91"/>
      <c r="E1237" s="93"/>
      <c r="F1237" s="132"/>
      <c r="G1237" s="94"/>
      <c r="H1237" s="132">
        <f>ROUND(H1238,1)</f>
        <v>7205000</v>
      </c>
    </row>
    <row r="1238" spans="1:8" ht="16.5" customHeight="1">
      <c r="A1238" s="127"/>
      <c r="B1238" s="13" t="str">
        <f>'Giá tháng'!B$51</f>
        <v>N2.35</v>
      </c>
      <c r="C1238" s="14" t="str">
        <f>'Giá tháng'!C$51</f>
        <v>Nhân công 3,5/7 - Nhóm 2</v>
      </c>
      <c r="D1238" s="13" t="str">
        <f>'Giá tháng'!D$51</f>
        <v>công</v>
      </c>
      <c r="E1238" s="80">
        <f>HaoPhiVatTu!G$484</f>
        <v>27.5</v>
      </c>
      <c r="F1238" s="15">
        <f>ROUND('Tổng hợp VT'!O$59,1)</f>
        <v>262000</v>
      </c>
      <c r="G1238" s="81">
        <f>'Giá tháng'!G$51</f>
        <v>1</v>
      </c>
      <c r="H1238" s="15">
        <f>ROUND(E1238*F1238*G1238,1)</f>
        <v>7205000</v>
      </c>
    </row>
    <row r="1239" spans="1:8" ht="27.75" customHeight="1">
      <c r="A1239" s="238"/>
      <c r="B1239" s="159"/>
      <c r="C1239" s="158" t="s">
        <v>1085</v>
      </c>
      <c r="D1239" s="159" t="s">
        <v>810</v>
      </c>
      <c r="E1239" s="239"/>
      <c r="F1239" s="162"/>
      <c r="G1239" s="240"/>
      <c r="H1239" s="162">
        <f>ROUND(H1230+H1237,1)</f>
        <v>15998002.5</v>
      </c>
    </row>
    <row r="1240" spans="1:8" ht="16.5" customHeight="1">
      <c r="A1240" s="241"/>
      <c r="B1240" s="147"/>
      <c r="C1240" s="146" t="s">
        <v>812</v>
      </c>
      <c r="D1240" s="147" t="str">
        <f>""</f>
        <v/>
      </c>
      <c r="E1240" s="242"/>
      <c r="F1240" s="150"/>
      <c r="G1240" s="149"/>
      <c r="H1240" s="150"/>
    </row>
    <row r="1241" spans="1:8" ht="16.5" customHeight="1">
      <c r="A1241" s="241"/>
      <c r="B1241" s="147"/>
      <c r="C1241" s="146" t="str">
        <f>"Chi phí chung ( T x "&amp;HSXL!C$14&amp;" )"</f>
        <v>Chi phí chung ( T x 6,2% )</v>
      </c>
      <c r="D1241" s="147" t="s">
        <v>807</v>
      </c>
      <c r="E1241" s="242" t="str">
        <f>HSXL!C$14</f>
        <v>6,2%</v>
      </c>
      <c r="F1241" s="150"/>
      <c r="G1241" s="149"/>
      <c r="H1241" s="150">
        <f>ROUND(H1239*HSXL!D$14,1)</f>
        <v>991876.2</v>
      </c>
    </row>
    <row r="1242" spans="1:8" ht="27.75" customHeight="1">
      <c r="A1242" s="241"/>
      <c r="B1242" s="147"/>
      <c r="C1242" s="146" t="str">
        <f>"Chi phí nhà tạm để ở và điều hành thi công ( T x "&amp;HSXL!C$18&amp;" )"</f>
        <v>Chi phí nhà tạm để ở và điều hành thi công ( T x 2,2% )</v>
      </c>
      <c r="D1242" s="147" t="s">
        <v>815</v>
      </c>
      <c r="E1242" s="242" t="str">
        <f>HSXL!C$18</f>
        <v>2,2%</v>
      </c>
      <c r="F1242" s="150"/>
      <c r="G1242" s="149"/>
      <c r="H1242" s="150">
        <f>ROUND(H1239*HSXL!D$18,1)</f>
        <v>351956.1</v>
      </c>
    </row>
    <row r="1243" spans="1:8" ht="39.75" customHeight="1">
      <c r="A1243" s="241"/>
      <c r="B1243" s="147"/>
      <c r="C1243" s="146" t="str">
        <f>"Chi phí một số công việc không xác định được khối lượng từ thiết kế ( T x "&amp;HSXL!C$13&amp;" )"</f>
        <v>Chi phí một số công việc không xác định được khối lượng từ thiết kế ( T x 2% )</v>
      </c>
      <c r="D1243" s="147" t="s">
        <v>61</v>
      </c>
      <c r="E1243" s="242" t="str">
        <f>HSXL!C$13</f>
        <v>2%</v>
      </c>
      <c r="F1243" s="150"/>
      <c r="G1243" s="149"/>
      <c r="H1243" s="150">
        <f>ROUND(H1239*HSXL!D$13,1)</f>
        <v>319960.09999999998</v>
      </c>
    </row>
    <row r="1244" spans="1:8" ht="27.75" customHeight="1">
      <c r="A1244" s="238"/>
      <c r="B1244" s="159"/>
      <c r="C1244" s="158" t="s">
        <v>1086</v>
      </c>
      <c r="D1244" s="159" t="s">
        <v>818</v>
      </c>
      <c r="E1244" s="239"/>
      <c r="F1244" s="162"/>
      <c r="G1244" s="240"/>
      <c r="H1244" s="162">
        <f>ROUND(SUM(H1241:H1243),1)</f>
        <v>1663792.4</v>
      </c>
    </row>
    <row r="1245" spans="1:8" ht="27.75" customHeight="1">
      <c r="A1245" s="241"/>
      <c r="B1245" s="147"/>
      <c r="C1245" s="146" t="str">
        <f>"THU NHẬP CHỊU THUẾ TÍNH TRƯỚC (T+GT) x "&amp;HSXL!C$16</f>
        <v>THU NHẬP CHỊU THUẾ TÍNH TRƯỚC (T+GT) x 6%</v>
      </c>
      <c r="D1245" s="147" t="s">
        <v>821</v>
      </c>
      <c r="E1245" s="242" t="str">
        <f>HSXL!C$16</f>
        <v>6%</v>
      </c>
      <c r="F1245" s="150"/>
      <c r="G1245" s="149"/>
      <c r="H1245" s="150">
        <f>ROUND((H1239+H1244)*HSXL!D$16,1)</f>
        <v>1059707.7</v>
      </c>
    </row>
    <row r="1246" spans="1:8" ht="27.75" customHeight="1">
      <c r="A1246" s="241"/>
      <c r="B1246" s="147"/>
      <c r="C1246" s="146" t="s">
        <v>1087</v>
      </c>
      <c r="D1246" s="147" t="s">
        <v>823</v>
      </c>
      <c r="E1246" s="242"/>
      <c r="F1246" s="150"/>
      <c r="G1246" s="149"/>
      <c r="H1246" s="150">
        <f>ROUND(H1239+H1244+H1245,0)</f>
        <v>18721503</v>
      </c>
    </row>
    <row r="1247" spans="1:8" ht="27.75" customHeight="1">
      <c r="A1247" s="241"/>
      <c r="B1247" s="147"/>
      <c r="C1247" s="146" t="str">
        <f>"THUẾ GIÁ TRỊ GIA TĂNG ( G x "&amp;HSXL!C$17&amp;" )"</f>
        <v>THUẾ GIÁ TRỊ GIA TĂNG ( G x 10% )</v>
      </c>
      <c r="D1247" s="147" t="s">
        <v>827</v>
      </c>
      <c r="E1247" s="164">
        <f>HSXL!D$17</f>
        <v>0.1</v>
      </c>
      <c r="F1247" s="150"/>
      <c r="G1247" s="149"/>
      <c r="H1247" s="150">
        <f>ROUND(E1247*H1246,1)</f>
        <v>1872150.3</v>
      </c>
    </row>
    <row r="1248" spans="1:8" ht="27.75" customHeight="1">
      <c r="A1248" s="243"/>
      <c r="B1248" s="244"/>
      <c r="C1248" s="245" t="s">
        <v>1088</v>
      </c>
      <c r="D1248" s="244" t="s">
        <v>830</v>
      </c>
      <c r="E1248" s="246"/>
      <c r="F1248" s="247"/>
      <c r="G1248" s="248"/>
      <c r="H1248" s="249">
        <f>ROUND(H1246+H1247,0)</f>
        <v>20593653</v>
      </c>
    </row>
    <row r="1249" spans="1:8" ht="16.5" customHeight="1">
      <c r="A1249" s="128">
        <f>'Công trình'!A160</f>
        <v>52</v>
      </c>
      <c r="B1249" s="129" t="str">
        <f>'Công trình'!E160</f>
        <v>AF.12314A</v>
      </c>
      <c r="C1249" s="130" t="str">
        <f>'Công trình'!F160</f>
        <v>Bê tông cổ tường M250, đá 1x2</v>
      </c>
      <c r="D1249" s="129" t="str">
        <f>'Công trình'!G160</f>
        <v>m3</v>
      </c>
      <c r="E1249" s="237">
        <v>1</v>
      </c>
      <c r="F1249" s="69"/>
      <c r="G1249" s="68"/>
      <c r="H1249" s="69"/>
    </row>
    <row r="1250" spans="1:8" ht="16.5" customHeight="1">
      <c r="A1250" s="131"/>
      <c r="B1250" s="91"/>
      <c r="C1250" s="90" t="s">
        <v>683</v>
      </c>
      <c r="D1250" s="91"/>
      <c r="E1250" s="93"/>
      <c r="F1250" s="132"/>
      <c r="G1250" s="94"/>
      <c r="H1250" s="132">
        <f>ROUND(H1256,1)</f>
        <v>1099539</v>
      </c>
    </row>
    <row r="1251" spans="1:8" ht="27.75" customHeight="1">
      <c r="A1251" s="127"/>
      <c r="B1251" s="13" t="str">
        <f>'Giá tháng'!B$45</f>
        <v>A24.0797A</v>
      </c>
      <c r="C1251" s="14" t="str">
        <f>'Giá tháng'!C$45</f>
        <v>Xi măng PCB30</v>
      </c>
      <c r="D1251" s="13" t="str">
        <f>'Giá tháng'!D$45</f>
        <v>kg</v>
      </c>
      <c r="E1251" s="80">
        <f>HaoPhiVatTu!F$487</f>
        <v>369</v>
      </c>
      <c r="F1251" s="15">
        <f>ROUND('Tổng hợp VT'!O$49,1)</f>
        <v>1481</v>
      </c>
      <c r="G1251" s="81">
        <f>'Giá tháng'!G$45</f>
        <v>1</v>
      </c>
      <c r="H1251" s="15">
        <f>ROUND(E1251*F1251*G1251,1)</f>
        <v>546489</v>
      </c>
    </row>
    <row r="1252" spans="1:8" ht="16.5" customHeight="1">
      <c r="A1252" s="127"/>
      <c r="B1252" s="13" t="str">
        <f>'Giá tháng'!B$10</f>
        <v>A24.0180</v>
      </c>
      <c r="C1252" s="14" t="str">
        <f>'Giá tháng'!C$10</f>
        <v>Cát vàng</v>
      </c>
      <c r="D1252" s="13" t="str">
        <f>'Giá tháng'!D$10</f>
        <v>m3</v>
      </c>
      <c r="E1252" s="80">
        <f>HaoPhiVatTu!F$488</f>
        <v>0.517625</v>
      </c>
      <c r="F1252" s="15">
        <f>ROUND('Tổng hợp VT'!O$15,1)</f>
        <v>480000</v>
      </c>
      <c r="G1252" s="81">
        <f>'Giá tháng'!G$10</f>
        <v>1</v>
      </c>
      <c r="H1252" s="15">
        <f>ROUND(E1252*F1252*G1252,1)</f>
        <v>248460</v>
      </c>
    </row>
    <row r="1253" spans="1:8" ht="16.5" customHeight="1">
      <c r="A1253" s="127"/>
      <c r="B1253" s="13" t="str">
        <f>'Giá tháng'!B$15</f>
        <v>A24.0008</v>
      </c>
      <c r="C1253" s="14" t="str">
        <f>'Giá tháng'!C$15</f>
        <v>Đá 1x2</v>
      </c>
      <c r="D1253" s="13" t="str">
        <f>'Giá tháng'!D$15</f>
        <v>m3</v>
      </c>
      <c r="E1253" s="80">
        <f>HaoPhiVatTu!F$489</f>
        <v>0.8528</v>
      </c>
      <c r="F1253" s="15">
        <f>ROUND('Tổng hợp VT'!O$20,1)</f>
        <v>340000</v>
      </c>
      <c r="G1253" s="81">
        <f>'Giá tháng'!G$15</f>
        <v>1</v>
      </c>
      <c r="H1253" s="15">
        <f>ROUND(E1253*F1253*G1253,1)</f>
        <v>289952</v>
      </c>
    </row>
    <row r="1254" spans="1:8" ht="16.5" customHeight="1">
      <c r="A1254" s="127"/>
      <c r="B1254" s="13" t="str">
        <f>'Giá tháng'!B$32</f>
        <v>A24.0524</v>
      </c>
      <c r="C1254" s="14" t="str">
        <f>'Giá tháng'!C$32</f>
        <v>Nước</v>
      </c>
      <c r="D1254" s="13" t="str">
        <f>'Giá tháng'!D$32</f>
        <v>lít</v>
      </c>
      <c r="E1254" s="80">
        <f>HaoPhiVatTu!F$490</f>
        <v>187.57499999999999</v>
      </c>
      <c r="F1254" s="15">
        <f>ROUND('Tổng hợp VT'!O$37,1)</f>
        <v>20</v>
      </c>
      <c r="G1254" s="81">
        <f>'Giá tháng'!G$32</f>
        <v>1</v>
      </c>
      <c r="H1254" s="15">
        <f>ROUND(E1254*F1254*G1254,1)</f>
        <v>3751.5</v>
      </c>
    </row>
    <row r="1255" spans="1:8" ht="16.5" customHeight="1">
      <c r="A1255" s="127"/>
      <c r="B1255" s="13" t="s">
        <v>684</v>
      </c>
      <c r="C1255" s="14" t="s">
        <v>685</v>
      </c>
      <c r="D1255" s="13" t="s">
        <v>682</v>
      </c>
      <c r="E1255" s="80">
        <f>HaoPhiVatTu!F$491</f>
        <v>1</v>
      </c>
      <c r="F1255" s="15">
        <f>ROUND(SUM(H1251:H1254),1)</f>
        <v>1088652.5</v>
      </c>
      <c r="G1255" s="81"/>
      <c r="H1255" s="15">
        <f>ROUND(E1255*F1255/100,1)</f>
        <v>10886.5</v>
      </c>
    </row>
    <row r="1256" spans="1:8" ht="16.5" customHeight="1">
      <c r="A1256" s="127"/>
      <c r="B1256" s="13"/>
      <c r="C1256" s="14" t="s">
        <v>776</v>
      </c>
      <c r="D1256" s="13"/>
      <c r="E1256" s="80"/>
      <c r="F1256" s="15"/>
      <c r="G1256" s="81"/>
      <c r="H1256" s="15">
        <f>ROUND(SUM(H1251:H1255),1)</f>
        <v>1099539</v>
      </c>
    </row>
    <row r="1257" spans="1:8" ht="16.5" customHeight="1">
      <c r="A1257" s="131"/>
      <c r="B1257" s="91"/>
      <c r="C1257" s="90" t="s">
        <v>678</v>
      </c>
      <c r="D1257" s="91"/>
      <c r="E1257" s="93"/>
      <c r="F1257" s="132"/>
      <c r="G1257" s="94"/>
      <c r="H1257" s="132">
        <f>ROUND(H1258,1)</f>
        <v>639710.6</v>
      </c>
    </row>
    <row r="1258" spans="1:8" ht="16.5" customHeight="1">
      <c r="A1258" s="127"/>
      <c r="B1258" s="13" t="str">
        <f>'Giá tháng'!B$49</f>
        <v>N2.30</v>
      </c>
      <c r="C1258" s="14" t="str">
        <f>'Giá tháng'!C$49</f>
        <v>Nhân công 3,0/7 - Nhóm 2</v>
      </c>
      <c r="D1258" s="13" t="str">
        <f>'Giá tháng'!D$49</f>
        <v>công</v>
      </c>
      <c r="E1258" s="80">
        <f>HaoPhiVatTu!G$493</f>
        <v>2.67</v>
      </c>
      <c r="F1258" s="15">
        <f>ROUND('Tổng hợp VT'!O$57,1)</f>
        <v>239592</v>
      </c>
      <c r="G1258" s="81">
        <f>'Giá tháng'!G$49</f>
        <v>1</v>
      </c>
      <c r="H1258" s="15">
        <f>ROUND(E1258*F1258*G1258,1)</f>
        <v>639710.6</v>
      </c>
    </row>
    <row r="1259" spans="1:8" ht="16.5" customHeight="1">
      <c r="A1259" s="131"/>
      <c r="B1259" s="91"/>
      <c r="C1259" s="90" t="s">
        <v>679</v>
      </c>
      <c r="D1259" s="91"/>
      <c r="E1259" s="93"/>
      <c r="F1259" s="132"/>
      <c r="G1259" s="94"/>
      <c r="H1259" s="132">
        <f>ROUND(H1262,1)</f>
        <v>79863</v>
      </c>
    </row>
    <row r="1260" spans="1:8" ht="27.75" customHeight="1">
      <c r="A1260" s="127"/>
      <c r="B1260" s="13" t="str">
        <f>'Giá tháng'!B$74</f>
        <v>M104.0102</v>
      </c>
      <c r="C1260" s="14" t="str">
        <f>'Giá tháng'!C$74</f>
        <v>Máy trộn bê tông - dung tích : 250,0 lít</v>
      </c>
      <c r="D1260" s="13" t="str">
        <f>'Giá tháng'!D$74</f>
        <v>ca</v>
      </c>
      <c r="E1260" s="80">
        <f>HaoPhiVatTu!H$495</f>
        <v>9.5000000000000001E-2</v>
      </c>
      <c r="F1260" s="15">
        <f>ROUND('Tổng hợp VT'!O$83,1)</f>
        <v>318734</v>
      </c>
      <c r="G1260" s="81">
        <f>'Giá tháng'!G$74</f>
        <v>1</v>
      </c>
      <c r="H1260" s="15">
        <f>ROUND(E1260*F1260*G1260,1)</f>
        <v>30279.7</v>
      </c>
    </row>
    <row r="1261" spans="1:8" ht="27.75" customHeight="1">
      <c r="A1261" s="127"/>
      <c r="B1261" s="13" t="str">
        <f>'Giá tháng'!B$62</f>
        <v>M112.1301</v>
      </c>
      <c r="C1261" s="14" t="str">
        <f>'Giá tháng'!C$62</f>
        <v>Máy đầm bê tông, dầm dùi - công suất : 1,5 kW</v>
      </c>
      <c r="D1261" s="13" t="str">
        <f>'Giá tháng'!D$62</f>
        <v>ca</v>
      </c>
      <c r="E1261" s="80">
        <f>HaoPhiVatTu!H$496</f>
        <v>0.18</v>
      </c>
      <c r="F1261" s="15">
        <f>ROUND('Tổng hợp VT'!O$71,1)</f>
        <v>275463</v>
      </c>
      <c r="G1261" s="81">
        <f>'Giá tháng'!G$62</f>
        <v>1</v>
      </c>
      <c r="H1261" s="15">
        <f>ROUND(E1261*F1261*G1261,1)</f>
        <v>49583.3</v>
      </c>
    </row>
    <row r="1262" spans="1:8" ht="16.5" customHeight="1">
      <c r="A1262" s="127"/>
      <c r="B1262" s="13"/>
      <c r="C1262" s="14" t="s">
        <v>776</v>
      </c>
      <c r="D1262" s="13"/>
      <c r="E1262" s="19"/>
      <c r="F1262" s="15"/>
      <c r="G1262" s="18"/>
      <c r="H1262" s="15">
        <f>ROUND(SUM(H1260:H1261),1)</f>
        <v>79863</v>
      </c>
    </row>
    <row r="1263" spans="1:8" ht="27.75" customHeight="1">
      <c r="A1263" s="238"/>
      <c r="B1263" s="159"/>
      <c r="C1263" s="158" t="s">
        <v>1085</v>
      </c>
      <c r="D1263" s="159" t="s">
        <v>810</v>
      </c>
      <c r="E1263" s="239"/>
      <c r="F1263" s="162"/>
      <c r="G1263" s="240"/>
      <c r="H1263" s="162">
        <f>ROUND(H1250+H1257+H1259,1)</f>
        <v>1819112.6</v>
      </c>
    </row>
    <row r="1264" spans="1:8" ht="16.5" customHeight="1">
      <c r="A1264" s="241"/>
      <c r="B1264" s="147"/>
      <c r="C1264" s="146" t="s">
        <v>812</v>
      </c>
      <c r="D1264" s="147" t="str">
        <f>""</f>
        <v/>
      </c>
      <c r="E1264" s="242"/>
      <c r="F1264" s="150"/>
      <c r="G1264" s="149"/>
      <c r="H1264" s="150"/>
    </row>
    <row r="1265" spans="1:8" ht="16.5" customHeight="1">
      <c r="A1265" s="241"/>
      <c r="B1265" s="147"/>
      <c r="C1265" s="146" t="str">
        <f>"Chi phí chung ( T x "&amp;HSXL!C$14&amp;" )"</f>
        <v>Chi phí chung ( T x 6,2% )</v>
      </c>
      <c r="D1265" s="147" t="s">
        <v>807</v>
      </c>
      <c r="E1265" s="242" t="str">
        <f>HSXL!C$14</f>
        <v>6,2%</v>
      </c>
      <c r="F1265" s="150"/>
      <c r="G1265" s="149"/>
      <c r="H1265" s="150">
        <f>ROUND(H1263*HSXL!D$14,1)</f>
        <v>112785</v>
      </c>
    </row>
    <row r="1266" spans="1:8" ht="27.75" customHeight="1">
      <c r="A1266" s="241"/>
      <c r="B1266" s="147"/>
      <c r="C1266" s="146" t="str">
        <f>"Chi phí nhà tạm để ở và điều hành thi công ( T x "&amp;HSXL!C$18&amp;" )"</f>
        <v>Chi phí nhà tạm để ở và điều hành thi công ( T x 2,2% )</v>
      </c>
      <c r="D1266" s="147" t="s">
        <v>815</v>
      </c>
      <c r="E1266" s="242" t="str">
        <f>HSXL!C$18</f>
        <v>2,2%</v>
      </c>
      <c r="F1266" s="150"/>
      <c r="G1266" s="149"/>
      <c r="H1266" s="150">
        <f>ROUND(H1263*HSXL!D$18,1)</f>
        <v>40020.5</v>
      </c>
    </row>
    <row r="1267" spans="1:8" ht="39.75" customHeight="1">
      <c r="A1267" s="241"/>
      <c r="B1267" s="147"/>
      <c r="C1267" s="146" t="str">
        <f>"Chi phí một số công việc không xác định được khối lượng từ thiết kế ( T x "&amp;HSXL!C$13&amp;" )"</f>
        <v>Chi phí một số công việc không xác định được khối lượng từ thiết kế ( T x 2% )</v>
      </c>
      <c r="D1267" s="147" t="s">
        <v>61</v>
      </c>
      <c r="E1267" s="242" t="str">
        <f>HSXL!C$13</f>
        <v>2%</v>
      </c>
      <c r="F1267" s="150"/>
      <c r="G1267" s="149"/>
      <c r="H1267" s="150">
        <f>ROUND(H1263*HSXL!D$13,1)</f>
        <v>36382.300000000003</v>
      </c>
    </row>
    <row r="1268" spans="1:8" ht="27.75" customHeight="1">
      <c r="A1268" s="238"/>
      <c r="B1268" s="159"/>
      <c r="C1268" s="158" t="s">
        <v>1086</v>
      </c>
      <c r="D1268" s="159" t="s">
        <v>818</v>
      </c>
      <c r="E1268" s="239"/>
      <c r="F1268" s="162"/>
      <c r="G1268" s="240"/>
      <c r="H1268" s="162">
        <f>ROUND(SUM(H1265:H1267),1)</f>
        <v>189187.8</v>
      </c>
    </row>
    <row r="1269" spans="1:8" ht="27.75" customHeight="1">
      <c r="A1269" s="241"/>
      <c r="B1269" s="147"/>
      <c r="C1269" s="146" t="str">
        <f>"THU NHẬP CHỊU THUẾ TÍNH TRƯỚC (T+GT) x "&amp;HSXL!C$16</f>
        <v>THU NHẬP CHỊU THUẾ TÍNH TRƯỚC (T+GT) x 6%</v>
      </c>
      <c r="D1269" s="147" t="s">
        <v>821</v>
      </c>
      <c r="E1269" s="242" t="str">
        <f>HSXL!C$16</f>
        <v>6%</v>
      </c>
      <c r="F1269" s="150"/>
      <c r="G1269" s="149"/>
      <c r="H1269" s="150">
        <f>ROUND((H1263+H1268)*HSXL!D$16,1)</f>
        <v>120498</v>
      </c>
    </row>
    <row r="1270" spans="1:8" ht="27.75" customHeight="1">
      <c r="A1270" s="241"/>
      <c r="B1270" s="147"/>
      <c r="C1270" s="146" t="s">
        <v>1087</v>
      </c>
      <c r="D1270" s="147" t="s">
        <v>823</v>
      </c>
      <c r="E1270" s="242"/>
      <c r="F1270" s="150"/>
      <c r="G1270" s="149"/>
      <c r="H1270" s="150">
        <f>ROUND(H1263+H1268+H1269,0)</f>
        <v>2128798</v>
      </c>
    </row>
    <row r="1271" spans="1:8" ht="27.75" customHeight="1">
      <c r="A1271" s="241"/>
      <c r="B1271" s="147"/>
      <c r="C1271" s="146" t="str">
        <f>"THUẾ GIÁ TRỊ GIA TĂNG ( G x "&amp;HSXL!C$17&amp;" )"</f>
        <v>THUẾ GIÁ TRỊ GIA TĂNG ( G x 10% )</v>
      </c>
      <c r="D1271" s="147" t="s">
        <v>827</v>
      </c>
      <c r="E1271" s="164">
        <f>HSXL!D$17</f>
        <v>0.1</v>
      </c>
      <c r="F1271" s="150"/>
      <c r="G1271" s="149"/>
      <c r="H1271" s="150">
        <f>ROUND(E1271*H1270,1)</f>
        <v>212879.8</v>
      </c>
    </row>
    <row r="1272" spans="1:8" ht="27.75" customHeight="1">
      <c r="A1272" s="243"/>
      <c r="B1272" s="244"/>
      <c r="C1272" s="245" t="s">
        <v>1088</v>
      </c>
      <c r="D1272" s="244" t="s">
        <v>830</v>
      </c>
      <c r="E1272" s="246"/>
      <c r="F1272" s="247"/>
      <c r="G1272" s="248"/>
      <c r="H1272" s="249">
        <f>ROUND(H1270+H1271,0)</f>
        <v>2341678</v>
      </c>
    </row>
    <row r="1273" spans="1:8" ht="27.75" customHeight="1">
      <c r="A1273" s="128">
        <f>'Công trình'!A162</f>
        <v>53</v>
      </c>
      <c r="B1273" s="129" t="str">
        <f>'Công trình'!E162</f>
        <v>AF.61511</v>
      </c>
      <c r="C1273" s="130" t="str">
        <f>'Công trình'!F162</f>
        <v>Công tác gia công lắp dựng cốt thép. Cốt thép cổ tường</v>
      </c>
      <c r="D1273" s="129" t="str">
        <f>'Công trình'!G162</f>
        <v>tấn</v>
      </c>
      <c r="E1273" s="237">
        <v>1</v>
      </c>
      <c r="F1273" s="69"/>
      <c r="G1273" s="68"/>
      <c r="H1273" s="69"/>
    </row>
    <row r="1274" spans="1:8" ht="16.5" customHeight="1">
      <c r="A1274" s="131"/>
      <c r="B1274" s="91"/>
      <c r="C1274" s="90" t="s">
        <v>683</v>
      </c>
      <c r="D1274" s="91"/>
      <c r="E1274" s="93"/>
      <c r="F1274" s="132"/>
      <c r="G1274" s="94"/>
      <c r="H1274" s="132">
        <f>ROUND(H1277,1)</f>
        <v>16968180</v>
      </c>
    </row>
    <row r="1275" spans="1:8" ht="16.5" customHeight="1">
      <c r="A1275" s="127"/>
      <c r="B1275" s="13" t="str">
        <f>'Giá tháng'!B$42</f>
        <v>A24.0738</v>
      </c>
      <c r="C1275" s="14" t="str">
        <f>'Giá tháng'!C$42</f>
        <v>Thép tròn D&lt;=10mm</v>
      </c>
      <c r="D1275" s="13" t="str">
        <f>'Giá tháng'!D$42</f>
        <v>kg</v>
      </c>
      <c r="E1275" s="80">
        <f>HaoPhiVatTu!F$499</f>
        <v>1005</v>
      </c>
      <c r="F1275" s="15">
        <f>ROUND('Tổng hợp VT'!O$47,1)</f>
        <v>16500</v>
      </c>
      <c r="G1275" s="81">
        <f>'Giá tháng'!G$42</f>
        <v>1</v>
      </c>
      <c r="H1275" s="15">
        <f>ROUND(E1275*F1275*G1275,1)</f>
        <v>16582500</v>
      </c>
    </row>
    <row r="1276" spans="1:8" ht="16.5" customHeight="1">
      <c r="A1276" s="127"/>
      <c r="B1276" s="13" t="str">
        <f>'Giá tháng'!B$14</f>
        <v>A24.0293</v>
      </c>
      <c r="C1276" s="14" t="str">
        <f>'Giá tháng'!C$14</f>
        <v>Dây thép</v>
      </c>
      <c r="D1276" s="13" t="str">
        <f>'Giá tháng'!D$14</f>
        <v>kg</v>
      </c>
      <c r="E1276" s="80">
        <f>HaoPhiVatTu!F$500</f>
        <v>16.07</v>
      </c>
      <c r="F1276" s="15">
        <f>ROUND('Tổng hợp VT'!O$19,1)</f>
        <v>24000</v>
      </c>
      <c r="G1276" s="81">
        <f>'Giá tháng'!G$14</f>
        <v>1</v>
      </c>
      <c r="H1276" s="15">
        <f>ROUND(E1276*F1276*G1276,1)</f>
        <v>385680</v>
      </c>
    </row>
    <row r="1277" spans="1:8" ht="16.5" customHeight="1">
      <c r="A1277" s="127"/>
      <c r="B1277" s="13"/>
      <c r="C1277" s="14" t="s">
        <v>776</v>
      </c>
      <c r="D1277" s="13"/>
      <c r="E1277" s="80"/>
      <c r="F1277" s="15"/>
      <c r="G1277" s="81"/>
      <c r="H1277" s="15">
        <f>ROUND(SUM(H1275:H1276),1)</f>
        <v>16968180</v>
      </c>
    </row>
    <row r="1278" spans="1:8" ht="16.5" customHeight="1">
      <c r="A1278" s="131"/>
      <c r="B1278" s="91"/>
      <c r="C1278" s="90" t="s">
        <v>678</v>
      </c>
      <c r="D1278" s="91"/>
      <c r="E1278" s="93"/>
      <c r="F1278" s="132"/>
      <c r="G1278" s="94"/>
      <c r="H1278" s="132">
        <f>ROUND(H1279,1)</f>
        <v>4032180</v>
      </c>
    </row>
    <row r="1279" spans="1:8" ht="16.5" customHeight="1">
      <c r="A1279" s="127"/>
      <c r="B1279" s="13" t="str">
        <f>'Giá tháng'!B$51</f>
        <v>N2.35</v>
      </c>
      <c r="C1279" s="14" t="str">
        <f>'Giá tháng'!C$51</f>
        <v>Nhân công 3,5/7 - Nhóm 2</v>
      </c>
      <c r="D1279" s="13" t="str">
        <f>'Giá tháng'!D$51</f>
        <v>công</v>
      </c>
      <c r="E1279" s="80">
        <f>HaoPhiVatTu!G$502</f>
        <v>15.39</v>
      </c>
      <c r="F1279" s="15">
        <f>ROUND('Tổng hợp VT'!O$59,1)</f>
        <v>262000</v>
      </c>
      <c r="G1279" s="81">
        <f>'Giá tháng'!G$51</f>
        <v>1</v>
      </c>
      <c r="H1279" s="15">
        <f>ROUND(E1279*F1279*G1279,1)</f>
        <v>4032180</v>
      </c>
    </row>
    <row r="1280" spans="1:8" ht="16.5" customHeight="1">
      <c r="A1280" s="131"/>
      <c r="B1280" s="91"/>
      <c r="C1280" s="90" t="s">
        <v>679</v>
      </c>
      <c r="D1280" s="91"/>
      <c r="E1280" s="93"/>
      <c r="F1280" s="132"/>
      <c r="G1280" s="94"/>
      <c r="H1280" s="132">
        <f>ROUND(H1281,1)</f>
        <v>111836.4</v>
      </c>
    </row>
    <row r="1281" spans="1:8" ht="27.75" customHeight="1">
      <c r="A1281" s="127"/>
      <c r="B1281" s="13" t="str">
        <f>'Giá tháng'!B$56</f>
        <v>M112.2601</v>
      </c>
      <c r="C1281" s="14" t="str">
        <f>'Giá tháng'!C$56</f>
        <v>Máy cắt uốn cốt thép - công suất : 5,0 kW</v>
      </c>
      <c r="D1281" s="13" t="str">
        <f>'Giá tháng'!D$56</f>
        <v>ca</v>
      </c>
      <c r="E1281" s="80">
        <f>HaoPhiVatTu!H$504</f>
        <v>0.4</v>
      </c>
      <c r="F1281" s="15">
        <f>ROUND('Tổng hợp VT'!O$65,1)</f>
        <v>279591</v>
      </c>
      <c r="G1281" s="81">
        <f>'Giá tháng'!G$56</f>
        <v>1</v>
      </c>
      <c r="H1281" s="15">
        <f>ROUND(E1281*F1281*G1281,1)</f>
        <v>111836.4</v>
      </c>
    </row>
    <row r="1282" spans="1:8" ht="27.75" customHeight="1">
      <c r="A1282" s="238"/>
      <c r="B1282" s="159"/>
      <c r="C1282" s="158" t="s">
        <v>1085</v>
      </c>
      <c r="D1282" s="159" t="s">
        <v>810</v>
      </c>
      <c r="E1282" s="239"/>
      <c r="F1282" s="162"/>
      <c r="G1282" s="240"/>
      <c r="H1282" s="162">
        <f>ROUND(H1274+H1278+H1280,1)</f>
        <v>21112196.399999999</v>
      </c>
    </row>
    <row r="1283" spans="1:8" ht="16.5" customHeight="1">
      <c r="A1283" s="241"/>
      <c r="B1283" s="147"/>
      <c r="C1283" s="146" t="s">
        <v>812</v>
      </c>
      <c r="D1283" s="147" t="str">
        <f>""</f>
        <v/>
      </c>
      <c r="E1283" s="242"/>
      <c r="F1283" s="150"/>
      <c r="G1283" s="149"/>
      <c r="H1283" s="150"/>
    </row>
    <row r="1284" spans="1:8" ht="16.5" customHeight="1">
      <c r="A1284" s="241"/>
      <c r="B1284" s="147"/>
      <c r="C1284" s="146" t="str">
        <f>"Chi phí chung ( T x "&amp;HSXL!C$14&amp;" )"</f>
        <v>Chi phí chung ( T x 6,2% )</v>
      </c>
      <c r="D1284" s="147" t="s">
        <v>807</v>
      </c>
      <c r="E1284" s="242" t="str">
        <f>HSXL!C$14</f>
        <v>6,2%</v>
      </c>
      <c r="F1284" s="150"/>
      <c r="G1284" s="149"/>
      <c r="H1284" s="150">
        <f>ROUND(H1282*HSXL!D$14,1)</f>
        <v>1308956.2</v>
      </c>
    </row>
    <row r="1285" spans="1:8" ht="27.75" customHeight="1">
      <c r="A1285" s="241"/>
      <c r="B1285" s="147"/>
      <c r="C1285" s="146" t="str">
        <f>"Chi phí nhà tạm để ở và điều hành thi công ( T x "&amp;HSXL!C$18&amp;" )"</f>
        <v>Chi phí nhà tạm để ở và điều hành thi công ( T x 2,2% )</v>
      </c>
      <c r="D1285" s="147" t="s">
        <v>815</v>
      </c>
      <c r="E1285" s="242" t="str">
        <f>HSXL!C$18</f>
        <v>2,2%</v>
      </c>
      <c r="F1285" s="150"/>
      <c r="G1285" s="149"/>
      <c r="H1285" s="150">
        <f>ROUND(H1282*HSXL!D$18,1)</f>
        <v>464468.3</v>
      </c>
    </row>
    <row r="1286" spans="1:8" ht="39.75" customHeight="1">
      <c r="A1286" s="241"/>
      <c r="B1286" s="147"/>
      <c r="C1286" s="146" t="str">
        <f>"Chi phí một số công việc không xác định được khối lượng từ thiết kế ( T x "&amp;HSXL!C$13&amp;" )"</f>
        <v>Chi phí một số công việc không xác định được khối lượng từ thiết kế ( T x 2% )</v>
      </c>
      <c r="D1286" s="147" t="s">
        <v>61</v>
      </c>
      <c r="E1286" s="242" t="str">
        <f>HSXL!C$13</f>
        <v>2%</v>
      </c>
      <c r="F1286" s="150"/>
      <c r="G1286" s="149"/>
      <c r="H1286" s="150">
        <f>ROUND(H1282*HSXL!D$13,1)</f>
        <v>422243.9</v>
      </c>
    </row>
    <row r="1287" spans="1:8" ht="27.75" customHeight="1">
      <c r="A1287" s="238"/>
      <c r="B1287" s="159"/>
      <c r="C1287" s="158" t="s">
        <v>1086</v>
      </c>
      <c r="D1287" s="159" t="s">
        <v>818</v>
      </c>
      <c r="E1287" s="239"/>
      <c r="F1287" s="162"/>
      <c r="G1287" s="240"/>
      <c r="H1287" s="162">
        <f>ROUND(SUM(H1284:H1286),1)</f>
        <v>2195668.4</v>
      </c>
    </row>
    <row r="1288" spans="1:8" ht="27.75" customHeight="1">
      <c r="A1288" s="241"/>
      <c r="B1288" s="147"/>
      <c r="C1288" s="146" t="str">
        <f>"THU NHẬP CHỊU THUẾ TÍNH TRƯỚC (T+GT) x "&amp;HSXL!C$16</f>
        <v>THU NHẬP CHỊU THUẾ TÍNH TRƯỚC (T+GT) x 6%</v>
      </c>
      <c r="D1288" s="147" t="s">
        <v>821</v>
      </c>
      <c r="E1288" s="242" t="str">
        <f>HSXL!C$16</f>
        <v>6%</v>
      </c>
      <c r="F1288" s="150"/>
      <c r="G1288" s="149"/>
      <c r="H1288" s="150">
        <f>ROUND((H1282+H1287)*HSXL!D$16,1)</f>
        <v>1398471.9</v>
      </c>
    </row>
    <row r="1289" spans="1:8" ht="27.75" customHeight="1">
      <c r="A1289" s="241"/>
      <c r="B1289" s="147"/>
      <c r="C1289" s="146" t="s">
        <v>1087</v>
      </c>
      <c r="D1289" s="147" t="s">
        <v>823</v>
      </c>
      <c r="E1289" s="242"/>
      <c r="F1289" s="150"/>
      <c r="G1289" s="149"/>
      <c r="H1289" s="150">
        <f>ROUND(H1282+H1287+H1288,0)</f>
        <v>24706337</v>
      </c>
    </row>
    <row r="1290" spans="1:8" ht="27.75" customHeight="1">
      <c r="A1290" s="241"/>
      <c r="B1290" s="147"/>
      <c r="C1290" s="146" t="str">
        <f>"THUẾ GIÁ TRỊ GIA TĂNG ( G x "&amp;HSXL!C$17&amp;" )"</f>
        <v>THUẾ GIÁ TRỊ GIA TĂNG ( G x 10% )</v>
      </c>
      <c r="D1290" s="147" t="s">
        <v>827</v>
      </c>
      <c r="E1290" s="164">
        <f>HSXL!D$17</f>
        <v>0.1</v>
      </c>
      <c r="F1290" s="150"/>
      <c r="G1290" s="149"/>
      <c r="H1290" s="150">
        <f>ROUND(E1290*H1289,1)</f>
        <v>2470633.7000000002</v>
      </c>
    </row>
    <row r="1291" spans="1:8" ht="27.75" customHeight="1">
      <c r="A1291" s="243"/>
      <c r="B1291" s="244"/>
      <c r="C1291" s="245" t="s">
        <v>1088</v>
      </c>
      <c r="D1291" s="244" t="s">
        <v>830</v>
      </c>
      <c r="E1291" s="246"/>
      <c r="F1291" s="247"/>
      <c r="G1291" s="248"/>
      <c r="H1291" s="249">
        <f>ROUND(H1289+H1290,0)</f>
        <v>27176971</v>
      </c>
    </row>
    <row r="1292" spans="1:8" ht="53.25" customHeight="1">
      <c r="A1292" s="128">
        <f>'Công trình'!A164</f>
        <v>54</v>
      </c>
      <c r="B1292" s="129" t="str">
        <f>'Công trình'!E164</f>
        <v>AF.61521</v>
      </c>
      <c r="C1292" s="130" t="str">
        <f>'Công trình'!F164</f>
        <v>Công tác gia công lắp dựng cốt thép. Cốt thép xà dầm, giằng, đường kính cốt thép &lt;= 18mm, chiều cao &lt;= 6m</v>
      </c>
      <c r="D1292" s="129" t="str">
        <f>'Công trình'!G164</f>
        <v>tấn</v>
      </c>
      <c r="E1292" s="237">
        <v>1</v>
      </c>
      <c r="F1292" s="69"/>
      <c r="G1292" s="68"/>
      <c r="H1292" s="69"/>
    </row>
    <row r="1293" spans="1:8" ht="16.5" customHeight="1">
      <c r="A1293" s="131"/>
      <c r="B1293" s="91"/>
      <c r="C1293" s="90" t="s">
        <v>683</v>
      </c>
      <c r="D1293" s="91"/>
      <c r="E1293" s="93"/>
      <c r="F1293" s="132"/>
      <c r="G1293" s="94"/>
      <c r="H1293" s="132">
        <f>ROUND(H1297,1)</f>
        <v>17170220</v>
      </c>
    </row>
    <row r="1294" spans="1:8" ht="16.5" customHeight="1">
      <c r="A1294" s="127"/>
      <c r="B1294" s="13" t="str">
        <f>'Giá tháng'!B$43</f>
        <v>A24.0739</v>
      </c>
      <c r="C1294" s="14" t="str">
        <f>'Giá tháng'!C$43</f>
        <v>Thép tròn D&lt;=18mm</v>
      </c>
      <c r="D1294" s="13" t="str">
        <f>'Giá tháng'!D$43</f>
        <v>kg</v>
      </c>
      <c r="E1294" s="80">
        <f>HaoPhiVatTu!F$507</f>
        <v>1020</v>
      </c>
      <c r="F1294" s="15">
        <f>ROUND('Tổng hợp VT'!O$48,1)</f>
        <v>16500</v>
      </c>
      <c r="G1294" s="81">
        <f>'Giá tháng'!G$43</f>
        <v>1</v>
      </c>
      <c r="H1294" s="15">
        <f>ROUND(E1294*F1294*G1294,1)</f>
        <v>16830000</v>
      </c>
    </row>
    <row r="1295" spans="1:8" ht="16.5" customHeight="1">
      <c r="A1295" s="127"/>
      <c r="B1295" s="13" t="str">
        <f>'Giá tháng'!B$14</f>
        <v>A24.0293</v>
      </c>
      <c r="C1295" s="14" t="str">
        <f>'Giá tháng'!C$14</f>
        <v>Dây thép</v>
      </c>
      <c r="D1295" s="13" t="str">
        <f>'Giá tháng'!D$14</f>
        <v>kg</v>
      </c>
      <c r="E1295" s="80">
        <f>HaoPhiVatTu!F$508</f>
        <v>9.2799999999999994</v>
      </c>
      <c r="F1295" s="15">
        <f>ROUND('Tổng hợp VT'!O$19,1)</f>
        <v>24000</v>
      </c>
      <c r="G1295" s="81">
        <f>'Giá tháng'!G$14</f>
        <v>1</v>
      </c>
      <c r="H1295" s="15">
        <f>ROUND(E1295*F1295*G1295,1)</f>
        <v>222720</v>
      </c>
    </row>
    <row r="1296" spans="1:8" ht="16.5" customHeight="1">
      <c r="A1296" s="127"/>
      <c r="B1296" s="13" t="str">
        <f>'Giá tháng'!B$37</f>
        <v>A24.0543</v>
      </c>
      <c r="C1296" s="14" t="str">
        <f>'Giá tháng'!C$37</f>
        <v>Que hàn</v>
      </c>
      <c r="D1296" s="13" t="str">
        <f>'Giá tháng'!D$37</f>
        <v>kg</v>
      </c>
      <c r="E1296" s="80">
        <f>HaoPhiVatTu!F$509</f>
        <v>4.7</v>
      </c>
      <c r="F1296" s="15">
        <f>ROUND('Tổng hợp VT'!O$42,1)</f>
        <v>25000</v>
      </c>
      <c r="G1296" s="81">
        <f>'Giá tháng'!G$37</f>
        <v>1</v>
      </c>
      <c r="H1296" s="15">
        <f>ROUND(E1296*F1296*G1296,1)</f>
        <v>117500</v>
      </c>
    </row>
    <row r="1297" spans="1:8" ht="16.5" customHeight="1">
      <c r="A1297" s="127"/>
      <c r="B1297" s="13"/>
      <c r="C1297" s="14" t="s">
        <v>776</v>
      </c>
      <c r="D1297" s="13"/>
      <c r="E1297" s="80"/>
      <c r="F1297" s="15"/>
      <c r="G1297" s="81"/>
      <c r="H1297" s="15">
        <f>ROUND(SUM(H1294:H1296),1)</f>
        <v>17170220</v>
      </c>
    </row>
    <row r="1298" spans="1:8" ht="16.5" customHeight="1">
      <c r="A1298" s="131"/>
      <c r="B1298" s="91"/>
      <c r="C1298" s="90" t="s">
        <v>678</v>
      </c>
      <c r="D1298" s="91"/>
      <c r="E1298" s="93"/>
      <c r="F1298" s="132"/>
      <c r="G1298" s="94"/>
      <c r="H1298" s="132">
        <f>ROUND(H1299,1)</f>
        <v>2420880</v>
      </c>
    </row>
    <row r="1299" spans="1:8" ht="16.5" customHeight="1">
      <c r="A1299" s="127"/>
      <c r="B1299" s="13" t="str">
        <f>'Giá tháng'!B$51</f>
        <v>N2.35</v>
      </c>
      <c r="C1299" s="14" t="str">
        <f>'Giá tháng'!C$51</f>
        <v>Nhân công 3,5/7 - Nhóm 2</v>
      </c>
      <c r="D1299" s="13" t="str">
        <f>'Giá tháng'!D$51</f>
        <v>công</v>
      </c>
      <c r="E1299" s="80">
        <f>HaoPhiVatTu!G$511</f>
        <v>9.24</v>
      </c>
      <c r="F1299" s="15">
        <f>ROUND('Tổng hợp VT'!O$59,1)</f>
        <v>262000</v>
      </c>
      <c r="G1299" s="81">
        <f>'Giá tháng'!G$51</f>
        <v>1</v>
      </c>
      <c r="H1299" s="15">
        <f>ROUND(E1299*F1299*G1299,1)</f>
        <v>2420880</v>
      </c>
    </row>
    <row r="1300" spans="1:8" ht="16.5" customHeight="1">
      <c r="A1300" s="131"/>
      <c r="B1300" s="91"/>
      <c r="C1300" s="90" t="s">
        <v>679</v>
      </c>
      <c r="D1300" s="91"/>
      <c r="E1300" s="93"/>
      <c r="F1300" s="132"/>
      <c r="G1300" s="94"/>
      <c r="H1300" s="132">
        <f>ROUND(H1303,1)</f>
        <v>545678.30000000005</v>
      </c>
    </row>
    <row r="1301" spans="1:8" ht="27.75" customHeight="1">
      <c r="A1301" s="127"/>
      <c r="B1301" s="13" t="str">
        <f>'Giá tháng'!B$64</f>
        <v>M112.4003</v>
      </c>
      <c r="C1301" s="14" t="str">
        <f>'Giá tháng'!C$64</f>
        <v>Máy hàn xoay chiều - công suất : 23,0 kW</v>
      </c>
      <c r="D1301" s="13" t="str">
        <f>'Giá tháng'!D$64</f>
        <v>ca</v>
      </c>
      <c r="E1301" s="80">
        <f>HaoPhiVatTu!H$513</f>
        <v>1.133</v>
      </c>
      <c r="F1301" s="15">
        <f>ROUND('Tổng hợp VT'!O$73,1)</f>
        <v>402656</v>
      </c>
      <c r="G1301" s="81">
        <f>'Giá tháng'!G$64</f>
        <v>1</v>
      </c>
      <c r="H1301" s="15">
        <f>ROUND(E1301*F1301*G1301,1)</f>
        <v>456209.2</v>
      </c>
    </row>
    <row r="1302" spans="1:8" ht="27.75" customHeight="1">
      <c r="A1302" s="127"/>
      <c r="B1302" s="13" t="str">
        <f>'Giá tháng'!B$56</f>
        <v>M112.2601</v>
      </c>
      <c r="C1302" s="14" t="str">
        <f>'Giá tháng'!C$56</f>
        <v>Máy cắt uốn cốt thép - công suất : 5,0 kW</v>
      </c>
      <c r="D1302" s="13" t="str">
        <f>'Giá tháng'!D$56</f>
        <v>ca</v>
      </c>
      <c r="E1302" s="80">
        <f>HaoPhiVatTu!H$514</f>
        <v>0.32</v>
      </c>
      <c r="F1302" s="15">
        <f>ROUND('Tổng hợp VT'!O$65,1)</f>
        <v>279591</v>
      </c>
      <c r="G1302" s="81">
        <f>'Giá tháng'!G$56</f>
        <v>1</v>
      </c>
      <c r="H1302" s="15">
        <f>ROUND(E1302*F1302*G1302,1)</f>
        <v>89469.1</v>
      </c>
    </row>
    <row r="1303" spans="1:8" ht="16.5" customHeight="1">
      <c r="A1303" s="127"/>
      <c r="B1303" s="13"/>
      <c r="C1303" s="14" t="s">
        <v>776</v>
      </c>
      <c r="D1303" s="13"/>
      <c r="E1303" s="19"/>
      <c r="F1303" s="15"/>
      <c r="G1303" s="18"/>
      <c r="H1303" s="15">
        <f>ROUND(SUM(H1301:H1302),1)</f>
        <v>545678.30000000005</v>
      </c>
    </row>
    <row r="1304" spans="1:8" ht="27.75" customHeight="1">
      <c r="A1304" s="238"/>
      <c r="B1304" s="159"/>
      <c r="C1304" s="158" t="s">
        <v>1085</v>
      </c>
      <c r="D1304" s="159" t="s">
        <v>810</v>
      </c>
      <c r="E1304" s="239"/>
      <c r="F1304" s="162"/>
      <c r="G1304" s="240"/>
      <c r="H1304" s="162">
        <f>ROUND(H1293+H1298+H1300,1)</f>
        <v>20136778.300000001</v>
      </c>
    </row>
    <row r="1305" spans="1:8" ht="16.5" customHeight="1">
      <c r="A1305" s="241"/>
      <c r="B1305" s="147"/>
      <c r="C1305" s="146" t="s">
        <v>812</v>
      </c>
      <c r="D1305" s="147" t="str">
        <f>""</f>
        <v/>
      </c>
      <c r="E1305" s="242"/>
      <c r="F1305" s="150"/>
      <c r="G1305" s="149"/>
      <c r="H1305" s="150"/>
    </row>
    <row r="1306" spans="1:8" ht="16.5" customHeight="1">
      <c r="A1306" s="241"/>
      <c r="B1306" s="147"/>
      <c r="C1306" s="146" t="str">
        <f>"Chi phí chung ( T x "&amp;HSXL!C$14&amp;" )"</f>
        <v>Chi phí chung ( T x 6,2% )</v>
      </c>
      <c r="D1306" s="147" t="s">
        <v>807</v>
      </c>
      <c r="E1306" s="242" t="str">
        <f>HSXL!C$14</f>
        <v>6,2%</v>
      </c>
      <c r="F1306" s="150"/>
      <c r="G1306" s="149"/>
      <c r="H1306" s="150">
        <f>ROUND(H1304*HSXL!D$14,1)</f>
        <v>1248480.3</v>
      </c>
    </row>
    <row r="1307" spans="1:8" ht="27.75" customHeight="1">
      <c r="A1307" s="241"/>
      <c r="B1307" s="147"/>
      <c r="C1307" s="146" t="str">
        <f>"Chi phí nhà tạm để ở và điều hành thi công ( T x "&amp;HSXL!C$18&amp;" )"</f>
        <v>Chi phí nhà tạm để ở và điều hành thi công ( T x 2,2% )</v>
      </c>
      <c r="D1307" s="147" t="s">
        <v>815</v>
      </c>
      <c r="E1307" s="242" t="str">
        <f>HSXL!C$18</f>
        <v>2,2%</v>
      </c>
      <c r="F1307" s="150"/>
      <c r="G1307" s="149"/>
      <c r="H1307" s="150">
        <f>ROUND(H1304*HSXL!D$18,1)</f>
        <v>443009.1</v>
      </c>
    </row>
    <row r="1308" spans="1:8" ht="39.75" customHeight="1">
      <c r="A1308" s="241"/>
      <c r="B1308" s="147"/>
      <c r="C1308" s="146" t="str">
        <f>"Chi phí một số công việc không xác định được khối lượng từ thiết kế ( T x "&amp;HSXL!C$13&amp;" )"</f>
        <v>Chi phí một số công việc không xác định được khối lượng từ thiết kế ( T x 2% )</v>
      </c>
      <c r="D1308" s="147" t="s">
        <v>61</v>
      </c>
      <c r="E1308" s="242" t="str">
        <f>HSXL!C$13</f>
        <v>2%</v>
      </c>
      <c r="F1308" s="150"/>
      <c r="G1308" s="149"/>
      <c r="H1308" s="150">
        <f>ROUND(H1304*HSXL!D$13,1)</f>
        <v>402735.6</v>
      </c>
    </row>
    <row r="1309" spans="1:8" ht="27.75" customHeight="1">
      <c r="A1309" s="238"/>
      <c r="B1309" s="159"/>
      <c r="C1309" s="158" t="s">
        <v>1086</v>
      </c>
      <c r="D1309" s="159" t="s">
        <v>818</v>
      </c>
      <c r="E1309" s="239"/>
      <c r="F1309" s="162"/>
      <c r="G1309" s="240"/>
      <c r="H1309" s="162">
        <f>ROUND(SUM(H1306:H1308),1)</f>
        <v>2094225</v>
      </c>
    </row>
    <row r="1310" spans="1:8" ht="27.75" customHeight="1">
      <c r="A1310" s="241"/>
      <c r="B1310" s="147"/>
      <c r="C1310" s="146" t="str">
        <f>"THU NHẬP CHỊU THUẾ TÍNH TRƯỚC (T+GT) x "&amp;HSXL!C$16</f>
        <v>THU NHẬP CHỊU THUẾ TÍNH TRƯỚC (T+GT) x 6%</v>
      </c>
      <c r="D1310" s="147" t="s">
        <v>821</v>
      </c>
      <c r="E1310" s="242" t="str">
        <f>HSXL!C$16</f>
        <v>6%</v>
      </c>
      <c r="F1310" s="150"/>
      <c r="G1310" s="149"/>
      <c r="H1310" s="150">
        <f>ROUND((H1304+H1309)*HSXL!D$16,1)</f>
        <v>1333860.2</v>
      </c>
    </row>
    <row r="1311" spans="1:8" ht="27.75" customHeight="1">
      <c r="A1311" s="241"/>
      <c r="B1311" s="147"/>
      <c r="C1311" s="146" t="s">
        <v>1087</v>
      </c>
      <c r="D1311" s="147" t="s">
        <v>823</v>
      </c>
      <c r="E1311" s="242"/>
      <c r="F1311" s="150"/>
      <c r="G1311" s="149"/>
      <c r="H1311" s="150">
        <f>ROUND(H1304+H1309+H1310,0)</f>
        <v>23564864</v>
      </c>
    </row>
    <row r="1312" spans="1:8" ht="27.75" customHeight="1">
      <c r="A1312" s="241"/>
      <c r="B1312" s="147"/>
      <c r="C1312" s="146" t="str">
        <f>"THUẾ GIÁ TRỊ GIA TĂNG ( G x "&amp;HSXL!C$17&amp;" )"</f>
        <v>THUẾ GIÁ TRỊ GIA TĂNG ( G x 10% )</v>
      </c>
      <c r="D1312" s="147" t="s">
        <v>827</v>
      </c>
      <c r="E1312" s="164">
        <f>HSXL!D$17</f>
        <v>0.1</v>
      </c>
      <c r="F1312" s="150"/>
      <c r="G1312" s="149"/>
      <c r="H1312" s="150">
        <f>ROUND(E1312*H1311,1)</f>
        <v>2356486.4</v>
      </c>
    </row>
    <row r="1313" spans="1:8" ht="27.75" customHeight="1">
      <c r="A1313" s="243"/>
      <c r="B1313" s="244"/>
      <c r="C1313" s="245" t="s">
        <v>1088</v>
      </c>
      <c r="D1313" s="244" t="s">
        <v>830</v>
      </c>
      <c r="E1313" s="246"/>
      <c r="F1313" s="247"/>
      <c r="G1313" s="248"/>
      <c r="H1313" s="249">
        <f>ROUND(H1311+H1312,0)</f>
        <v>25921350</v>
      </c>
    </row>
    <row r="1314" spans="1:8" ht="40.5" customHeight="1">
      <c r="A1314" s="128">
        <f>'Công trình'!A166</f>
        <v>55</v>
      </c>
      <c r="B1314" s="129" t="str">
        <f>'Công trình'!E166</f>
        <v>AB.41412</v>
      </c>
      <c r="C1314" s="130" t="str">
        <f>'Công trình'!F166</f>
        <v>Vận chuyển đất cấp II</v>
      </c>
      <c r="D1314" s="129" t="str">
        <f>'Công trình'!G166</f>
        <v>100m3</v>
      </c>
      <c r="E1314" s="237">
        <v>1</v>
      </c>
      <c r="F1314" s="69"/>
      <c r="G1314" s="68"/>
      <c r="H1314" s="69"/>
    </row>
    <row r="1315" spans="1:8" ht="16.5" customHeight="1">
      <c r="A1315" s="131"/>
      <c r="B1315" s="91"/>
      <c r="C1315" s="90" t="s">
        <v>679</v>
      </c>
      <c r="D1315" s="91"/>
      <c r="E1315" s="93"/>
      <c r="F1315" s="132"/>
      <c r="G1315" s="94"/>
      <c r="H1315" s="132">
        <f>ROUND(H1316,1)</f>
        <v>2313202.9</v>
      </c>
    </row>
    <row r="1316" spans="1:8" ht="27.75" customHeight="1">
      <c r="A1316" s="127"/>
      <c r="B1316" s="13" t="str">
        <f>'Giá tháng'!B$78</f>
        <v>M106.0202</v>
      </c>
      <c r="C1316" s="14" t="str">
        <f>'Giá tháng'!C$78</f>
        <v>Ô tô tự đổ - trọng tải : 5,0 T</v>
      </c>
      <c r="D1316" s="13" t="str">
        <f>'Giá tháng'!D$78</f>
        <v>ca</v>
      </c>
      <c r="E1316" s="80">
        <f>HaoPhiVatTu!H$517</f>
        <v>1.329</v>
      </c>
      <c r="F1316" s="15">
        <f>ROUND('Tổng hợp VT'!O$87,1)</f>
        <v>1740559</v>
      </c>
      <c r="G1316" s="81">
        <f>'Giá tháng'!G$78</f>
        <v>1</v>
      </c>
      <c r="H1316" s="15">
        <f>ROUND(E1316*F1316*G1316,1)</f>
        <v>2313202.9</v>
      </c>
    </row>
    <row r="1317" spans="1:8" ht="27.75" customHeight="1">
      <c r="A1317" s="238"/>
      <c r="B1317" s="159"/>
      <c r="C1317" s="158" t="s">
        <v>1085</v>
      </c>
      <c r="D1317" s="159" t="s">
        <v>810</v>
      </c>
      <c r="E1317" s="239"/>
      <c r="F1317" s="162"/>
      <c r="G1317" s="240"/>
      <c r="H1317" s="162">
        <f>ROUND(+H1315,1)</f>
        <v>2313202.9</v>
      </c>
    </row>
    <row r="1318" spans="1:8" ht="16.5" customHeight="1">
      <c r="A1318" s="241"/>
      <c r="B1318" s="147"/>
      <c r="C1318" s="146" t="s">
        <v>812</v>
      </c>
      <c r="D1318" s="147" t="str">
        <f>""</f>
        <v/>
      </c>
      <c r="E1318" s="242"/>
      <c r="F1318" s="150"/>
      <c r="G1318" s="149"/>
      <c r="H1318" s="150"/>
    </row>
    <row r="1319" spans="1:8" ht="16.5" customHeight="1">
      <c r="A1319" s="241"/>
      <c r="B1319" s="147"/>
      <c r="C1319" s="146" t="str">
        <f>"Chi phí chung ( T x "&amp;HSXL!C$14&amp;" )"</f>
        <v>Chi phí chung ( T x 6,2% )</v>
      </c>
      <c r="D1319" s="147" t="s">
        <v>807</v>
      </c>
      <c r="E1319" s="242" t="str">
        <f>HSXL!C$14</f>
        <v>6,2%</v>
      </c>
      <c r="F1319" s="150"/>
      <c r="G1319" s="149"/>
      <c r="H1319" s="150">
        <f>ROUND(H1317*HSXL!D$14,1)</f>
        <v>143418.6</v>
      </c>
    </row>
    <row r="1320" spans="1:8" ht="27.75" customHeight="1">
      <c r="A1320" s="241"/>
      <c r="B1320" s="147"/>
      <c r="C1320" s="146" t="str">
        <f>"Chi phí nhà tạm để ở và điều hành thi công ( T x "&amp;HSXL!C$18&amp;" )"</f>
        <v>Chi phí nhà tạm để ở và điều hành thi công ( T x 2,2% )</v>
      </c>
      <c r="D1320" s="147" t="s">
        <v>815</v>
      </c>
      <c r="E1320" s="242" t="str">
        <f>HSXL!C$18</f>
        <v>2,2%</v>
      </c>
      <c r="F1320" s="150"/>
      <c r="G1320" s="149"/>
      <c r="H1320" s="150">
        <f>ROUND(H1317*HSXL!D$18,1)</f>
        <v>50890.5</v>
      </c>
    </row>
    <row r="1321" spans="1:8" ht="39.75" customHeight="1">
      <c r="A1321" s="241"/>
      <c r="B1321" s="147"/>
      <c r="C1321" s="146" t="str">
        <f>"Chi phí một số công việc không xác định được khối lượng từ thiết kế ( T x "&amp;HSXL!C$13&amp;" )"</f>
        <v>Chi phí một số công việc không xác định được khối lượng từ thiết kế ( T x 2% )</v>
      </c>
      <c r="D1321" s="147" t="s">
        <v>61</v>
      </c>
      <c r="E1321" s="242" t="str">
        <f>HSXL!C$13</f>
        <v>2%</v>
      </c>
      <c r="F1321" s="150"/>
      <c r="G1321" s="149"/>
      <c r="H1321" s="150">
        <f>ROUND(H1317*HSXL!D$13,1)</f>
        <v>46264.1</v>
      </c>
    </row>
    <row r="1322" spans="1:8" ht="27.75" customHeight="1">
      <c r="A1322" s="238"/>
      <c r="B1322" s="159"/>
      <c r="C1322" s="158" t="s">
        <v>1086</v>
      </c>
      <c r="D1322" s="159" t="s">
        <v>818</v>
      </c>
      <c r="E1322" s="239"/>
      <c r="F1322" s="162"/>
      <c r="G1322" s="240"/>
      <c r="H1322" s="162">
        <f>ROUND(SUM(H1319:H1321),1)</f>
        <v>240573.2</v>
      </c>
    </row>
    <row r="1323" spans="1:8" ht="27.75" customHeight="1">
      <c r="A1323" s="241"/>
      <c r="B1323" s="147"/>
      <c r="C1323" s="146" t="str">
        <f>"THU NHẬP CHỊU THUẾ TÍNH TRƯỚC (T+GT) x "&amp;HSXL!C$16</f>
        <v>THU NHẬP CHỊU THUẾ TÍNH TRƯỚC (T+GT) x 6%</v>
      </c>
      <c r="D1323" s="147" t="s">
        <v>821</v>
      </c>
      <c r="E1323" s="242" t="str">
        <f>HSXL!C$16</f>
        <v>6%</v>
      </c>
      <c r="F1323" s="150"/>
      <c r="G1323" s="149"/>
      <c r="H1323" s="150">
        <f>ROUND((H1317+H1322)*HSXL!D$16,1)</f>
        <v>153226.6</v>
      </c>
    </row>
    <row r="1324" spans="1:8" ht="27.75" customHeight="1">
      <c r="A1324" s="241"/>
      <c r="B1324" s="147"/>
      <c r="C1324" s="146" t="s">
        <v>1087</v>
      </c>
      <c r="D1324" s="147" t="s">
        <v>823</v>
      </c>
      <c r="E1324" s="242"/>
      <c r="F1324" s="150"/>
      <c r="G1324" s="149"/>
      <c r="H1324" s="150">
        <f>ROUND(H1317+H1322+H1323,0)</f>
        <v>2707003</v>
      </c>
    </row>
    <row r="1325" spans="1:8" ht="27.75" customHeight="1">
      <c r="A1325" s="241"/>
      <c r="B1325" s="147"/>
      <c r="C1325" s="146" t="str">
        <f>"THUẾ GIÁ TRỊ GIA TĂNG ( G x "&amp;HSXL!C$17&amp;" )"</f>
        <v>THUẾ GIÁ TRỊ GIA TĂNG ( G x 10% )</v>
      </c>
      <c r="D1325" s="147" t="s">
        <v>827</v>
      </c>
      <c r="E1325" s="164">
        <f>HSXL!D$17</f>
        <v>0.1</v>
      </c>
      <c r="F1325" s="150"/>
      <c r="G1325" s="149"/>
      <c r="H1325" s="150">
        <f>ROUND(E1325*H1324,1)</f>
        <v>270700.3</v>
      </c>
    </row>
    <row r="1326" spans="1:8" ht="27.75" customHeight="1">
      <c r="A1326" s="243"/>
      <c r="B1326" s="244"/>
      <c r="C1326" s="245" t="s">
        <v>1088</v>
      </c>
      <c r="D1326" s="244" t="s">
        <v>830</v>
      </c>
      <c r="E1326" s="246"/>
      <c r="F1326" s="247"/>
      <c r="G1326" s="248"/>
      <c r="H1326" s="249">
        <f>ROUND(H1324+H1325,0)</f>
        <v>2977703</v>
      </c>
    </row>
    <row r="1327" spans="1:8" ht="40.5" customHeight="1">
      <c r="A1327" s="128">
        <f>'Công trình'!A168</f>
        <v>56</v>
      </c>
      <c r="B1327" s="129" t="str">
        <f>'Công trình'!E168</f>
        <v>AB.42212</v>
      </c>
      <c r="C1327" s="130" t="str">
        <f>'Công trình'!F168</f>
        <v>Vận chuyển đất bằng ô tô tự đổ 5T 1km tiếp theo ngoài phạm vi 5km, đất cấp II</v>
      </c>
      <c r="D1327" s="129" t="str">
        <f>'Công trình'!G168</f>
        <v>100m3</v>
      </c>
      <c r="E1327" s="237">
        <v>1</v>
      </c>
      <c r="F1327" s="69"/>
      <c r="G1327" s="68"/>
      <c r="H1327" s="69"/>
    </row>
    <row r="1328" spans="1:8" ht="16.5" customHeight="1">
      <c r="A1328" s="131"/>
      <c r="B1328" s="91"/>
      <c r="C1328" s="90" t="s">
        <v>679</v>
      </c>
      <c r="D1328" s="91"/>
      <c r="E1328" s="93"/>
      <c r="F1328" s="132"/>
      <c r="G1328" s="94"/>
      <c r="H1328" s="132">
        <f>ROUND(H1329,1)</f>
        <v>3550740.4</v>
      </c>
    </row>
    <row r="1329" spans="1:8" ht="27.75" customHeight="1">
      <c r="A1329" s="127"/>
      <c r="B1329" s="13" t="str">
        <f>'Giá tháng'!B$79</f>
        <v>M106.0202</v>
      </c>
      <c r="C1329" s="14" t="str">
        <f>'Giá tháng'!C$79</f>
        <v>Ô tô tự đổ - trọng tải : 5,0 T</v>
      </c>
      <c r="D1329" s="13" t="str">
        <f>'Giá tháng'!D$79</f>
        <v>ca</v>
      </c>
      <c r="E1329" s="80">
        <f>HaoPhiVatTu!H$520</f>
        <v>0.51</v>
      </c>
      <c r="F1329" s="15">
        <f>ROUND('Tổng hợp VT'!O$87,1)</f>
        <v>1740559</v>
      </c>
      <c r="G1329" s="81">
        <f>'Giá tháng'!G$79</f>
        <v>4</v>
      </c>
      <c r="H1329" s="15">
        <f>ROUND(E1329*F1329*G1329,1)</f>
        <v>3550740.4</v>
      </c>
    </row>
    <row r="1330" spans="1:8" ht="27.75" customHeight="1">
      <c r="A1330" s="238"/>
      <c r="B1330" s="159"/>
      <c r="C1330" s="158" t="s">
        <v>1085</v>
      </c>
      <c r="D1330" s="159" t="s">
        <v>810</v>
      </c>
      <c r="E1330" s="239"/>
      <c r="F1330" s="162"/>
      <c r="G1330" s="240"/>
      <c r="H1330" s="162">
        <f>ROUND(+H1328,1)</f>
        <v>3550740.4</v>
      </c>
    </row>
    <row r="1331" spans="1:8" ht="16.5" customHeight="1">
      <c r="A1331" s="241"/>
      <c r="B1331" s="147"/>
      <c r="C1331" s="146" t="s">
        <v>812</v>
      </c>
      <c r="D1331" s="147" t="str">
        <f>""</f>
        <v/>
      </c>
      <c r="E1331" s="242"/>
      <c r="F1331" s="150"/>
      <c r="G1331" s="149"/>
      <c r="H1331" s="150"/>
    </row>
    <row r="1332" spans="1:8" ht="16.5" customHeight="1">
      <c r="A1332" s="241"/>
      <c r="B1332" s="147"/>
      <c r="C1332" s="146" t="str">
        <f>"Chi phí chung ( T x "&amp;HSXL!C$14&amp;" )"</f>
        <v>Chi phí chung ( T x 6,2% )</v>
      </c>
      <c r="D1332" s="147" t="s">
        <v>807</v>
      </c>
      <c r="E1332" s="242" t="str">
        <f>HSXL!C$14</f>
        <v>6,2%</v>
      </c>
      <c r="F1332" s="150"/>
      <c r="G1332" s="149"/>
      <c r="H1332" s="150">
        <f>ROUND(H1330*HSXL!D$14,1)</f>
        <v>220145.9</v>
      </c>
    </row>
    <row r="1333" spans="1:8" ht="27.75" customHeight="1">
      <c r="A1333" s="241"/>
      <c r="B1333" s="147"/>
      <c r="C1333" s="146" t="str">
        <f>"Chi phí nhà tạm để ở và điều hành thi công ( T x "&amp;HSXL!C$18&amp;" )"</f>
        <v>Chi phí nhà tạm để ở và điều hành thi công ( T x 2,2% )</v>
      </c>
      <c r="D1333" s="147" t="s">
        <v>815</v>
      </c>
      <c r="E1333" s="242" t="str">
        <f>HSXL!C$18</f>
        <v>2,2%</v>
      </c>
      <c r="F1333" s="150"/>
      <c r="G1333" s="149"/>
      <c r="H1333" s="150">
        <f>ROUND(H1330*HSXL!D$18,1)</f>
        <v>78116.3</v>
      </c>
    </row>
    <row r="1334" spans="1:8" ht="39.75" customHeight="1">
      <c r="A1334" s="241"/>
      <c r="B1334" s="147"/>
      <c r="C1334" s="146" t="str">
        <f>"Chi phí một số công việc không xác định được khối lượng từ thiết kế ( T x "&amp;HSXL!C$13&amp;" )"</f>
        <v>Chi phí một số công việc không xác định được khối lượng từ thiết kế ( T x 2% )</v>
      </c>
      <c r="D1334" s="147" t="s">
        <v>61</v>
      </c>
      <c r="E1334" s="242" t="str">
        <f>HSXL!C$13</f>
        <v>2%</v>
      </c>
      <c r="F1334" s="150"/>
      <c r="G1334" s="149"/>
      <c r="H1334" s="150">
        <f>ROUND(H1330*HSXL!D$13,1)</f>
        <v>71014.8</v>
      </c>
    </row>
    <row r="1335" spans="1:8" ht="27.75" customHeight="1">
      <c r="A1335" s="238"/>
      <c r="B1335" s="159"/>
      <c r="C1335" s="158" t="s">
        <v>1086</v>
      </c>
      <c r="D1335" s="159" t="s">
        <v>818</v>
      </c>
      <c r="E1335" s="239"/>
      <c r="F1335" s="162"/>
      <c r="G1335" s="240"/>
      <c r="H1335" s="162">
        <f>ROUND(SUM(H1332:H1334),1)</f>
        <v>369277</v>
      </c>
    </row>
    <row r="1336" spans="1:8" ht="27.75" customHeight="1">
      <c r="A1336" s="241"/>
      <c r="B1336" s="147"/>
      <c r="C1336" s="146" t="str">
        <f>"THU NHẬP CHỊU THUẾ TÍNH TRƯỚC (T+GT) x "&amp;HSXL!C$16</f>
        <v>THU NHẬP CHỊU THUẾ TÍNH TRƯỚC (T+GT) x 6%</v>
      </c>
      <c r="D1336" s="147" t="s">
        <v>821</v>
      </c>
      <c r="E1336" s="242" t="str">
        <f>HSXL!C$16</f>
        <v>6%</v>
      </c>
      <c r="F1336" s="150"/>
      <c r="G1336" s="149"/>
      <c r="H1336" s="150">
        <f>ROUND((H1330+H1335)*HSXL!D$16,1)</f>
        <v>235201</v>
      </c>
    </row>
    <row r="1337" spans="1:8" ht="27.75" customHeight="1">
      <c r="A1337" s="241"/>
      <c r="B1337" s="147"/>
      <c r="C1337" s="146" t="s">
        <v>1087</v>
      </c>
      <c r="D1337" s="147" t="s">
        <v>823</v>
      </c>
      <c r="E1337" s="242"/>
      <c r="F1337" s="150"/>
      <c r="G1337" s="149"/>
      <c r="H1337" s="150">
        <f>ROUND(H1330+H1335+H1336,0)</f>
        <v>4155218</v>
      </c>
    </row>
    <row r="1338" spans="1:8" ht="27.75" customHeight="1">
      <c r="A1338" s="241"/>
      <c r="B1338" s="147"/>
      <c r="C1338" s="146" t="str">
        <f>"THUẾ GIÁ TRỊ GIA TĂNG ( G x "&amp;HSXL!C$17&amp;" )"</f>
        <v>THUẾ GIÁ TRỊ GIA TĂNG ( G x 10% )</v>
      </c>
      <c r="D1338" s="147" t="s">
        <v>827</v>
      </c>
      <c r="E1338" s="164">
        <f>HSXL!D$17</f>
        <v>0.1</v>
      </c>
      <c r="F1338" s="150"/>
      <c r="G1338" s="149"/>
      <c r="H1338" s="150">
        <f>ROUND(E1338*H1337,1)</f>
        <v>415521.8</v>
      </c>
    </row>
    <row r="1339" spans="1:8" ht="27.75" customHeight="1">
      <c r="A1339" s="243"/>
      <c r="B1339" s="244"/>
      <c r="C1339" s="245" t="s">
        <v>1088</v>
      </c>
      <c r="D1339" s="244" t="s">
        <v>830</v>
      </c>
      <c r="E1339" s="246"/>
      <c r="F1339" s="247"/>
      <c r="G1339" s="248"/>
      <c r="H1339" s="249">
        <f>ROUND(H1337+H1338,0)</f>
        <v>4570740</v>
      </c>
    </row>
  </sheetData>
  <mergeCells count="3">
    <mergeCell ref="A1:H1"/>
    <mergeCell ref="A2:H2"/>
    <mergeCell ref="A3:H3"/>
  </mergeCells>
  <pageMargins left="1.1875" right="0" top="0.80208333333333337" bottom="0.80208333333333337" header="0.40625" footer="0.40625"/>
  <pageSetup paperSize="0" orientation="portrait" blackAndWhite="1" useFirstPageNumber="1" horizontalDpi="0" verticalDpi="0" copies="0"/>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H4"/>
  <sheetViews>
    <sheetView workbookViewId="0"/>
  </sheetViews>
  <sheetFormatPr defaultColWidth="10" defaultRowHeight="15" customHeight="1"/>
  <cols>
    <col min="1" max="1" width="6.6640625" customWidth="1"/>
    <col min="2" max="2" width="50" customWidth="1"/>
    <col min="3" max="3" width="11.6640625" customWidth="1"/>
    <col min="4" max="4" width="28.33203125" customWidth="1"/>
    <col min="5" max="6" width="10" hidden="1" customWidth="1"/>
    <col min="7" max="7" width="10" customWidth="1"/>
    <col min="8" max="8" width="22.5" customWidth="1"/>
  </cols>
  <sheetData>
    <row r="1" spans="1:8" ht="26.25" customHeight="1">
      <c r="A1" s="981" t="s">
        <v>1089</v>
      </c>
      <c r="B1" s="982"/>
      <c r="C1" s="982"/>
      <c r="D1" s="982"/>
      <c r="E1" s="982"/>
      <c r="F1" s="982"/>
      <c r="G1" s="982"/>
      <c r="H1" s="982"/>
    </row>
    <row r="2" spans="1:8" ht="32.25" customHeight="1">
      <c r="A2" s="983" t="str">
        <f>'Công trình'!A2</f>
        <v>CÔNG TRÌNH : SỬA CHỮA TUYẾN ĐƯỜNG TỪ NHÀ BÀ TRƯỜNG, TỔ 5 PHƯỜNG VẠN HƯƠNG ĐẾN NHÀ BÀ KIM, TỔ DÂN PHỐ BẮC HẢI PHƯỜNG BÀNG LA</v>
      </c>
      <c r="B2" s="982"/>
      <c r="C2" s="982"/>
      <c r="D2" s="982"/>
      <c r="E2" s="982"/>
      <c r="F2" s="982"/>
      <c r="G2" s="982"/>
      <c r="H2" s="982"/>
    </row>
    <row r="3" spans="1:8" ht="37.5" customHeight="1">
      <c r="A3" s="1007" t="str">
        <f>'Công trình'!F6</f>
        <v>SỬA CHỮA NỀN MẶT ĐƯỜNG, HỆ THỐNG THOÁT NƯỚC</v>
      </c>
      <c r="B3" s="982"/>
      <c r="C3" s="982"/>
      <c r="D3" s="982"/>
      <c r="E3" s="982"/>
      <c r="F3" s="982"/>
      <c r="G3" s="982"/>
      <c r="H3" s="982"/>
    </row>
    <row r="4" spans="1:8" ht="30" customHeight="1">
      <c r="A4" s="236" t="s">
        <v>4</v>
      </c>
      <c r="B4" s="236" t="s">
        <v>783</v>
      </c>
      <c r="C4" s="236" t="s">
        <v>628</v>
      </c>
      <c r="D4" s="236" t="s">
        <v>784</v>
      </c>
      <c r="E4" s="236"/>
      <c r="F4" s="236"/>
      <c r="G4" s="236" t="s">
        <v>360</v>
      </c>
      <c r="H4" s="236" t="str">
        <f>"Giá trị_x000D_
"&amp;'Công trình'!AL1</f>
        <v>Giá trị_x000D_
(đ)</v>
      </c>
    </row>
  </sheetData>
  <mergeCells count="3">
    <mergeCell ref="A1:H1"/>
    <mergeCell ref="A2:H2"/>
    <mergeCell ref="A3:H3"/>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4:O5"/>
  <sheetViews>
    <sheetView workbookViewId="0"/>
  </sheetViews>
  <sheetFormatPr defaultColWidth="10" defaultRowHeight="15" customHeight="1"/>
  <cols>
    <col min="1" max="1" width="5" customWidth="1"/>
    <col min="2" max="2" width="10" customWidth="1"/>
    <col min="3" max="3" width="29.1640625" customWidth="1"/>
    <col min="4" max="4" width="6.6640625" customWidth="1"/>
    <col min="5" max="9" width="10" customWidth="1"/>
    <col min="10" max="14" width="10.83203125" customWidth="1"/>
    <col min="15" max="15" width="12.5" customWidth="1"/>
  </cols>
  <sheetData>
    <row r="4" spans="1:15" ht="18.75" customHeight="1">
      <c r="A4" s="1052" t="s">
        <v>61</v>
      </c>
      <c r="B4" s="1052" t="s">
        <v>357</v>
      </c>
      <c r="C4" s="1052" t="s">
        <v>775</v>
      </c>
      <c r="D4" s="1052" t="s">
        <v>359</v>
      </c>
      <c r="E4" s="1052" t="str">
        <f>"Đơn giá "&amp;'Công trình'!AL1</f>
        <v>Đơn giá (đ)</v>
      </c>
      <c r="F4" s="1052"/>
      <c r="G4" s="1052"/>
      <c r="H4" s="1052"/>
      <c r="I4" s="1052"/>
      <c r="J4" s="1052" t="str">
        <f>"Thành tiền "&amp;'Công trình'!AL1</f>
        <v>Thành tiền (đ)</v>
      </c>
      <c r="K4" s="1052"/>
      <c r="L4" s="1052"/>
      <c r="M4" s="1052"/>
      <c r="N4" s="1052"/>
      <c r="O4" s="1052" t="str">
        <f>"Đơn giá_x000D_
tổng hợp_x000D_
"&amp;'Công trình'!AL1</f>
        <v>Đơn giá_x000D_
tổng hợp_x000D_
(đ)</v>
      </c>
    </row>
    <row r="5" spans="1:15" ht="18.75" customHeight="1">
      <c r="A5" s="1052"/>
      <c r="B5" s="1052"/>
      <c r="C5" s="1052"/>
      <c r="D5" s="1052"/>
      <c r="E5" s="236" t="s">
        <v>27</v>
      </c>
      <c r="F5" s="236" t="s">
        <v>1090</v>
      </c>
      <c r="G5" s="236" t="s">
        <v>1081</v>
      </c>
      <c r="H5" s="236" t="s">
        <v>1091</v>
      </c>
      <c r="I5" s="236" t="s">
        <v>1083</v>
      </c>
      <c r="J5" s="236" t="s">
        <v>27</v>
      </c>
      <c r="K5" s="236" t="s">
        <v>1090</v>
      </c>
      <c r="L5" s="236" t="s">
        <v>1081</v>
      </c>
      <c r="M5" s="236" t="s">
        <v>1091</v>
      </c>
      <c r="N5" s="236" t="s">
        <v>1083</v>
      </c>
      <c r="O5" s="1052"/>
    </row>
  </sheetData>
  <mergeCells count="7">
    <mergeCell ref="A4:A5"/>
    <mergeCell ref="B4:B5"/>
    <mergeCell ref="C4:C5"/>
    <mergeCell ref="D4:D5"/>
    <mergeCell ref="O4:O5"/>
    <mergeCell ref="E4:I4"/>
    <mergeCell ref="J4:N4"/>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0000"/>
    <pageSetUpPr fitToPage="1"/>
  </sheetPr>
  <dimension ref="A1:I111"/>
  <sheetViews>
    <sheetView topLeftCell="A29" zoomScale="85" zoomScaleNormal="85" workbookViewId="0">
      <selection activeCell="A101" sqref="A101:I101"/>
    </sheetView>
  </sheetViews>
  <sheetFormatPr defaultColWidth="10" defaultRowHeight="15.75"/>
  <cols>
    <col min="1" max="1" width="6.5" style="316" customWidth="1"/>
    <col min="2" max="2" width="69.5" style="316" customWidth="1"/>
    <col min="3" max="3" width="9.33203125" style="316" customWidth="1"/>
    <col min="4" max="4" width="15.5" style="366" customWidth="1"/>
    <col min="5" max="7" width="13.33203125" style="316" hidden="1" customWidth="1"/>
    <col min="8" max="8" width="15" style="316" bestFit="1" customWidth="1"/>
    <col min="9" max="9" width="18.1640625" style="316" customWidth="1"/>
    <col min="10" max="16384" width="10" style="316"/>
  </cols>
  <sheetData>
    <row r="1" spans="1:9" ht="21" customHeight="1">
      <c r="A1" s="1053" t="s">
        <v>1363</v>
      </c>
      <c r="B1" s="1054"/>
      <c r="C1" s="1054"/>
      <c r="D1" s="1054"/>
      <c r="E1" s="1054"/>
      <c r="F1" s="1054"/>
      <c r="G1" s="1054"/>
      <c r="H1" s="1054"/>
      <c r="I1" s="1054"/>
    </row>
    <row r="2" spans="1:9">
      <c r="A2" s="1055" t="s">
        <v>1362</v>
      </c>
      <c r="B2" s="1055"/>
      <c r="C2" s="1055"/>
      <c r="D2" s="1055"/>
      <c r="E2" s="1055"/>
      <c r="F2" s="1055"/>
      <c r="G2" s="1055"/>
      <c r="H2" s="1055"/>
      <c r="I2" s="1055"/>
    </row>
    <row r="3" spans="1:9" ht="40.5" customHeight="1">
      <c r="A3" s="1056" t="s">
        <v>1202</v>
      </c>
      <c r="B3" s="1057"/>
      <c r="C3" s="1057"/>
      <c r="D3" s="1057"/>
      <c r="E3" s="1057"/>
      <c r="F3" s="1057"/>
      <c r="G3" s="1057"/>
      <c r="H3" s="1057"/>
      <c r="I3" s="1057"/>
    </row>
    <row r="4" spans="1:9" ht="31.5">
      <c r="A4" s="317" t="s">
        <v>4</v>
      </c>
      <c r="B4" s="317" t="s">
        <v>778</v>
      </c>
      <c r="C4" s="317" t="s">
        <v>359</v>
      </c>
      <c r="D4" s="318" t="s">
        <v>17</v>
      </c>
      <c r="E4" s="317" t="str">
        <f>"Vật liệu_x000D_
"&amp;'Công trình'!AL1</f>
        <v>Vật liệu_x000D_
(đ)</v>
      </c>
      <c r="F4" s="317" t="str">
        <f>"Nhân công_x000D_
"&amp;'Công trình'!AL1</f>
        <v>Nhân công_x000D_
(đ)</v>
      </c>
      <c r="G4" s="317" t="str">
        <f>"Máy_x000D_
"&amp;'Công trình'!AL1</f>
        <v>Máy_x000D_
(đ)</v>
      </c>
      <c r="H4" s="317" t="str">
        <f>"Đơn giá_x000D_
"&amp;'Công trình'!AL1</f>
        <v>Đơn giá_x000D_
(đ)</v>
      </c>
      <c r="I4" s="317" t="str">
        <f>"Thành tiền_x000D_
"&amp;'Công trình'!AL1</f>
        <v>Thành tiền_x000D_
(đ)</v>
      </c>
    </row>
    <row r="5" spans="1:9" s="323" customFormat="1">
      <c r="A5" s="319" t="s">
        <v>364</v>
      </c>
      <c r="B5" s="320" t="str">
        <f>'Công trình'!F7</f>
        <v>SỬA CHỮA NỀN MẶT ĐƯỜNG:</v>
      </c>
      <c r="C5" s="320"/>
      <c r="D5" s="321"/>
      <c r="E5" s="322"/>
      <c r="F5" s="322"/>
      <c r="G5" s="322"/>
      <c r="H5" s="322"/>
      <c r="I5" s="322"/>
    </row>
    <row r="6" spans="1:9" ht="15.75" hidden="1" customHeight="1">
      <c r="A6" s="324"/>
      <c r="B6" s="325" t="str">
        <f>'Công trình'!F8</f>
        <v>NỀN ĐƯỜNG:</v>
      </c>
      <c r="C6" s="325"/>
      <c r="D6" s="326"/>
      <c r="E6" s="327"/>
      <c r="F6" s="327"/>
      <c r="G6" s="327"/>
      <c r="H6" s="327"/>
      <c r="I6" s="327"/>
    </row>
    <row r="7" spans="1:9" ht="31.5">
      <c r="A7" s="328">
        <v>1</v>
      </c>
      <c r="B7" s="329" t="str">
        <f>'Công trình'!F9</f>
        <v>Phá dỡ kết cấu bê tông bằng máy đào 1,25m3 gắn đầu búa thủy lực</v>
      </c>
      <c r="C7" s="330" t="str">
        <f>'Công trình'!G9</f>
        <v>m3</v>
      </c>
      <c r="D7" s="331">
        <f>ROUND('Công trình'!P9,4)</f>
        <v>90.89</v>
      </c>
      <c r="E7" s="332">
        <f>'Công trình'!Q9+'Công trình'!R9</f>
        <v>0</v>
      </c>
      <c r="F7" s="332">
        <f>'Chiết tính'!H$7</f>
        <v>2876.9</v>
      </c>
      <c r="G7" s="332">
        <f>'Chiết tính'!H$9</f>
        <v>94446</v>
      </c>
      <c r="H7" s="333">
        <f>'Chiết tính'!H$20</f>
        <v>125280</v>
      </c>
      <c r="I7" s="333">
        <f>ROUND(IF(D$5=0,D7*H7,D$5*D7*H7),1)</f>
        <v>11386699.199999999</v>
      </c>
    </row>
    <row r="8" spans="1:9">
      <c r="A8" s="328">
        <v>2</v>
      </c>
      <c r="B8" s="329" t="str">
        <f>'Công trình'!F11</f>
        <v>Đào nền đường, đất cấp II</v>
      </c>
      <c r="C8" s="330" t="str">
        <f>'Công trình'!G11</f>
        <v>100m3</v>
      </c>
      <c r="D8" s="331">
        <f>ROUND('Công trình'!P11,4)</f>
        <v>7.7824999999999998</v>
      </c>
      <c r="E8" s="332">
        <f>'Công trình'!Q11+'Công trình'!R11</f>
        <v>0</v>
      </c>
      <c r="F8" s="332">
        <f>'Chiết tính'!H$22</f>
        <v>759069.3</v>
      </c>
      <c r="G8" s="332">
        <f>'Chiết tính'!H$24</f>
        <v>1149661.3</v>
      </c>
      <c r="H8" s="333">
        <f>'Chiết tính'!H$37</f>
        <v>2457040</v>
      </c>
      <c r="I8" s="333">
        <f>ROUND(IF(D$5=0,D8*H8,D$5*D8*H8),1)</f>
        <v>19121913.800000001</v>
      </c>
    </row>
    <row r="9" spans="1:9">
      <c r="A9" s="328">
        <v>3</v>
      </c>
      <c r="B9" s="329" t="str">
        <f>'Công trình'!F13</f>
        <v>Lớp đất núi đầm chặt K95, dày 30cm</v>
      </c>
      <c r="C9" s="330" t="str">
        <f>'Công trình'!G13</f>
        <v>100m3</v>
      </c>
      <c r="D9" s="331">
        <f>ROUND('Công trình'!P13,4)</f>
        <v>5.2055999999999996</v>
      </c>
      <c r="E9" s="332">
        <f>'Công trình'!Q13+'Công trình'!R13</f>
        <v>0</v>
      </c>
      <c r="F9" s="332">
        <f>'Chiết tính'!H$39</f>
        <v>365150</v>
      </c>
      <c r="G9" s="332">
        <f>'Chiết tính'!H$41</f>
        <v>944559.5</v>
      </c>
      <c r="H9" s="333">
        <f>'Chiết tính'!H$55</f>
        <v>1685943</v>
      </c>
      <c r="I9" s="333">
        <f>ROUND(IF(D$5=0,D9*H9,D$5*D9*H9),1)</f>
        <v>8776344.9000000004</v>
      </c>
    </row>
    <row r="10" spans="1:9">
      <c r="A10" s="328">
        <v>4</v>
      </c>
      <c r="B10" s="329" t="str">
        <f>'Công trình'!F15</f>
        <v>Tiền đất núi</v>
      </c>
      <c r="C10" s="330" t="str">
        <f>'Công trình'!G15</f>
        <v>m3</v>
      </c>
      <c r="D10" s="331">
        <f>ROUND('Công trình'!P15,4)</f>
        <v>588.2328</v>
      </c>
      <c r="E10" s="332">
        <f>'Chiết tính'!H$57</f>
        <v>190000</v>
      </c>
      <c r="F10" s="332">
        <f>'Công trình'!S15</f>
        <v>0</v>
      </c>
      <c r="G10" s="332">
        <f>'Công trình'!T15</f>
        <v>0</v>
      </c>
      <c r="H10" s="333">
        <f>'Chiết tính'!H$68</f>
        <v>244581</v>
      </c>
      <c r="I10" s="333">
        <f>ROUND(IF(D$5=0,D10*H10,D$5*D10*H10),1)</f>
        <v>143870566.5</v>
      </c>
    </row>
    <row r="11" spans="1:9">
      <c r="A11" s="328">
        <v>5</v>
      </c>
      <c r="B11" s="329" t="str">
        <f>'Công trình'!F17</f>
        <v>Cấp phối đá dăm loại I, lớp trên dày 18 cm</v>
      </c>
      <c r="C11" s="330" t="str">
        <f>'Công trình'!G17</f>
        <v>100m3</v>
      </c>
      <c r="D11" s="331">
        <f>ROUND('Công trình'!P17,4)</f>
        <v>3.1234000000000002</v>
      </c>
      <c r="E11" s="332">
        <f>'Chiết tính'!H$70</f>
        <v>36180000</v>
      </c>
      <c r="F11" s="332">
        <f>'Chiết tính'!H$72</f>
        <v>843363.8</v>
      </c>
      <c r="G11" s="332">
        <f>'Chiết tính'!H$74</f>
        <v>2714101.5</v>
      </c>
      <c r="H11" s="333">
        <f>'Chiết tính'!H$91</f>
        <v>51152608</v>
      </c>
      <c r="I11" s="333">
        <f>ROUND(IF(D$5=0,D11*H11,D$5*D11*H11),1)</f>
        <v>159770055.80000001</v>
      </c>
    </row>
    <row r="12" spans="1:9" s="340" customFormat="1">
      <c r="A12" s="334">
        <v>6</v>
      </c>
      <c r="B12" s="335" t="s">
        <v>1353</v>
      </c>
      <c r="C12" s="336" t="s">
        <v>52</v>
      </c>
      <c r="D12" s="337">
        <v>0.90890000000000004</v>
      </c>
      <c r="E12" s="338"/>
      <c r="F12" s="338"/>
      <c r="G12" s="338"/>
      <c r="H12" s="339">
        <f>H13+H14</f>
        <v>8951034</v>
      </c>
      <c r="I12" s="339">
        <f>H12*D12</f>
        <v>8135594.8026000001</v>
      </c>
    </row>
    <row r="13" spans="1:9" ht="31.5" hidden="1" customHeight="1">
      <c r="A13" s="324">
        <f>'Công trình'!A19</f>
        <v>6</v>
      </c>
      <c r="B13" s="325" t="str">
        <f>'Công trình'!F19</f>
        <v xml:space="preserve">Vận chuyển đất bằng ôtô tự đổ 5 tấn </v>
      </c>
      <c r="C13" s="341" t="str">
        <f>'Công trình'!G19</f>
        <v>100m3</v>
      </c>
      <c r="D13" s="342">
        <f>ROUND('Công trình'!P19,4)</f>
        <v>0.90890000000000004</v>
      </c>
      <c r="E13" s="343">
        <f>'Công trình'!Q19+'Công trình'!R19</f>
        <v>0</v>
      </c>
      <c r="F13" s="343">
        <f>'Công trình'!S19</f>
        <v>0</v>
      </c>
      <c r="G13" s="343">
        <f>'Chiết tính'!H$93</f>
        <v>2978096.4</v>
      </c>
      <c r="H13" s="344">
        <f>'Chiết tính'!H$104</f>
        <v>3833597</v>
      </c>
      <c r="I13" s="344"/>
    </row>
    <row r="14" spans="1:9" ht="31.5" hidden="1" customHeight="1">
      <c r="A14" s="324">
        <f>'Công trình'!A22</f>
        <v>7</v>
      </c>
      <c r="B14" s="325" t="str">
        <f>'Công trình'!F22</f>
        <v>Vận chuyển đất bằng ô tô tự đổ 5T 1km tiếp theo ngoài phạm vi 5km, đất cấp III</v>
      </c>
      <c r="C14" s="341" t="str">
        <f>'Công trình'!G22</f>
        <v>100m3</v>
      </c>
      <c r="D14" s="342">
        <f>ROUND('Công trình'!P22,4)</f>
        <v>0.90890000000000004</v>
      </c>
      <c r="E14" s="343">
        <f>'Công trình'!Q22+'Công trình'!R22</f>
        <v>0</v>
      </c>
      <c r="F14" s="343">
        <f>'Công trình'!S22</f>
        <v>0</v>
      </c>
      <c r="G14" s="343">
        <f>'Chiết tính'!H$106</f>
        <v>3975436.8</v>
      </c>
      <c r="H14" s="344">
        <f>'Chiết tính'!H$117</f>
        <v>5117437</v>
      </c>
      <c r="I14" s="344"/>
    </row>
    <row r="15" spans="1:9" s="340" customFormat="1">
      <c r="A15" s="334">
        <v>7</v>
      </c>
      <c r="B15" s="335" t="s">
        <v>1353</v>
      </c>
      <c r="C15" s="336" t="s">
        <v>52</v>
      </c>
      <c r="D15" s="337">
        <v>7.7824999999999998</v>
      </c>
      <c r="E15" s="338"/>
      <c r="F15" s="338"/>
      <c r="G15" s="338"/>
      <c r="H15" s="339">
        <f>H16+H17</f>
        <v>7548443</v>
      </c>
      <c r="I15" s="339">
        <f>H15*D15</f>
        <v>58745757.647500001</v>
      </c>
    </row>
    <row r="16" spans="1:9" ht="31.5" hidden="1" customHeight="1">
      <c r="A16" s="324">
        <f>'Công trình'!A24</f>
        <v>7</v>
      </c>
      <c r="B16" s="325" t="str">
        <f>'Công trình'!F24</f>
        <v>Vận chuyển đất bằng ôtô tự đổ 5 tấn trong phạm vi &lt;= 1000m, đất cấp II</v>
      </c>
      <c r="C16" s="341" t="str">
        <f>'Công trình'!G24</f>
        <v>100m3</v>
      </c>
      <c r="D16" s="342">
        <f>ROUND('Công trình'!P24,4)</f>
        <v>7.7824999999999998</v>
      </c>
      <c r="E16" s="343">
        <f>'Công trình'!Q24+'Công trình'!R24</f>
        <v>0</v>
      </c>
      <c r="F16" s="343">
        <f>'Công trình'!S24</f>
        <v>0</v>
      </c>
      <c r="G16" s="343">
        <f>'Chiết tính'!H$119</f>
        <v>2313202.9</v>
      </c>
      <c r="H16" s="344">
        <f>'Chiết tính'!H$130</f>
        <v>2977703</v>
      </c>
      <c r="I16" s="344"/>
    </row>
    <row r="17" spans="1:9" ht="31.5" hidden="1" customHeight="1">
      <c r="A17" s="324">
        <f>'Công trình'!A27</f>
        <v>9</v>
      </c>
      <c r="B17" s="325" t="str">
        <f>'Công trình'!F27</f>
        <v>Vận chuyển đất bằng ô tô tự đổ 5T 1km tiếp theo ngoài phạm vi 5km, đất cấp II</v>
      </c>
      <c r="C17" s="341" t="str">
        <f>'Công trình'!G27</f>
        <v>100m3</v>
      </c>
      <c r="D17" s="342">
        <f>ROUND('Công trình'!P27,4)</f>
        <v>7.7824999999999998</v>
      </c>
      <c r="E17" s="343">
        <f>'Công trình'!Q27+'Công trình'!R27</f>
        <v>0</v>
      </c>
      <c r="F17" s="343">
        <f>'Công trình'!S27</f>
        <v>0</v>
      </c>
      <c r="G17" s="343">
        <f>'Chiết tính'!H$132</f>
        <v>3550740.4</v>
      </c>
      <c r="H17" s="344">
        <f>'Chiết tính'!H$143</f>
        <v>4570740</v>
      </c>
      <c r="I17" s="344"/>
    </row>
    <row r="18" spans="1:9" ht="15.75" hidden="1" customHeight="1">
      <c r="A18" s="324"/>
      <c r="B18" s="325" t="str">
        <f>'Công trình'!F29</f>
        <v>I.B. MẶT ĐƯỜNG</v>
      </c>
      <c r="C18" s="341"/>
      <c r="D18" s="342"/>
      <c r="E18" s="343"/>
      <c r="F18" s="343"/>
      <c r="G18" s="343"/>
      <c r="H18" s="344"/>
      <c r="I18" s="344"/>
    </row>
    <row r="19" spans="1:9">
      <c r="A19" s="328">
        <v>8</v>
      </c>
      <c r="B19" s="329" t="str">
        <f>'Công trình'!F30</f>
        <v>Nilon chống mất nước xi măng</v>
      </c>
      <c r="C19" s="330" t="str">
        <f>'Công trình'!G30</f>
        <v>100m2</v>
      </c>
      <c r="D19" s="331">
        <f>ROUND('Công trình'!P30,4)</f>
        <v>17.352</v>
      </c>
      <c r="E19" s="332">
        <f>'Chiết tính'!H$145</f>
        <v>1104705</v>
      </c>
      <c r="F19" s="332">
        <f>'Chiết tính'!H$149</f>
        <v>282960</v>
      </c>
      <c r="G19" s="332">
        <f>'Công trình'!T30</f>
        <v>0</v>
      </c>
      <c r="H19" s="333">
        <f>'Chiết tính'!H$160</f>
        <v>1786291</v>
      </c>
      <c r="I19" s="333">
        <f t="shared" ref="I19:I24" si="0">ROUND(IF(D$5=0,D19*H19,D$5*D19*H19),1)</f>
        <v>30995721.399999999</v>
      </c>
    </row>
    <row r="20" spans="1:9">
      <c r="A20" s="328">
        <v>9</v>
      </c>
      <c r="B20" s="329" t="str">
        <f>'Công trình'!F32</f>
        <v>Ván khuôn thép. Ván khuôn mặt đường</v>
      </c>
      <c r="C20" s="330" t="str">
        <f>'Công trình'!G32</f>
        <v>100m2</v>
      </c>
      <c r="D20" s="331">
        <f>ROUND('Công trình'!P32,4)</f>
        <v>1.8123</v>
      </c>
      <c r="E20" s="332">
        <f>'Chiết tính'!H$162</f>
        <v>686437.5</v>
      </c>
      <c r="F20" s="332">
        <f>'Chiết tính'!H$167</f>
        <v>3270692</v>
      </c>
      <c r="G20" s="332">
        <f>'Chiết tính'!H$169</f>
        <v>172497.8</v>
      </c>
      <c r="H20" s="333">
        <f>'Chiết tính'!H$182</f>
        <v>5315921</v>
      </c>
      <c r="I20" s="333">
        <f t="shared" si="0"/>
        <v>9634043.5999999996</v>
      </c>
    </row>
    <row r="21" spans="1:9" ht="31.5">
      <c r="A21" s="328">
        <v>10</v>
      </c>
      <c r="B21" s="329" t="str">
        <f>'Công trình'!F34</f>
        <v>Đổ bê tông thủ công bằng máy trộn, bê tông mặt đường, chiều dày mặt đường &lt;=25 cm, đá 2x4, mác 250, PCB30</v>
      </c>
      <c r="C21" s="330" t="str">
        <f>'Công trình'!G34</f>
        <v>m3</v>
      </c>
      <c r="D21" s="331">
        <f>ROUND('Công trình'!P34,4)</f>
        <v>354.86</v>
      </c>
      <c r="E21" s="332">
        <f>'Chiết tính'!H$184</f>
        <v>1082427</v>
      </c>
      <c r="F21" s="332">
        <f>'Chiết tính'!H$191</f>
        <v>358940</v>
      </c>
      <c r="G21" s="332">
        <f>'Chiết tính'!H$193</f>
        <v>80577.899999999994</v>
      </c>
      <c r="H21" s="333">
        <f>'Chiết tính'!H$208</f>
        <v>1959145</v>
      </c>
      <c r="I21" s="333">
        <f t="shared" si="0"/>
        <v>695222194.70000005</v>
      </c>
    </row>
    <row r="22" spans="1:9" ht="31.5">
      <c r="A22" s="328">
        <v>11</v>
      </c>
      <c r="B22" s="329" t="str">
        <f>'Công trình'!F37</f>
        <v>Đánh bóng bề mặt đường BTXM bằng máy xoa, kết hợp bổ sung xi măng</v>
      </c>
      <c r="C22" s="330" t="str">
        <f>'Công trình'!G37</f>
        <v>m2</v>
      </c>
      <c r="D22" s="331">
        <f>ROUND('Công trình'!P37,4)</f>
        <v>1735.2</v>
      </c>
      <c r="E22" s="332">
        <f>'Chiết tính'!H$210</f>
        <v>11144.5</v>
      </c>
      <c r="F22" s="332">
        <f>'Chiết tính'!H$215</f>
        <v>9669.9</v>
      </c>
      <c r="G22" s="332">
        <f>'Chiết tính'!H$217</f>
        <v>4000</v>
      </c>
      <c r="H22" s="333">
        <f>'Chiết tính'!H$228</f>
        <v>31943</v>
      </c>
      <c r="I22" s="333">
        <f t="shared" si="0"/>
        <v>55427493.600000001</v>
      </c>
    </row>
    <row r="23" spans="1:9">
      <c r="A23" s="328">
        <v>12</v>
      </c>
      <c r="B23" s="329" t="str">
        <f>'Công trình'!F39</f>
        <v>Thi công khe co sân, bãi, mặt đường bê tông</v>
      </c>
      <c r="C23" s="330" t="str">
        <f>'Công trình'!G39</f>
        <v>m</v>
      </c>
      <c r="D23" s="331">
        <f>ROUND('Công trình'!P39,4)</f>
        <v>268</v>
      </c>
      <c r="E23" s="332">
        <f>'Chiết tính'!H$230</f>
        <v>86850.8</v>
      </c>
      <c r="F23" s="332">
        <f>'Chiết tính'!H$236</f>
        <v>23580</v>
      </c>
      <c r="G23" s="332">
        <f>'Chiết tính'!H$238</f>
        <v>13177.4</v>
      </c>
      <c r="H23" s="333">
        <f>'Chiết tính'!H$252</f>
        <v>159116</v>
      </c>
      <c r="I23" s="333">
        <f t="shared" si="0"/>
        <v>42643088</v>
      </c>
    </row>
    <row r="24" spans="1:9">
      <c r="A24" s="328">
        <v>13</v>
      </c>
      <c r="B24" s="329" t="str">
        <f>'Công trình'!F41</f>
        <v>Làm khe giãn, bố trí 20m/Khe giãn sâu 20cm</v>
      </c>
      <c r="C24" s="330" t="str">
        <f>'Công trình'!G41</f>
        <v>m</v>
      </c>
      <c r="D24" s="331">
        <f>ROUND('Công trình'!P41,4)</f>
        <v>89</v>
      </c>
      <c r="E24" s="332">
        <f>'Chiết tính'!H$254</f>
        <v>213797</v>
      </c>
      <c r="F24" s="332">
        <f>'Chiết tính'!H$263</f>
        <v>57640</v>
      </c>
      <c r="G24" s="332">
        <f>'Chiết tính'!H$265</f>
        <v>16884.8</v>
      </c>
      <c r="H24" s="333">
        <f>'Chiết tính'!H$279</f>
        <v>371147</v>
      </c>
      <c r="I24" s="333">
        <f t="shared" si="0"/>
        <v>33032083</v>
      </c>
    </row>
    <row r="25" spans="1:9" ht="15.75" hidden="1" customHeight="1">
      <c r="A25" s="345"/>
      <c r="B25" s="346" t="str">
        <f>"KẾT THÚC : "&amp;B5</f>
        <v>KẾT THÚC : SỬA CHỮA NỀN MẶT ĐƯỜNG:</v>
      </c>
      <c r="C25" s="341"/>
      <c r="D25" s="342"/>
      <c r="E25" s="343"/>
      <c r="F25" s="343"/>
      <c r="G25" s="343"/>
      <c r="H25" s="344"/>
      <c r="I25" s="344"/>
    </row>
    <row r="26" spans="1:9" s="323" customFormat="1">
      <c r="A26" s="319" t="s">
        <v>490</v>
      </c>
      <c r="B26" s="320" t="str">
        <f>'Công trình'!F43</f>
        <v>HỆ THỐNG THOÁT NƯỚC</v>
      </c>
      <c r="C26" s="347"/>
      <c r="D26" s="348"/>
      <c r="E26" s="349"/>
      <c r="F26" s="349"/>
      <c r="G26" s="349"/>
      <c r="H26" s="350"/>
      <c r="I26" s="350"/>
    </row>
    <row r="27" spans="1:9" ht="15.75" hidden="1" customHeight="1">
      <c r="A27" s="324"/>
      <c r="B27" s="325" t="str">
        <f>'Công trình'!F44</f>
        <v>II.1. GA, CỐNG DƯỚI ĐƯỜNG</v>
      </c>
      <c r="C27" s="341"/>
      <c r="D27" s="342"/>
      <c r="E27" s="343"/>
      <c r="F27" s="343"/>
      <c r="G27" s="343"/>
      <c r="H27" s="344"/>
      <c r="I27" s="344"/>
    </row>
    <row r="28" spans="1:9" ht="15.75" hidden="1" customHeight="1">
      <c r="A28" s="324"/>
      <c r="B28" s="325" t="str">
        <f>'Công trình'!F45</f>
        <v>* GA THU NƯỚC:</v>
      </c>
      <c r="C28" s="341"/>
      <c r="D28" s="342"/>
      <c r="E28" s="343"/>
      <c r="F28" s="343"/>
      <c r="G28" s="343"/>
      <c r="H28" s="344"/>
      <c r="I28" s="344"/>
    </row>
    <row r="29" spans="1:9">
      <c r="A29" s="334">
        <v>1</v>
      </c>
      <c r="B29" s="335" t="s">
        <v>1354</v>
      </c>
      <c r="C29" s="336" t="str">
        <f>C30</f>
        <v>100m3</v>
      </c>
      <c r="D29" s="337" t="e">
        <f>D30+D31/100</f>
        <v>#REF!</v>
      </c>
      <c r="E29" s="338"/>
      <c r="F29" s="338"/>
      <c r="G29" s="338"/>
      <c r="H29" s="339">
        <f>H30*0.9+H31*10</f>
        <v>4443064.8000000007</v>
      </c>
      <c r="I29" s="339" t="e">
        <f>H29*D29</f>
        <v>#REF!</v>
      </c>
    </row>
    <row r="30" spans="1:9" ht="15.75" hidden="1" customHeight="1">
      <c r="A30" s="324">
        <f>'Công trình'!A46</f>
        <v>1</v>
      </c>
      <c r="B30" s="325" t="str">
        <f>'Công trình'!F46</f>
        <v>Đào móng công trình</v>
      </c>
      <c r="C30" s="341" t="str">
        <f>'Công trình'!G46</f>
        <v>100m3</v>
      </c>
      <c r="D30" s="342">
        <f>ROUND('Công trình'!P46,4)</f>
        <v>1.2809999999999999</v>
      </c>
      <c r="E30" s="343">
        <f>'Công trình'!Q46+'Công trình'!R46</f>
        <v>0</v>
      </c>
      <c r="F30" s="343">
        <f>'Chiết tính'!H$282</f>
        <v>840951.4</v>
      </c>
      <c r="G30" s="343">
        <f>'Chiết tính'!H$284</f>
        <v>1100742</v>
      </c>
      <c r="H30" s="344">
        <f>'Chiết tính'!H$295</f>
        <v>2499472</v>
      </c>
      <c r="I30" s="344"/>
    </row>
    <row r="31" spans="1:9" ht="15.75" hidden="1" customHeight="1">
      <c r="A31" s="324" t="e">
        <f>'Công trình'!#REF!</f>
        <v>#REF!</v>
      </c>
      <c r="B31" s="325" t="e">
        <f>'Công trình'!#REF!</f>
        <v>#REF!</v>
      </c>
      <c r="C31" s="341" t="e">
        <f>'Công trình'!#REF!</f>
        <v>#REF!</v>
      </c>
      <c r="D31" s="342" t="e">
        <f>ROUND('Công trình'!#REF!,4)</f>
        <v>#REF!</v>
      </c>
      <c r="E31" s="343" t="e">
        <f>'Công trình'!#REF!+'Công trình'!#REF!</f>
        <v>#REF!</v>
      </c>
      <c r="F31" s="343">
        <f>'Chiết tính'!H$297</f>
        <v>170403.3</v>
      </c>
      <c r="G31" s="343" t="e">
        <f>'Công trình'!#REF!</f>
        <v>#REF!</v>
      </c>
      <c r="H31" s="344">
        <f>'Chiết tính'!H$308</f>
        <v>219354</v>
      </c>
      <c r="I31" s="344"/>
    </row>
    <row r="32" spans="1:9">
      <c r="A32" s="328">
        <v>2</v>
      </c>
      <c r="B32" s="329" t="str">
        <f>'Công trình'!F48</f>
        <v>Đất đắp thân ga (tận dụng)</v>
      </c>
      <c r="C32" s="330" t="str">
        <f>'Công trình'!G48</f>
        <v>100m3</v>
      </c>
      <c r="D32" s="331">
        <f>ROUND('Công trình'!P48,4)</f>
        <v>3.8399999999999997E-2</v>
      </c>
      <c r="E32" s="332">
        <f>'Công trình'!Q48+'Công trình'!R48</f>
        <v>0</v>
      </c>
      <c r="F32" s="332">
        <f>'Chiết tính'!H$310</f>
        <v>320889.40000000002</v>
      </c>
      <c r="G32" s="332">
        <f>'Chiết tính'!H$312</f>
        <v>904157.3</v>
      </c>
      <c r="H32" s="333">
        <f>'Chiết tính'!H$326</f>
        <v>1576959</v>
      </c>
      <c r="I32" s="333">
        <f t="shared" ref="I32:I45" si="1">ROUND(IF(D$26=0,D32*H32,D$26*D32*H32),1)</f>
        <v>60555.199999999997</v>
      </c>
    </row>
    <row r="33" spans="1:9" s="340" customFormat="1">
      <c r="A33" s="334">
        <v>3</v>
      </c>
      <c r="B33" s="335" t="s">
        <v>1353</v>
      </c>
      <c r="C33" s="336" t="s">
        <v>52</v>
      </c>
      <c r="D33" s="337">
        <v>8.9700000000000002E-2</v>
      </c>
      <c r="E33" s="338"/>
      <c r="F33" s="338"/>
      <c r="G33" s="338"/>
      <c r="H33" s="339">
        <f>H34+H35</f>
        <v>7548443</v>
      </c>
      <c r="I33" s="339">
        <f>H33*D33</f>
        <v>677095.3371</v>
      </c>
    </row>
    <row r="34" spans="1:9" ht="31.5" hidden="1" customHeight="1">
      <c r="A34" s="324">
        <f>'Công trình'!A50</f>
        <v>3</v>
      </c>
      <c r="B34" s="325" t="str">
        <f>'Công trình'!F50</f>
        <v>Vận chuyển đất bằng ôtô tự đổ 5 tấn trong phạm vi &lt;= 1000m, đất cấp II</v>
      </c>
      <c r="C34" s="341" t="str">
        <f>'Công trình'!G50</f>
        <v>100m3</v>
      </c>
      <c r="D34" s="342">
        <f>ROUND('Công trình'!P50,4)</f>
        <v>8.9700000000000002E-2</v>
      </c>
      <c r="E34" s="343">
        <f>'Công trình'!Q50+'Công trình'!R50</f>
        <v>0</v>
      </c>
      <c r="F34" s="343">
        <f>'Công trình'!S50</f>
        <v>0</v>
      </c>
      <c r="G34" s="343">
        <f>'Chiết tính'!H$328</f>
        <v>2313202.9</v>
      </c>
      <c r="H34" s="344">
        <f>'Chiết tính'!H$339</f>
        <v>2977703</v>
      </c>
      <c r="I34" s="344"/>
    </row>
    <row r="35" spans="1:9" ht="31.5" hidden="1" customHeight="1">
      <c r="A35" s="324">
        <f>'Công trình'!A52</f>
        <v>20</v>
      </c>
      <c r="B35" s="325" t="str">
        <f>'Công trình'!F52</f>
        <v>Vận chuyển đất bằng ô tô tự đổ 5T 1km tiếp theo ngoài phạm vi 5km, đất cấp II</v>
      </c>
      <c r="C35" s="341" t="str">
        <f>'Công trình'!G52</f>
        <v>100m3</v>
      </c>
      <c r="D35" s="342">
        <f>ROUND('Công trình'!P52,4)</f>
        <v>8.9700000000000002E-2</v>
      </c>
      <c r="E35" s="343">
        <f>'Công trình'!Q52+'Công trình'!R52</f>
        <v>0</v>
      </c>
      <c r="F35" s="343">
        <f>'Công trình'!S52</f>
        <v>0</v>
      </c>
      <c r="G35" s="343">
        <f>'Chiết tính'!H$341</f>
        <v>3550740.4</v>
      </c>
      <c r="H35" s="344">
        <f>'Chiết tính'!H$352</f>
        <v>4570740</v>
      </c>
      <c r="I35" s="344"/>
    </row>
    <row r="36" spans="1:9">
      <c r="A36" s="328">
        <v>4</v>
      </c>
      <c r="B36" s="329" t="str">
        <f>'Công trình'!F54</f>
        <v>Đá dăm lót móng, đá 2x4, dày 10cm</v>
      </c>
      <c r="C36" s="330" t="str">
        <f>'Công trình'!G54</f>
        <v>m3</v>
      </c>
      <c r="D36" s="331">
        <f>ROUND('Công trình'!P54,4)</f>
        <v>3.29</v>
      </c>
      <c r="E36" s="332">
        <f>'Chiết tính'!H$354</f>
        <v>453000</v>
      </c>
      <c r="F36" s="332">
        <f>'Chiết tính'!H$358</f>
        <v>420923.8</v>
      </c>
      <c r="G36" s="332">
        <f>'Công trình'!T54</f>
        <v>0</v>
      </c>
      <c r="H36" s="333">
        <f>'Chiết tính'!H$369</f>
        <v>1124971</v>
      </c>
      <c r="I36" s="333">
        <f t="shared" si="1"/>
        <v>3701154.6</v>
      </c>
    </row>
    <row r="37" spans="1:9">
      <c r="A37" s="328">
        <v>5</v>
      </c>
      <c r="B37" s="329" t="str">
        <f>'Công trình'!F56</f>
        <v>Ván khuôn gỗ. Ván khuôn móng ga</v>
      </c>
      <c r="C37" s="330" t="str">
        <f>'Công trình'!G56</f>
        <v>100m2</v>
      </c>
      <c r="D37" s="331">
        <f>ROUND('Công trình'!P56,4)</f>
        <v>0.17760000000000001</v>
      </c>
      <c r="E37" s="332">
        <f>'Chiết tính'!H$371</f>
        <v>6188316.2000000002</v>
      </c>
      <c r="F37" s="332">
        <f>'Chiết tính'!H$378</f>
        <v>7781400</v>
      </c>
      <c r="G37" s="332">
        <f>'Công trình'!T56</f>
        <v>0</v>
      </c>
      <c r="H37" s="333">
        <f>'Chiết tính'!H$389</f>
        <v>17982713</v>
      </c>
      <c r="I37" s="333">
        <f t="shared" si="1"/>
        <v>3193729.8</v>
      </c>
    </row>
    <row r="38" spans="1:9">
      <c r="A38" s="328">
        <v>6</v>
      </c>
      <c r="B38" s="329" t="str">
        <f>'Công trình'!F58</f>
        <v>Đổ bê tông móng ga, đá 1x2, mác 200</v>
      </c>
      <c r="C38" s="330" t="str">
        <f>'Công trình'!G58</f>
        <v>m3</v>
      </c>
      <c r="D38" s="331">
        <f>ROUND('Công trình'!P58,4)</f>
        <v>6.57</v>
      </c>
      <c r="E38" s="332">
        <f>'Chiết tính'!H$391</f>
        <v>1040813.5</v>
      </c>
      <c r="F38" s="332">
        <f>'Chiết tính'!H$398</f>
        <v>294698.2</v>
      </c>
      <c r="G38" s="332">
        <f>'Chiết tính'!H$400</f>
        <v>54795.9</v>
      </c>
      <c r="H38" s="333">
        <f>'Chiết tính'!H$413</f>
        <v>1789693</v>
      </c>
      <c r="I38" s="333">
        <f t="shared" si="1"/>
        <v>11758283</v>
      </c>
    </row>
    <row r="39" spans="1:9">
      <c r="A39" s="328">
        <v>7</v>
      </c>
      <c r="B39" s="329" t="str">
        <f>'Công trình'!F60</f>
        <v>Xây gạch không nung ga VXM M75, dày 22cm</v>
      </c>
      <c r="C39" s="330" t="str">
        <f>'Công trình'!G60</f>
        <v>m3</v>
      </c>
      <c r="D39" s="331">
        <f>ROUND('Công trình'!P60,4)</f>
        <v>20.79</v>
      </c>
      <c r="E39" s="332">
        <f>'Chiết tính'!H$415</f>
        <v>1079493.5</v>
      </c>
      <c r="F39" s="332">
        <f>'Chiết tính'!H$422</f>
        <v>838400</v>
      </c>
      <c r="G39" s="332">
        <f>'Chiết tính'!H$424</f>
        <v>11441.1</v>
      </c>
      <c r="H39" s="333">
        <f>'Chiết tính'!H$435</f>
        <v>2483564</v>
      </c>
      <c r="I39" s="333">
        <f t="shared" si="1"/>
        <v>51633295.600000001</v>
      </c>
    </row>
    <row r="40" spans="1:9" ht="31.5">
      <c r="A40" s="328">
        <v>8</v>
      </c>
      <c r="B40" s="329" t="str">
        <f>'Công trình'!F62</f>
        <v>Trát tường xây gạch không nung bằng vữa thông thường, trát tường ga, chiều dày trát 2cm, vữa XM mác 75</v>
      </c>
      <c r="C40" s="330" t="str">
        <f>'Công trình'!G62</f>
        <v>m2</v>
      </c>
      <c r="D40" s="331">
        <f>ROUND('Công trình'!P62,4)</f>
        <v>64.260000000000005</v>
      </c>
      <c r="E40" s="332">
        <f>'Chiết tính'!H$437</f>
        <v>21521.3</v>
      </c>
      <c r="F40" s="332">
        <f>'Chiết tính'!H$443</f>
        <v>91700</v>
      </c>
      <c r="G40" s="332">
        <f>'Chiết tính'!H$445</f>
        <v>880.1</v>
      </c>
      <c r="H40" s="333">
        <f>'Chiết tính'!H$456</f>
        <v>146879</v>
      </c>
      <c r="I40" s="333">
        <f t="shared" si="1"/>
        <v>9438444.5</v>
      </c>
    </row>
    <row r="41" spans="1:9">
      <c r="A41" s="328">
        <v>9</v>
      </c>
      <c r="B41" s="329" t="str">
        <f>'Công trình'!F64</f>
        <v>Láng đáy ga, dày 2cm, vữa XM mác 75</v>
      </c>
      <c r="C41" s="330" t="str">
        <f>'Công trình'!G64</f>
        <v>m2</v>
      </c>
      <c r="D41" s="331">
        <f>ROUND('Công trình'!P64,4)</f>
        <v>9.6</v>
      </c>
      <c r="E41" s="332">
        <f>'Chiết tính'!H$458</f>
        <v>23276.3</v>
      </c>
      <c r="F41" s="332">
        <f>'Chiết tính'!H$463</f>
        <v>19339.7</v>
      </c>
      <c r="G41" s="332">
        <f>'Chiết tính'!H$465</f>
        <v>1173.4000000000001</v>
      </c>
      <c r="H41" s="333">
        <f>'Chiết tính'!H$476</f>
        <v>56368</v>
      </c>
      <c r="I41" s="333">
        <f t="shared" si="1"/>
        <v>541132.80000000005</v>
      </c>
    </row>
    <row r="42" spans="1:9">
      <c r="A42" s="328">
        <v>10</v>
      </c>
      <c r="B42" s="329" t="str">
        <f>'Công trình'!F66</f>
        <v>Ván khuôn gỗ. Ván khuôn cổ ga</v>
      </c>
      <c r="C42" s="330" t="str">
        <f>'Công trình'!G66</f>
        <v>100m2</v>
      </c>
      <c r="D42" s="331">
        <f>ROUND('Công trình'!P66,4)</f>
        <v>0.26279999999999998</v>
      </c>
      <c r="E42" s="332">
        <f>'Chiết tính'!H$478</f>
        <v>8793002.5</v>
      </c>
      <c r="F42" s="332">
        <f>'Chiết tính'!H$485</f>
        <v>7205000</v>
      </c>
      <c r="G42" s="332">
        <f>'Công trình'!T66</f>
        <v>0</v>
      </c>
      <c r="H42" s="333">
        <f>'Chiết tính'!H$496</f>
        <v>20593653</v>
      </c>
      <c r="I42" s="333">
        <f t="shared" si="1"/>
        <v>5412012</v>
      </c>
    </row>
    <row r="43" spans="1:9">
      <c r="A43" s="328">
        <v>11</v>
      </c>
      <c r="B43" s="329" t="str">
        <f>'Công trình'!F68</f>
        <v>Đổ bê tông cổ ga, đá 1x2, mác 200</v>
      </c>
      <c r="C43" s="330" t="str">
        <f>'Công trình'!G68</f>
        <v>m3</v>
      </c>
      <c r="D43" s="331">
        <f>ROUND('Công trình'!P68,4)</f>
        <v>2.39</v>
      </c>
      <c r="E43" s="332">
        <f>'Chiết tính'!H$498</f>
        <v>1040813.5</v>
      </c>
      <c r="F43" s="332">
        <f>'Chiết tính'!H$505</f>
        <v>639710.6</v>
      </c>
      <c r="G43" s="332">
        <f>'Chiết tính'!H$507</f>
        <v>79863</v>
      </c>
      <c r="H43" s="333">
        <f>'Chiết tính'!H$520</f>
        <v>2266083</v>
      </c>
      <c r="I43" s="333">
        <f t="shared" si="1"/>
        <v>5415938.4000000004</v>
      </c>
    </row>
    <row r="44" spans="1:9">
      <c r="A44" s="328">
        <v>12</v>
      </c>
      <c r="B44" s="329" t="str">
        <f>'Công trình'!F70</f>
        <v>Thép cổ ga</v>
      </c>
      <c r="C44" s="330" t="str">
        <f>'Công trình'!G70</f>
        <v>tấn</v>
      </c>
      <c r="D44" s="331">
        <f>ROUND('Công trình'!P70,4)</f>
        <v>2.4E-2</v>
      </c>
      <c r="E44" s="332">
        <f>'Chiết tính'!H$522</f>
        <v>17170220</v>
      </c>
      <c r="F44" s="332">
        <f>'Chiết tính'!H$527</f>
        <v>2420880</v>
      </c>
      <c r="G44" s="332">
        <f>'Chiết tính'!H$529</f>
        <v>545678.30000000005</v>
      </c>
      <c r="H44" s="333">
        <f>'Chiết tính'!H$542</f>
        <v>25921350</v>
      </c>
      <c r="I44" s="333">
        <f t="shared" si="1"/>
        <v>622112.4</v>
      </c>
    </row>
    <row r="45" spans="1:9">
      <c r="A45" s="328">
        <v>13</v>
      </c>
      <c r="B45" s="329" t="str">
        <f>'Công trình'!F72</f>
        <v>Thép góc viền cổ ga</v>
      </c>
      <c r="C45" s="330" t="str">
        <f>'Công trình'!G72</f>
        <v>tấn</v>
      </c>
      <c r="D45" s="331">
        <f>ROUND('Công trình'!P72,4)</f>
        <v>0.4698</v>
      </c>
      <c r="E45" s="332">
        <f>'Chiết tính'!H$544</f>
        <v>20495537.899999999</v>
      </c>
      <c r="F45" s="332">
        <f>'Chiết tính'!H$553</f>
        <v>5557332.2999999998</v>
      </c>
      <c r="G45" s="332">
        <f>'Chiết tính'!H$555</f>
        <v>1149945.3</v>
      </c>
      <c r="H45" s="333">
        <f>'Chiết tính'!H$570</f>
        <v>35017205</v>
      </c>
      <c r="I45" s="333">
        <f t="shared" si="1"/>
        <v>16451082.9</v>
      </c>
    </row>
    <row r="46" spans="1:9" ht="15.75" hidden="1" customHeight="1">
      <c r="A46" s="324"/>
      <c r="B46" s="325" t="str">
        <f>'Công trình'!F74</f>
        <v>TẤM ĐAN NẮP GA THU NƯỚC:</v>
      </c>
      <c r="C46" s="341"/>
      <c r="D46" s="342"/>
      <c r="E46" s="343"/>
      <c r="F46" s="343"/>
      <c r="G46" s="343"/>
      <c r="H46" s="344"/>
      <c r="I46" s="344"/>
    </row>
    <row r="47" spans="1:9" ht="31.5">
      <c r="A47" s="328">
        <v>14</v>
      </c>
      <c r="B47" s="329" t="str">
        <f>'Công trình'!F75</f>
        <v>Công tác gia công, lắp đặt cốt thép bê tông đúc sẵn. Cốt thép tấm đan</v>
      </c>
      <c r="C47" s="330" t="str">
        <f>'Công trình'!G75</f>
        <v>tấn</v>
      </c>
      <c r="D47" s="331">
        <f>ROUND('Công trình'!P75,4)</f>
        <v>0.88080000000000003</v>
      </c>
      <c r="E47" s="332">
        <f>'Chiết tính'!H$572</f>
        <v>17215680</v>
      </c>
      <c r="F47" s="332">
        <f>'Chiết tính'!H$576</f>
        <v>4257500</v>
      </c>
      <c r="G47" s="332">
        <f>'Chiết tính'!H$578</f>
        <v>111836.4</v>
      </c>
      <c r="H47" s="333">
        <f>'Chiết tính'!H$589</f>
        <v>27785615</v>
      </c>
      <c r="I47" s="333">
        <f>ROUND(IF(D$26=0,D47*H47,D$26*D47*H47),1)</f>
        <v>24473569.699999999</v>
      </c>
    </row>
    <row r="48" spans="1:9">
      <c r="A48" s="328">
        <v>15</v>
      </c>
      <c r="B48" s="329" t="str">
        <f>'Công trình'!F78</f>
        <v>Bê tông tấm đan, đá 1x2 mác 250</v>
      </c>
      <c r="C48" s="330" t="str">
        <f>'Công trình'!G78</f>
        <v>m3</v>
      </c>
      <c r="D48" s="331">
        <f>ROUND('Công trình'!P78,4)</f>
        <v>1.5</v>
      </c>
      <c r="E48" s="332">
        <f>'Chiết tính'!H$591</f>
        <v>1083421.7</v>
      </c>
      <c r="F48" s="332">
        <f>'Chiết tính'!H$598</f>
        <v>462412.6</v>
      </c>
      <c r="G48" s="332">
        <f>'Chiết tính'!H$600</f>
        <v>30279.7</v>
      </c>
      <c r="H48" s="333">
        <f>'Chiết tính'!H$611</f>
        <v>2028875</v>
      </c>
      <c r="I48" s="333">
        <f>ROUND(IF(D$26=0,D48*H48,D$26*D48*H48),1)</f>
        <v>3043312.5</v>
      </c>
    </row>
    <row r="49" spans="1:9" ht="31.5">
      <c r="A49" s="328">
        <v>16</v>
      </c>
      <c r="B49" s="329" t="str">
        <f>'Công trình'!F80</f>
        <v>Lăp đặt tấm đan 110kg/tấm</v>
      </c>
      <c r="C49" s="330" t="str">
        <f>'Công trình'!G80</f>
        <v>1 cấu kiện</v>
      </c>
      <c r="D49" s="331">
        <f>ROUND('Công trình'!P80,4)</f>
        <v>30</v>
      </c>
      <c r="E49" s="332">
        <f>'Công trình'!Q80+'Công trình'!R80</f>
        <v>0</v>
      </c>
      <c r="F49" s="332">
        <f>'Chiết tính'!H$613</f>
        <v>7187.8</v>
      </c>
      <c r="G49" s="332">
        <f>'Chiết tính'!H$615</f>
        <v>26465.599999999999</v>
      </c>
      <c r="H49" s="333">
        <f>'Chiết tính'!H$626</f>
        <v>43321</v>
      </c>
      <c r="I49" s="333">
        <f>ROUND(IF(D$26=0,D49*H49,D$26*D49*H49),1)</f>
        <v>1299630</v>
      </c>
    </row>
    <row r="50" spans="1:9" ht="15.75" hidden="1" customHeight="1">
      <c r="A50" s="324"/>
      <c r="B50" s="325" t="str">
        <f>'Công trình'!F82</f>
        <v>* HỐ TỤ NƯỚC BTXM:</v>
      </c>
      <c r="C50" s="341"/>
      <c r="D50" s="342"/>
      <c r="E50" s="343"/>
      <c r="F50" s="343"/>
      <c r="G50" s="343"/>
      <c r="H50" s="344"/>
      <c r="I50" s="344"/>
    </row>
    <row r="51" spans="1:9" ht="15.75" hidden="1" customHeight="1">
      <c r="A51" s="324"/>
      <c r="B51" s="325" t="str">
        <f>'Công trình'!F83</f>
        <v>Tấm đan M1* hố tụ nước:</v>
      </c>
      <c r="C51" s="341"/>
      <c r="D51" s="342"/>
      <c r="E51" s="343"/>
      <c r="F51" s="343"/>
      <c r="G51" s="343"/>
      <c r="H51" s="344"/>
      <c r="I51" s="344"/>
    </row>
    <row r="52" spans="1:9" ht="31.5">
      <c r="A52" s="328">
        <v>17</v>
      </c>
      <c r="B52" s="329" t="str">
        <f>'Công trình'!F84</f>
        <v>Công tác gia công, lắp dựng, tháo dỡ ván khuôn. Ván khuôn gỗ, ván khuôn tấm đan hố tụ</v>
      </c>
      <c r="C52" s="330" t="str">
        <f>'Công trình'!G84</f>
        <v>100m2</v>
      </c>
      <c r="D52" s="331">
        <f>ROUND('Công trình'!P84,4)</f>
        <v>5.8500000000000003E-2</v>
      </c>
      <c r="E52" s="332">
        <f>'Chiết tính'!H$628</f>
        <v>908127.8</v>
      </c>
      <c r="F52" s="332">
        <f>'Chiết tính'!H$633</f>
        <v>6200040</v>
      </c>
      <c r="G52" s="332">
        <f>'Công trình'!T84</f>
        <v>0</v>
      </c>
      <c r="H52" s="333">
        <f>'Chiết tính'!H$644</f>
        <v>9150088</v>
      </c>
      <c r="I52" s="333">
        <f>ROUND(IF(D$26=0,D52*H52,D$26*D52*H52),1)</f>
        <v>535280.1</v>
      </c>
    </row>
    <row r="53" spans="1:9" ht="31.5">
      <c r="A53" s="328">
        <v>18</v>
      </c>
      <c r="B53" s="329" t="str">
        <f>'Công trình'!F86</f>
        <v>Công tác gia công, lắp đặt cốt thép bê tông đúc sẵn. Cốt thép tấm đan</v>
      </c>
      <c r="C53" s="330" t="str">
        <f>'Công trình'!G86</f>
        <v>tấn</v>
      </c>
      <c r="D53" s="331">
        <f>ROUND('Công trình'!P86,4)</f>
        <v>0.16520000000000001</v>
      </c>
      <c r="E53" s="332">
        <f>'Chiết tính'!H$646</f>
        <v>17215680</v>
      </c>
      <c r="F53" s="332">
        <f>'Chiết tính'!H$650</f>
        <v>4257500</v>
      </c>
      <c r="G53" s="332">
        <f>'Chiết tính'!H$652</f>
        <v>111836.4</v>
      </c>
      <c r="H53" s="333">
        <f>'Chiết tính'!H$663</f>
        <v>27785615</v>
      </c>
      <c r="I53" s="333">
        <f>ROUND(IF(D$26=0,D53*H53,D$26*D53*H53),1)</f>
        <v>4590183.5999999996</v>
      </c>
    </row>
    <row r="54" spans="1:9">
      <c r="A54" s="328">
        <v>19</v>
      </c>
      <c r="B54" s="329" t="str">
        <f>'Công trình'!F88</f>
        <v>Bê tông tấm đan hố tụ, đá 1x2 mác 250</v>
      </c>
      <c r="C54" s="330" t="str">
        <f>'Công trình'!G88</f>
        <v>m3</v>
      </c>
      <c r="D54" s="331">
        <f>ROUND('Công trình'!P88,4)</f>
        <v>1.29</v>
      </c>
      <c r="E54" s="332">
        <f>'Chiết tính'!H$665</f>
        <v>1083421.7</v>
      </c>
      <c r="F54" s="332">
        <f>'Chiết tính'!H$672</f>
        <v>462412.6</v>
      </c>
      <c r="G54" s="332">
        <f>'Chiết tính'!H$674</f>
        <v>30279.7</v>
      </c>
      <c r="H54" s="333">
        <f>'Chiết tính'!H$685</f>
        <v>2028875</v>
      </c>
      <c r="I54" s="333">
        <f>ROUND(IF(D$26=0,D54*H54,D$26*D54*H54),1)</f>
        <v>2617248.7999999998</v>
      </c>
    </row>
    <row r="55" spans="1:9" ht="31.5">
      <c r="A55" s="328">
        <v>20</v>
      </c>
      <c r="B55" s="329" t="str">
        <f>'Công trình'!F90</f>
        <v>Lăp đặt tấm đan 200kg/tấm</v>
      </c>
      <c r="C55" s="330" t="str">
        <f>'Công trình'!G90</f>
        <v>1 cấu kiện</v>
      </c>
      <c r="D55" s="331">
        <f>ROUND('Công trình'!P90,4)</f>
        <v>15</v>
      </c>
      <c r="E55" s="332">
        <f>'Công trình'!Q90+'Công trình'!R90</f>
        <v>0</v>
      </c>
      <c r="F55" s="332">
        <f>'Chiết tính'!H$687</f>
        <v>7187.8</v>
      </c>
      <c r="G55" s="332">
        <f>'Chiết tính'!H$689</f>
        <v>26465.599999999999</v>
      </c>
      <c r="H55" s="333">
        <f>'Chiết tính'!H$700</f>
        <v>43321</v>
      </c>
      <c r="I55" s="333">
        <f>ROUND(IF(D$26=0,D55*H55,D$26*D55*H55),1)</f>
        <v>649815</v>
      </c>
    </row>
    <row r="56" spans="1:9" ht="15.75" hidden="1" customHeight="1">
      <c r="A56" s="324"/>
      <c r="B56" s="325" t="str">
        <f>'Công trình'!F92</f>
        <v>*) Xây hố tụ:</v>
      </c>
      <c r="C56" s="341"/>
      <c r="D56" s="342"/>
      <c r="E56" s="343"/>
      <c r="F56" s="343"/>
      <c r="G56" s="343"/>
      <c r="H56" s="344"/>
      <c r="I56" s="344"/>
    </row>
    <row r="57" spans="1:9" ht="31.5">
      <c r="A57" s="328">
        <v>21</v>
      </c>
      <c r="B57" s="329" t="str">
        <f>'Công trình'!F93</f>
        <v>Xây gạch không nung 6,5x10,5x22, xây hố tụ nước, vữa XM mác 75</v>
      </c>
      <c r="C57" s="330" t="str">
        <f>'Công trình'!G93</f>
        <v>m3</v>
      </c>
      <c r="D57" s="331">
        <f>ROUND('Công trình'!P93,4)</f>
        <v>0.77</v>
      </c>
      <c r="E57" s="332">
        <f>'Chiết tính'!H$702</f>
        <v>1079493.5</v>
      </c>
      <c r="F57" s="332">
        <f>'Chiết tính'!H$709</f>
        <v>838400</v>
      </c>
      <c r="G57" s="332">
        <f>'Chiết tính'!H$711</f>
        <v>11441.1</v>
      </c>
      <c r="H57" s="333">
        <f>'Chiết tính'!H$722</f>
        <v>2483564</v>
      </c>
      <c r="I57" s="333">
        <f>ROUND(IF(D$26=0,D57*H57,D$26*D57*H57),1)</f>
        <v>1912344.3</v>
      </c>
    </row>
    <row r="58" spans="1:9">
      <c r="A58" s="328">
        <v>22</v>
      </c>
      <c r="B58" s="329" t="str">
        <f>'Công trình'!F95</f>
        <v>Trát tường hố tụ, chiều dày trát 2cm, vữa XM mác 75, PCB30</v>
      </c>
      <c r="C58" s="330" t="str">
        <f>'Công trình'!G95</f>
        <v>m2</v>
      </c>
      <c r="D58" s="331">
        <f>ROUND('Công trình'!P95,4)</f>
        <v>6.49</v>
      </c>
      <c r="E58" s="332">
        <f>'Chiết tính'!H$724</f>
        <v>23515.4</v>
      </c>
      <c r="F58" s="332">
        <f>'Chiết tính'!H$730</f>
        <v>91700</v>
      </c>
      <c r="G58" s="332">
        <f>'Chiết tính'!H$732</f>
        <v>880.1</v>
      </c>
      <c r="H58" s="333">
        <f>'Chiết tính'!H$743</f>
        <v>149446</v>
      </c>
      <c r="I58" s="333">
        <f>ROUND(IF(D$26=0,D58*H58,D$26*D58*H58),1)</f>
        <v>969904.5</v>
      </c>
    </row>
    <row r="59" spans="1:9">
      <c r="A59" s="328">
        <v>23</v>
      </c>
      <c r="B59" s="329" t="str">
        <f>'Công trình'!F97</f>
        <v>Ván khuôn gỗ. Ván khuôn cổ hố tụ</v>
      </c>
      <c r="C59" s="330" t="str">
        <f>'Công trình'!G97</f>
        <v>100m2</v>
      </c>
      <c r="D59" s="331">
        <f>ROUND('Công trình'!P97,4)</f>
        <v>8.0600000000000005E-2</v>
      </c>
      <c r="E59" s="332">
        <f>'Chiết tính'!H$745</f>
        <v>8793002.5</v>
      </c>
      <c r="F59" s="332">
        <f>'Chiết tính'!H$752</f>
        <v>7205000</v>
      </c>
      <c r="G59" s="332">
        <f>'Công trình'!T97</f>
        <v>0</v>
      </c>
      <c r="H59" s="333">
        <f>'Chiết tính'!H$763</f>
        <v>20593653</v>
      </c>
      <c r="I59" s="333">
        <f>ROUND(IF(D$26=0,D59*H59,D$26*D59*H59),1)</f>
        <v>1659848.4</v>
      </c>
    </row>
    <row r="60" spans="1:9">
      <c r="A60" s="328">
        <v>24</v>
      </c>
      <c r="B60" s="329" t="str">
        <f>'Công trình'!F99</f>
        <v>Đổ bê tông cổ hố tụ, đá 1x2, mác 250</v>
      </c>
      <c r="C60" s="330" t="str">
        <f>'Công trình'!G99</f>
        <v>m3</v>
      </c>
      <c r="D60" s="331">
        <f>ROUND('Công trình'!P99,4)</f>
        <v>4.03</v>
      </c>
      <c r="E60" s="332">
        <f>'Chiết tính'!H$765</f>
        <v>1099539</v>
      </c>
      <c r="F60" s="332">
        <f>'Chiết tính'!H$772</f>
        <v>639710.6</v>
      </c>
      <c r="G60" s="332">
        <f>'Chiết tính'!H$774</f>
        <v>79863</v>
      </c>
      <c r="H60" s="333">
        <f>'Chiết tính'!H$787</f>
        <v>2341678</v>
      </c>
      <c r="I60" s="333">
        <f>ROUND(IF(D$26=0,D60*H60,D$26*D60*H60),1)</f>
        <v>9436962.3000000007</v>
      </c>
    </row>
    <row r="61" spans="1:9">
      <c r="A61" s="328">
        <v>25</v>
      </c>
      <c r="B61" s="329" t="str">
        <f>'Công trình'!F101</f>
        <v>Ghi chắn rác Composite, tải trọng 250KN, KT 880x380</v>
      </c>
      <c r="C61" s="330" t="str">
        <f>'Công trình'!G101</f>
        <v>Cái</v>
      </c>
      <c r="D61" s="331">
        <f>ROUND('Công trình'!P101,4)</f>
        <v>15</v>
      </c>
      <c r="E61" s="332">
        <f>'Chiết tính'!H$789</f>
        <v>1850000</v>
      </c>
      <c r="F61" s="332">
        <f>'Công trình'!S101</f>
        <v>0</v>
      </c>
      <c r="G61" s="332">
        <f>'Công trình'!T101</f>
        <v>0</v>
      </c>
      <c r="H61" s="333">
        <f>'Chiết tính'!H$800</f>
        <v>2381438</v>
      </c>
      <c r="I61" s="333">
        <f>ROUND(IF(D$26=0,D61*H61,D$26*D61*H61),1)</f>
        <v>35721570</v>
      </c>
    </row>
    <row r="62" spans="1:9" ht="15.75" hidden="1" customHeight="1">
      <c r="A62" s="324"/>
      <c r="B62" s="325" t="str">
        <f>'Công trình'!F103</f>
        <v>II.2. CỐNG D400 - ỐNG CỐNG CẤP TẢI CAO:</v>
      </c>
      <c r="C62" s="341"/>
      <c r="D62" s="342"/>
      <c r="E62" s="343"/>
      <c r="F62" s="343"/>
      <c r="G62" s="343"/>
      <c r="H62" s="344"/>
      <c r="I62" s="344"/>
    </row>
    <row r="63" spans="1:9">
      <c r="A63" s="334">
        <v>26</v>
      </c>
      <c r="B63" s="335" t="s">
        <v>1356</v>
      </c>
      <c r="C63" s="336" t="str">
        <f>C64</f>
        <v>100m3</v>
      </c>
      <c r="D63" s="337">
        <f>D64+D65/100</f>
        <v>6.8743400000000001</v>
      </c>
      <c r="E63" s="338"/>
      <c r="F63" s="338"/>
      <c r="G63" s="338"/>
      <c r="H63" s="339">
        <f>H64*0.9+H65*10</f>
        <v>4857945.5999999996</v>
      </c>
      <c r="I63" s="339">
        <f>H63*D63</f>
        <v>33395169.755903997</v>
      </c>
    </row>
    <row r="64" spans="1:9" ht="15.75" hidden="1" customHeight="1">
      <c r="A64" s="324">
        <f>'Công trình'!A104</f>
        <v>26</v>
      </c>
      <c r="B64" s="325" t="str">
        <f>'Công trình'!F104</f>
        <v>Đào móng cống</v>
      </c>
      <c r="C64" s="341" t="str">
        <f>'Công trình'!G104</f>
        <v>100m3</v>
      </c>
      <c r="D64" s="342">
        <f>ROUND('Công trình'!P104,4)</f>
        <v>6.2493999999999996</v>
      </c>
      <c r="E64" s="343">
        <f>'Công trình'!Q104+'Công trình'!R104</f>
        <v>0</v>
      </c>
      <c r="F64" s="343">
        <f>'Chiết tính'!H$802</f>
        <v>863081.7</v>
      </c>
      <c r="G64" s="343">
        <f>'Chiết tính'!H$804</f>
        <v>1313771</v>
      </c>
      <c r="H64" s="344">
        <f>'Chiết tính'!H$815</f>
        <v>2802184</v>
      </c>
      <c r="I64" s="344"/>
    </row>
    <row r="65" spans="1:9" ht="15.75" hidden="1" customHeight="1">
      <c r="A65" s="324">
        <f>'Công trình'!A106</f>
        <v>44</v>
      </c>
      <c r="B65" s="325" t="str">
        <f>'Công trình'!F106</f>
        <v>Đào móng bằng thủ công 10%</v>
      </c>
      <c r="C65" s="341" t="str">
        <f>'Công trình'!G106</f>
        <v>m3</v>
      </c>
      <c r="D65" s="342">
        <f>ROUND('Công trình'!P106,4)</f>
        <v>62.494</v>
      </c>
      <c r="E65" s="343">
        <f>'Công trình'!Q106+'Công trình'!R106</f>
        <v>0</v>
      </c>
      <c r="F65" s="343">
        <f>'Chiết tính'!H$817</f>
        <v>181468.5</v>
      </c>
      <c r="G65" s="343">
        <f>'Công trình'!T106</f>
        <v>0</v>
      </c>
      <c r="H65" s="344">
        <f>'Chiết tính'!H$828</f>
        <v>233598</v>
      </c>
      <c r="I65" s="344"/>
    </row>
    <row r="66" spans="1:9">
      <c r="A66" s="328">
        <v>27</v>
      </c>
      <c r="B66" s="329" t="str">
        <f>'Công trình'!F108</f>
        <v>Đắp đất thân cống K95</v>
      </c>
      <c r="C66" s="330" t="str">
        <f>'Công trình'!G108</f>
        <v>100m3</v>
      </c>
      <c r="D66" s="331">
        <f>ROUND('Công trình'!P108,4)</f>
        <v>4.3194999999999997</v>
      </c>
      <c r="E66" s="332">
        <f>'Công trình'!Q108+'Công trình'!R108</f>
        <v>0</v>
      </c>
      <c r="F66" s="332">
        <f>'Chiết tính'!H$830</f>
        <v>287693.90000000002</v>
      </c>
      <c r="G66" s="332">
        <f>'Chiết tính'!H$832</f>
        <v>674685.4</v>
      </c>
      <c r="H66" s="333">
        <f>'Chiết tính'!H$846</f>
        <v>1238837</v>
      </c>
      <c r="I66" s="333">
        <f t="shared" ref="I66:I72" si="2">ROUND(IF(D$26=0,D66*H66,D$26*D66*H66),1)</f>
        <v>5351156.4000000004</v>
      </c>
    </row>
    <row r="67" spans="1:9" ht="31.5">
      <c r="A67" s="328">
        <v>28</v>
      </c>
      <c r="B67" s="329" t="str">
        <f>'Công trình'!F110</f>
        <v>Vận chuyển đất bằng ôtô tự đổ 5 tấn trong phạm vi &lt;= 1000m, đất cấp II</v>
      </c>
      <c r="C67" s="330" t="str">
        <f>'Công trình'!G110</f>
        <v>100m3</v>
      </c>
      <c r="D67" s="331">
        <f>ROUND('Công trình'!P110,4)</f>
        <v>1.9298999999999999</v>
      </c>
      <c r="E67" s="332">
        <f>'Công trình'!Q110+'Công trình'!R110</f>
        <v>0</v>
      </c>
      <c r="F67" s="332">
        <f>'Công trình'!S110</f>
        <v>0</v>
      </c>
      <c r="G67" s="332">
        <f>'Chiết tính'!H$848</f>
        <v>2313202.9</v>
      </c>
      <c r="H67" s="333">
        <f>'Chiết tính'!H$859</f>
        <v>2977703</v>
      </c>
      <c r="I67" s="333">
        <f t="shared" si="2"/>
        <v>5746669</v>
      </c>
    </row>
    <row r="68" spans="1:9">
      <c r="A68" s="328">
        <v>29</v>
      </c>
      <c r="B68" s="329" t="str">
        <f>'Công trình'!F112</f>
        <v>Đá dăm 2x4 lót móng, dày 10cm</v>
      </c>
      <c r="C68" s="330" t="str">
        <f>'Công trình'!G112</f>
        <v>m3</v>
      </c>
      <c r="D68" s="331">
        <f>ROUND('Công trình'!P112,4)</f>
        <v>56.1</v>
      </c>
      <c r="E68" s="332">
        <f>'Chiết tính'!H$861</f>
        <v>453000</v>
      </c>
      <c r="F68" s="332">
        <f>'Chiết tính'!H$865</f>
        <v>420923.8</v>
      </c>
      <c r="G68" s="332">
        <f>'Công trình'!T112</f>
        <v>0</v>
      </c>
      <c r="H68" s="333">
        <f>'Chiết tính'!H$876</f>
        <v>1124971</v>
      </c>
      <c r="I68" s="333">
        <f t="shared" si="2"/>
        <v>63110873.100000001</v>
      </c>
    </row>
    <row r="69" spans="1:9" ht="31.5">
      <c r="A69" s="328">
        <v>30</v>
      </c>
      <c r="B69" s="329" t="str">
        <f>'Công trình'!F114</f>
        <v>Lắp đặt ống bê tông bằng cần cẩu, đoạn ống dài 2m, D400mm</v>
      </c>
      <c r="C69" s="330" t="str">
        <f>'Công trình'!G114</f>
        <v>đoạn ống</v>
      </c>
      <c r="D69" s="331">
        <f>ROUND('Công trình'!P114,4)</f>
        <v>213</v>
      </c>
      <c r="E69" s="332">
        <f>'Chiết tính'!H$878</f>
        <v>890445</v>
      </c>
      <c r="F69" s="332">
        <f>'Chiết tính'!H$882</f>
        <v>91700</v>
      </c>
      <c r="G69" s="332">
        <f>'Chiết tính'!H$884</f>
        <v>103745</v>
      </c>
      <c r="H69" s="333">
        <f>'Chiết tính'!H$897</f>
        <v>1397827</v>
      </c>
      <c r="I69" s="333">
        <f t="shared" si="2"/>
        <v>297737151</v>
      </c>
    </row>
    <row r="70" spans="1:9">
      <c r="A70" s="328">
        <v>31</v>
      </c>
      <c r="B70" s="329" t="str">
        <f>'Công trình'!F116</f>
        <v>Lắp đặt đế cống D400</v>
      </c>
      <c r="C70" s="330" t="str">
        <f>'Công trình'!G116</f>
        <v>Cái</v>
      </c>
      <c r="D70" s="331">
        <f>ROUND('Công trình'!P116,4)</f>
        <v>639</v>
      </c>
      <c r="E70" s="332">
        <f>'Chiết tính'!H$899</f>
        <v>110000</v>
      </c>
      <c r="F70" s="332">
        <f>'Chiết tính'!H$901</f>
        <v>25000</v>
      </c>
      <c r="G70" s="332">
        <f>'Công trình'!T116</f>
        <v>0</v>
      </c>
      <c r="H70" s="333">
        <f>'Chiết tính'!H$912</f>
        <v>173780</v>
      </c>
      <c r="I70" s="333">
        <f t="shared" si="2"/>
        <v>111045420</v>
      </c>
    </row>
    <row r="71" spans="1:9">
      <c r="A71" s="328">
        <v>32</v>
      </c>
      <c r="B71" s="329" t="str">
        <f>'Công trình'!F118</f>
        <v>Nối ống bê tông bằng gioăng cao su, đường kính 400mm</v>
      </c>
      <c r="C71" s="330" t="str">
        <f>'Công trình'!G118</f>
        <v>mối nối</v>
      </c>
      <c r="D71" s="331">
        <f>ROUND('Công trình'!P118,4)</f>
        <v>210</v>
      </c>
      <c r="E71" s="332">
        <f>'Chiết tính'!H$914</f>
        <v>121320</v>
      </c>
      <c r="F71" s="332">
        <f>'Chiết tính'!H$918</f>
        <v>23580</v>
      </c>
      <c r="G71" s="332">
        <f>'Công trình'!T118</f>
        <v>0</v>
      </c>
      <c r="H71" s="333">
        <f>'Chiết tính'!H$929</f>
        <v>186525</v>
      </c>
      <c r="I71" s="333">
        <f t="shared" si="2"/>
        <v>39170250</v>
      </c>
    </row>
    <row r="72" spans="1:9">
      <c r="A72" s="328">
        <v>33</v>
      </c>
      <c r="B72" s="329" t="str">
        <f>'Công trình'!F120</f>
        <v>Nối ống bê tông bằng phương pháp xảm, đường kính 400mm</v>
      </c>
      <c r="C72" s="330" t="str">
        <f>'Công trình'!G120</f>
        <v>mối nối</v>
      </c>
      <c r="D72" s="331">
        <f>ROUND('Công trình'!P120,4)</f>
        <v>210</v>
      </c>
      <c r="E72" s="332">
        <f>'Chiết tính'!H$931</f>
        <v>7814.4</v>
      </c>
      <c r="F72" s="332">
        <f>'Chiết tính'!H$936</f>
        <v>23580</v>
      </c>
      <c r="G72" s="332">
        <f>'Công trình'!T120</f>
        <v>0</v>
      </c>
      <c r="H72" s="333">
        <f>'Chiết tính'!H$947</f>
        <v>40413</v>
      </c>
      <c r="I72" s="333">
        <f t="shared" si="2"/>
        <v>8486730</v>
      </c>
    </row>
    <row r="73" spans="1:9" ht="15.75" hidden="1" customHeight="1">
      <c r="A73" s="324"/>
      <c r="B73" s="325" t="str">
        <f>'Công trình'!F122</f>
        <v>BIỆN PHÁP BỜ QUÂY:</v>
      </c>
      <c r="C73" s="341"/>
      <c r="D73" s="342"/>
      <c r="E73" s="343"/>
      <c r="F73" s="343"/>
      <c r="G73" s="343"/>
      <c r="H73" s="344"/>
      <c r="I73" s="344"/>
    </row>
    <row r="74" spans="1:9">
      <c r="A74" s="328">
        <v>34</v>
      </c>
      <c r="B74" s="329" t="str">
        <f>'Công trình'!F123</f>
        <v>Đắp đất núi bờ quây, dụng trọng 1.5T/m3</v>
      </c>
      <c r="C74" s="330" t="str">
        <f>'Công trình'!G123</f>
        <v>100m3</v>
      </c>
      <c r="D74" s="331">
        <f>ROUND('Công trình'!P123,4)</f>
        <v>0.06</v>
      </c>
      <c r="E74" s="332">
        <f>'Công trình'!Q123+'Công trình'!R123</f>
        <v>0</v>
      </c>
      <c r="F74" s="332">
        <f>'Chiết tính'!H$949</f>
        <v>219090</v>
      </c>
      <c r="G74" s="332">
        <f>'Chiết tính'!H$951</f>
        <v>463189.1</v>
      </c>
      <c r="H74" s="333">
        <f>'Chiết tính'!H$964</f>
        <v>878273</v>
      </c>
      <c r="I74" s="333">
        <f t="shared" ref="I74:I81" si="3">ROUND(IF(D$26=0,D74*H74,D$26*D74*H74),1)</f>
        <v>52696.4</v>
      </c>
    </row>
    <row r="75" spans="1:9">
      <c r="A75" s="328">
        <v>35</v>
      </c>
      <c r="B75" s="329" t="str">
        <f>'Công trình'!F125</f>
        <v>Tiền đất núi đắp bờ quây</v>
      </c>
      <c r="C75" s="330" t="str">
        <f>'Công trình'!G125</f>
        <v>m3</v>
      </c>
      <c r="D75" s="331">
        <f>ROUND('Công trình'!P125,4)</f>
        <v>6.6</v>
      </c>
      <c r="E75" s="332">
        <f>'Chiết tính'!H$966</f>
        <v>190000</v>
      </c>
      <c r="F75" s="332">
        <f>'Công trình'!S125</f>
        <v>0</v>
      </c>
      <c r="G75" s="332">
        <f>'Công trình'!T125</f>
        <v>0</v>
      </c>
      <c r="H75" s="333">
        <f>'Chiết tính'!H$977</f>
        <v>244581</v>
      </c>
      <c r="I75" s="333">
        <f t="shared" si="3"/>
        <v>1614234.6</v>
      </c>
    </row>
    <row r="76" spans="1:9">
      <c r="A76" s="328">
        <v>36</v>
      </c>
      <c r="B76" s="329" t="str">
        <f>'Công trình'!F127</f>
        <v>Cọc tre D60-80; L=2.8m</v>
      </c>
      <c r="C76" s="330" t="str">
        <f>'Công trình'!G127</f>
        <v>100m</v>
      </c>
      <c r="D76" s="331">
        <f>ROUND('Công trình'!P127,4)</f>
        <v>2.2400000000000002</v>
      </c>
      <c r="E76" s="332">
        <f>'Chiết tính'!H$979</f>
        <v>546000</v>
      </c>
      <c r="F76" s="332">
        <f>'Chiết tính'!H$981</f>
        <v>79065.399999999994</v>
      </c>
      <c r="G76" s="332">
        <f>'Chiết tính'!H$983</f>
        <v>235886.2</v>
      </c>
      <c r="H76" s="333">
        <f>'Chiết tính'!H$994</f>
        <v>1108272</v>
      </c>
      <c r="I76" s="333">
        <f t="shared" si="3"/>
        <v>2482529.2999999998</v>
      </c>
    </row>
    <row r="77" spans="1:9">
      <c r="A77" s="328">
        <v>37</v>
      </c>
      <c r="B77" s="329" t="str">
        <f>'Công trình'!F129</f>
        <v>Phên nứa 2 lớp B=1,0m</v>
      </c>
      <c r="C77" s="330" t="str">
        <f>'Công trình'!G129</f>
        <v>m2</v>
      </c>
      <c r="D77" s="331">
        <f>ROUND('Công trình'!P129,4)</f>
        <v>12</v>
      </c>
      <c r="E77" s="332">
        <f>'Chiết tính'!H$996</f>
        <v>15000</v>
      </c>
      <c r="F77" s="332">
        <f>'Công trình'!S129</f>
        <v>0</v>
      </c>
      <c r="G77" s="332">
        <f>'Công trình'!T129</f>
        <v>0</v>
      </c>
      <c r="H77" s="333">
        <f>'Chiết tính'!H$1007</f>
        <v>19309</v>
      </c>
      <c r="I77" s="333">
        <f t="shared" si="3"/>
        <v>231708</v>
      </c>
    </row>
    <row r="78" spans="1:9">
      <c r="A78" s="328">
        <v>38</v>
      </c>
      <c r="B78" s="329" t="str">
        <f>'Công trình'!F131</f>
        <v>Đào phá bờ quây bằng máy</v>
      </c>
      <c r="C78" s="330" t="str">
        <f>'Công trình'!G131</f>
        <v>100m3</v>
      </c>
      <c r="D78" s="331">
        <f>ROUND('Công trình'!P131,4)</f>
        <v>0.06</v>
      </c>
      <c r="E78" s="332">
        <f>'Công trình'!Q131+'Công trình'!R131</f>
        <v>0</v>
      </c>
      <c r="F78" s="332">
        <f>'Chiết tính'!H$1009</f>
        <v>104012.4</v>
      </c>
      <c r="G78" s="332">
        <f>'Chiết tính'!H$1011</f>
        <v>854161.8</v>
      </c>
      <c r="H78" s="333">
        <f>'Chiết tính'!H$1024</f>
        <v>1233423</v>
      </c>
      <c r="I78" s="333">
        <f t="shared" si="3"/>
        <v>74005.399999999994</v>
      </c>
    </row>
    <row r="79" spans="1:9" ht="31.5">
      <c r="A79" s="328">
        <v>39</v>
      </c>
      <c r="B79" s="329" t="str">
        <f>'Công trình'!F133</f>
        <v>Nhổ cọc tre, phên nứa (vận dụng chi phí nhân công, máy đóng cọc tre)</v>
      </c>
      <c r="C79" s="330" t="str">
        <f>'Công trình'!G133</f>
        <v>100m</v>
      </c>
      <c r="D79" s="331">
        <f>ROUND('Công trình'!P133,4)</f>
        <v>2.2400000000000002</v>
      </c>
      <c r="E79" s="332">
        <f>'Chiết tính'!H$1026</f>
        <v>546000</v>
      </c>
      <c r="F79" s="332">
        <f>'Chiết tính'!H$1028</f>
        <v>79065.399999999994</v>
      </c>
      <c r="G79" s="332">
        <f>'Chiết tính'!H$1030</f>
        <v>235886.2</v>
      </c>
      <c r="H79" s="333">
        <f>'Chiết tính'!H$1041</f>
        <v>1108272</v>
      </c>
      <c r="I79" s="333">
        <f t="shared" si="3"/>
        <v>2482529.2999999998</v>
      </c>
    </row>
    <row r="80" spans="1:9" ht="31.5">
      <c r="A80" s="328">
        <v>40</v>
      </c>
      <c r="B80" s="329" t="str">
        <f>'Công trình'!F135</f>
        <v>Vận chuyển đất bằng ôtô tự đổ 5 tấn trong phạm vi &lt;= 1000m, đất cấp II</v>
      </c>
      <c r="C80" s="330" t="str">
        <f>'Công trình'!G135</f>
        <v>100m3</v>
      </c>
      <c r="D80" s="331">
        <f>ROUND('Công trình'!P135,4)</f>
        <v>0.06</v>
      </c>
      <c r="E80" s="332">
        <f>'Công trình'!Q135+'Công trình'!R135</f>
        <v>0</v>
      </c>
      <c r="F80" s="332">
        <f>'Công trình'!S135</f>
        <v>0</v>
      </c>
      <c r="G80" s="332">
        <f>'Chiết tính'!H$1043</f>
        <v>2313202.9</v>
      </c>
      <c r="H80" s="333">
        <f>'Chiết tính'!H$1054</f>
        <v>2977703</v>
      </c>
      <c r="I80" s="333">
        <f t="shared" si="3"/>
        <v>178662.2</v>
      </c>
    </row>
    <row r="81" spans="1:9">
      <c r="A81" s="328">
        <v>41</v>
      </c>
      <c r="B81" s="329" t="str">
        <f>'Công trình'!F137</f>
        <v>Bơm nước phục vụ thi công</v>
      </c>
      <c r="C81" s="330" t="str">
        <f>'Công trình'!G137</f>
        <v>ca</v>
      </c>
      <c r="D81" s="331">
        <f>ROUND('Công trình'!P137,4)</f>
        <v>1</v>
      </c>
      <c r="E81" s="332">
        <f>'Công trình'!Q137+'Công trình'!R137</f>
        <v>0</v>
      </c>
      <c r="F81" s="332">
        <f>'Chiết tính'!H$1056</f>
        <v>200000</v>
      </c>
      <c r="G81" s="332">
        <f>'Chiết tính'!H$1058</f>
        <v>300000</v>
      </c>
      <c r="H81" s="333">
        <f>'Chiết tính'!H$1069</f>
        <v>643632</v>
      </c>
      <c r="I81" s="333">
        <f t="shared" si="3"/>
        <v>643632</v>
      </c>
    </row>
    <row r="82" spans="1:9" ht="15.75" hidden="1" customHeight="1">
      <c r="A82" s="324"/>
      <c r="B82" s="325" t="str">
        <f>'Công trình'!F139</f>
        <v>TƯỜNG ĐẦU CỐNG:</v>
      </c>
      <c r="C82" s="341"/>
      <c r="D82" s="342"/>
      <c r="E82" s="343"/>
      <c r="F82" s="343"/>
      <c r="G82" s="343"/>
      <c r="H82" s="344"/>
      <c r="I82" s="344"/>
    </row>
    <row r="83" spans="1:9">
      <c r="A83" s="328">
        <v>42</v>
      </c>
      <c r="B83" s="329" t="str">
        <f>'Công trình'!F140</f>
        <v>Đào đất cấp II</v>
      </c>
      <c r="C83" s="330" t="str">
        <f>'Công trình'!G140</f>
        <v>100m3</v>
      </c>
      <c r="D83" s="331">
        <f>ROUND('Công trình'!P140,4)</f>
        <v>3.0200000000000001E-2</v>
      </c>
      <c r="E83" s="332">
        <f>'Công trình'!Q140+'Công trình'!R140</f>
        <v>0</v>
      </c>
      <c r="F83" s="332">
        <f>'Chiết tính'!H$1071</f>
        <v>863081.7</v>
      </c>
      <c r="G83" s="332">
        <f>'Chiết tính'!H$1073</f>
        <v>1313771</v>
      </c>
      <c r="H83" s="333">
        <f>'Chiết tính'!H$1084</f>
        <v>2802184</v>
      </c>
      <c r="I83" s="333">
        <f t="shared" ref="I83:I95" si="4">ROUND(IF(D$26=0,D83*H83,D$26*D83*H83),1)</f>
        <v>84626</v>
      </c>
    </row>
    <row r="84" spans="1:9">
      <c r="A84" s="328">
        <v>43</v>
      </c>
      <c r="B84" s="329" t="str">
        <f>'Công trình'!F142</f>
        <v>Đắp đất hoàn trả móng</v>
      </c>
      <c r="C84" s="330" t="str">
        <f>'Công trình'!G142</f>
        <v>m3</v>
      </c>
      <c r="D84" s="331">
        <f>ROUND('Công trình'!P142,4)</f>
        <v>1.66</v>
      </c>
      <c r="E84" s="332">
        <f>'Công trình'!Q142+'Công trình'!R142</f>
        <v>0</v>
      </c>
      <c r="F84" s="332">
        <f>'Chiết tính'!H$1086</f>
        <v>123929.7</v>
      </c>
      <c r="G84" s="332">
        <f>'Công trình'!T142</f>
        <v>0</v>
      </c>
      <c r="H84" s="333">
        <f>'Chiết tính'!H$1097</f>
        <v>159531</v>
      </c>
      <c r="I84" s="333">
        <f t="shared" si="4"/>
        <v>264821.5</v>
      </c>
    </row>
    <row r="85" spans="1:9">
      <c r="A85" s="328">
        <v>44</v>
      </c>
      <c r="B85" s="329" t="str">
        <f>'Công trình'!F144</f>
        <v>Đóng cọc tre D80-D1000, 25c/m2, L=2.5m</v>
      </c>
      <c r="C85" s="330" t="str">
        <f>'Công trình'!G144</f>
        <v>100m</v>
      </c>
      <c r="D85" s="331">
        <f>ROUND('Công trình'!P144,4)</f>
        <v>1.5</v>
      </c>
      <c r="E85" s="332">
        <f>'Chiết tính'!H$1099</f>
        <v>644246.30000000005</v>
      </c>
      <c r="F85" s="332">
        <f>'Chiết tính'!H$1105</f>
        <v>483975.8</v>
      </c>
      <c r="G85" s="332">
        <f>'Công trình'!T144</f>
        <v>0</v>
      </c>
      <c r="H85" s="333">
        <f>'Chiết tính'!H$1116</f>
        <v>1452320</v>
      </c>
      <c r="I85" s="333">
        <f t="shared" si="4"/>
        <v>2178480</v>
      </c>
    </row>
    <row r="86" spans="1:9">
      <c r="A86" s="328">
        <v>45</v>
      </c>
      <c r="B86" s="329" t="str">
        <f>'Công trình'!F146</f>
        <v>Vét bùn đầu cọc</v>
      </c>
      <c r="C86" s="330" t="str">
        <f>'Công trình'!G146</f>
        <v>m3</v>
      </c>
      <c r="D86" s="331">
        <f>ROUND('Công trình'!P146,4)</f>
        <v>0.24</v>
      </c>
      <c r="E86" s="332">
        <f>'Công trình'!Q146+'Công trình'!R146</f>
        <v>0</v>
      </c>
      <c r="F86" s="332">
        <f>'Chiết tính'!H$1118</f>
        <v>316463.3</v>
      </c>
      <c r="G86" s="332">
        <f>'Công trình'!T146</f>
        <v>0</v>
      </c>
      <c r="H86" s="333">
        <f>'Chiết tính'!H$1129</f>
        <v>407372</v>
      </c>
      <c r="I86" s="333">
        <f t="shared" si="4"/>
        <v>97769.3</v>
      </c>
    </row>
    <row r="87" spans="1:9">
      <c r="A87" s="328">
        <v>46</v>
      </c>
      <c r="B87" s="329" t="str">
        <f>'Công trình'!F148</f>
        <v>Cát đen đệm đầu cọc</v>
      </c>
      <c r="C87" s="330" t="str">
        <f>'Công trình'!G148</f>
        <v>m3</v>
      </c>
      <c r="D87" s="331">
        <f>ROUND('Công trình'!P148,4)</f>
        <v>0.24</v>
      </c>
      <c r="E87" s="332">
        <f>'Chiết tính'!H$1131</f>
        <v>186660</v>
      </c>
      <c r="F87" s="332">
        <f>'Chiết tính'!H$1135</f>
        <v>99586.4</v>
      </c>
      <c r="G87" s="332">
        <f>'Công trình'!T148</f>
        <v>0</v>
      </c>
      <c r="H87" s="333">
        <f>'Chiết tính'!H$1146</f>
        <v>368475</v>
      </c>
      <c r="I87" s="333">
        <f t="shared" si="4"/>
        <v>88434</v>
      </c>
    </row>
    <row r="88" spans="1:9">
      <c r="A88" s="328">
        <v>47</v>
      </c>
      <c r="B88" s="329" t="str">
        <f>'Công trình'!F150</f>
        <v>Đá dăm 2x4 lót móng, dày 10cm</v>
      </c>
      <c r="C88" s="330" t="str">
        <f>'Công trình'!G150</f>
        <v>m3</v>
      </c>
      <c r="D88" s="331">
        <f>ROUND('Công trình'!P150,4)</f>
        <v>0.24</v>
      </c>
      <c r="E88" s="332">
        <f>'Chiết tính'!H$1148</f>
        <v>453000</v>
      </c>
      <c r="F88" s="332">
        <f>'Chiết tính'!H$1152</f>
        <v>420923.8</v>
      </c>
      <c r="G88" s="332">
        <f>'Công trình'!T150</f>
        <v>0</v>
      </c>
      <c r="H88" s="333">
        <f>'Chiết tính'!H$1163</f>
        <v>1124971</v>
      </c>
      <c r="I88" s="333">
        <f t="shared" si="4"/>
        <v>269993</v>
      </c>
    </row>
    <row r="89" spans="1:9">
      <c r="A89" s="328">
        <v>48</v>
      </c>
      <c r="B89" s="329" t="str">
        <f>'Công trình'!F152</f>
        <v>Ván khuôn gỗ móng</v>
      </c>
      <c r="C89" s="330" t="str">
        <f>'Công trình'!G152</f>
        <v>100m2</v>
      </c>
      <c r="D89" s="331">
        <f>ROUND('Công trình'!P152,4)</f>
        <v>1.3599999999999999E-2</v>
      </c>
      <c r="E89" s="332">
        <f>'Chiết tính'!H$1165</f>
        <v>6188316.2000000002</v>
      </c>
      <c r="F89" s="332">
        <f>'Chiết tính'!H$1172</f>
        <v>7781400</v>
      </c>
      <c r="G89" s="332">
        <f>'Công trình'!T152</f>
        <v>0</v>
      </c>
      <c r="H89" s="333">
        <f>'Chiết tính'!H$1183</f>
        <v>17982713</v>
      </c>
      <c r="I89" s="333">
        <f t="shared" si="4"/>
        <v>244564.9</v>
      </c>
    </row>
    <row r="90" spans="1:9">
      <c r="A90" s="328">
        <v>49</v>
      </c>
      <c r="B90" s="329" t="str">
        <f>'Công trình'!F154</f>
        <v>Bê tông móng M200, đá 1x2 dày 20cm</v>
      </c>
      <c r="C90" s="330" t="str">
        <f>'Công trình'!G154</f>
        <v>m3</v>
      </c>
      <c r="D90" s="331">
        <f>ROUND('Công trình'!P154,4)</f>
        <v>0.48</v>
      </c>
      <c r="E90" s="332">
        <f>'Chiết tính'!H$1185</f>
        <v>1040813.5</v>
      </c>
      <c r="F90" s="332">
        <f>'Chiết tính'!H$1192</f>
        <v>294698.2</v>
      </c>
      <c r="G90" s="332">
        <f>'Chiết tính'!H$1194</f>
        <v>54795.9</v>
      </c>
      <c r="H90" s="333">
        <f>'Chiết tính'!H$1207</f>
        <v>1789693</v>
      </c>
      <c r="I90" s="333">
        <f t="shared" si="4"/>
        <v>859052.6</v>
      </c>
    </row>
    <row r="91" spans="1:9">
      <c r="A91" s="328">
        <v>50</v>
      </c>
      <c r="B91" s="329" t="str">
        <f>'Công trình'!F156</f>
        <v>Trát tường ngoài, chiều dày trát 2cm, vữa XM mác 75, PCB30</v>
      </c>
      <c r="C91" s="330" t="str">
        <f>'Công trình'!G156</f>
        <v>m2</v>
      </c>
      <c r="D91" s="331">
        <f>ROUND('Công trình'!P156,4)</f>
        <v>10.62</v>
      </c>
      <c r="E91" s="332">
        <f>'Chiết tính'!H$1209</f>
        <v>24806.9</v>
      </c>
      <c r="F91" s="332">
        <f>'Chiết tính'!H$1215</f>
        <v>83840</v>
      </c>
      <c r="G91" s="332">
        <f>'Chiết tính'!H$1217</f>
        <v>880.1</v>
      </c>
      <c r="H91" s="333">
        <f>'Chiết tính'!H$1228</f>
        <v>140990</v>
      </c>
      <c r="I91" s="333">
        <f t="shared" si="4"/>
        <v>1497313.8</v>
      </c>
    </row>
    <row r="92" spans="1:9">
      <c r="A92" s="328">
        <v>51</v>
      </c>
      <c r="B92" s="329" t="str">
        <f>'Công trình'!F158</f>
        <v>Ván khuôn gỗ. Ván khuôn cổ tường</v>
      </c>
      <c r="C92" s="330" t="str">
        <f>'Công trình'!G158</f>
        <v>100m2</v>
      </c>
      <c r="D92" s="331">
        <f>ROUND('Công trình'!P158,4)</f>
        <v>9.2999999999999992E-3</v>
      </c>
      <c r="E92" s="332">
        <f>'Chiết tính'!H$1230</f>
        <v>8793002.5</v>
      </c>
      <c r="F92" s="332">
        <f>'Chiết tính'!H$1237</f>
        <v>7205000</v>
      </c>
      <c r="G92" s="332">
        <f>'Công trình'!T158</f>
        <v>0</v>
      </c>
      <c r="H92" s="333">
        <f>'Chiết tính'!H$1248</f>
        <v>20593653</v>
      </c>
      <c r="I92" s="333">
        <f t="shared" si="4"/>
        <v>191521</v>
      </c>
    </row>
    <row r="93" spans="1:9">
      <c r="A93" s="328">
        <v>52</v>
      </c>
      <c r="B93" s="329" t="str">
        <f>'Công trình'!F160</f>
        <v>Bê tông cổ tường M250, đá 1x2</v>
      </c>
      <c r="C93" s="330" t="str">
        <f>'Công trình'!G160</f>
        <v>m3</v>
      </c>
      <c r="D93" s="331">
        <f>ROUND('Công trình'!P160,4)</f>
        <v>0.13</v>
      </c>
      <c r="E93" s="332">
        <f>'Chiết tính'!H$1250</f>
        <v>1099539</v>
      </c>
      <c r="F93" s="332">
        <f>'Chiết tính'!H$1257</f>
        <v>639710.6</v>
      </c>
      <c r="G93" s="332">
        <f>'Chiết tính'!H$1259</f>
        <v>79863</v>
      </c>
      <c r="H93" s="333">
        <f>'Chiết tính'!H$1272</f>
        <v>2341678</v>
      </c>
      <c r="I93" s="333">
        <f t="shared" si="4"/>
        <v>304418.09999999998</v>
      </c>
    </row>
    <row r="94" spans="1:9">
      <c r="A94" s="328">
        <v>53</v>
      </c>
      <c r="B94" s="329" t="str">
        <f>'Công trình'!F162</f>
        <v>Công tác gia công lắp dựng cốt thép. Cốt thép cổ tường</v>
      </c>
      <c r="C94" s="330" t="str">
        <f>'Công trình'!G162</f>
        <v>tấn</v>
      </c>
      <c r="D94" s="331">
        <f>ROUND('Công trình'!P162,4)</f>
        <v>3.0999999999999999E-3</v>
      </c>
      <c r="E94" s="332">
        <f>'Chiết tính'!H$1274</f>
        <v>16968180</v>
      </c>
      <c r="F94" s="332">
        <f>'Chiết tính'!H$1278</f>
        <v>4032180</v>
      </c>
      <c r="G94" s="332">
        <f>'Chiết tính'!H$1280</f>
        <v>111836.4</v>
      </c>
      <c r="H94" s="333">
        <f>'Chiết tính'!H$1291</f>
        <v>27176971</v>
      </c>
      <c r="I94" s="333">
        <f t="shared" si="4"/>
        <v>84248.6</v>
      </c>
    </row>
    <row r="95" spans="1:9" ht="31.5">
      <c r="A95" s="328">
        <v>54</v>
      </c>
      <c r="B95" s="329" t="str">
        <f>'Công trình'!F164</f>
        <v>Công tác gia công lắp dựng cốt thép. Cốt thép xà dầm, giằng, đường kính cốt thép &lt;= 18mm, chiều cao &lt;= 6m</v>
      </c>
      <c r="C95" s="330" t="str">
        <f>'Công trình'!G164</f>
        <v>tấn</v>
      </c>
      <c r="D95" s="331">
        <f>ROUND('Công trình'!P164,4)</f>
        <v>1.26E-2</v>
      </c>
      <c r="E95" s="332">
        <f>'Chiết tính'!H$1293</f>
        <v>17170220</v>
      </c>
      <c r="F95" s="332">
        <f>'Chiết tính'!H$1298</f>
        <v>2420880</v>
      </c>
      <c r="G95" s="332">
        <f>'Chiết tính'!H$1300</f>
        <v>545678.30000000005</v>
      </c>
      <c r="H95" s="333">
        <f>'Chiết tính'!H$1313</f>
        <v>25921350</v>
      </c>
      <c r="I95" s="333">
        <f t="shared" si="4"/>
        <v>326609</v>
      </c>
    </row>
    <row r="96" spans="1:9" s="340" customFormat="1">
      <c r="A96" s="334">
        <v>55</v>
      </c>
      <c r="B96" s="335" t="s">
        <v>1353</v>
      </c>
      <c r="C96" s="336" t="s">
        <v>52</v>
      </c>
      <c r="D96" s="337">
        <v>1.3599999999999999E-2</v>
      </c>
      <c r="E96" s="338"/>
      <c r="F96" s="338"/>
      <c r="G96" s="338"/>
      <c r="H96" s="339">
        <f>H97+H98</f>
        <v>7548443</v>
      </c>
      <c r="I96" s="339">
        <f>H96*D96</f>
        <v>102658.82479999999</v>
      </c>
    </row>
    <row r="97" spans="1:9" hidden="1">
      <c r="A97" s="351">
        <f>'Công trình'!A166</f>
        <v>55</v>
      </c>
      <c r="B97" s="352" t="str">
        <f>'Công trình'!F166</f>
        <v>Vận chuyển đất cấp II</v>
      </c>
      <c r="C97" s="352" t="str">
        <f>'Công trình'!G166</f>
        <v>100m3</v>
      </c>
      <c r="D97" s="353">
        <f>ROUND('Công trình'!P166,4)</f>
        <v>1.3599999999999999E-2</v>
      </c>
      <c r="E97" s="354">
        <f>'Công trình'!Q166+'Công trình'!R166</f>
        <v>0</v>
      </c>
      <c r="F97" s="354">
        <f>'Công trình'!S166</f>
        <v>0</v>
      </c>
      <c r="G97" s="354">
        <f>'Chiết tính'!H$1315</f>
        <v>2313202.9</v>
      </c>
      <c r="H97" s="354">
        <f>'Chiết tính'!H$1326</f>
        <v>2977703</v>
      </c>
      <c r="I97" s="354"/>
    </row>
    <row r="98" spans="1:9" ht="31.5" hidden="1">
      <c r="A98" s="351">
        <f>'Công trình'!A168</f>
        <v>56</v>
      </c>
      <c r="B98" s="352" t="str">
        <f>'Công trình'!F168</f>
        <v>Vận chuyển đất bằng ô tô tự đổ 5T 1km tiếp theo ngoài phạm vi 5km, đất cấp II</v>
      </c>
      <c r="C98" s="352" t="str">
        <f>'Công trình'!G168</f>
        <v>100m3</v>
      </c>
      <c r="D98" s="353">
        <f>ROUND('Công trình'!P168,4)</f>
        <v>1.3599999999999999E-2</v>
      </c>
      <c r="E98" s="354">
        <f>'Công trình'!Q168+'Công trình'!R168</f>
        <v>0</v>
      </c>
      <c r="F98" s="354">
        <f>'Công trình'!S168</f>
        <v>0</v>
      </c>
      <c r="G98" s="354">
        <f>'Chiết tính'!H$1328</f>
        <v>3550740.4</v>
      </c>
      <c r="H98" s="354">
        <f>'Chiết tính'!H$1339</f>
        <v>4570740</v>
      </c>
      <c r="I98" s="354"/>
    </row>
    <row r="99" spans="1:9" hidden="1">
      <c r="A99" s="355"/>
      <c r="B99" s="356" t="str">
        <f>"KẾT THÚC : "&amp;B26</f>
        <v>KẾT THÚC : HỆ THỐNG THOÁT NƯỚC</v>
      </c>
      <c r="C99" s="357"/>
      <c r="D99" s="358"/>
      <c r="E99" s="359"/>
      <c r="F99" s="359"/>
      <c r="G99" s="359"/>
      <c r="H99" s="359"/>
      <c r="I99" s="359"/>
    </row>
    <row r="100" spans="1:9">
      <c r="A100" s="360"/>
      <c r="B100" s="361" t="s">
        <v>1357</v>
      </c>
      <c r="C100" s="362"/>
      <c r="D100" s="363"/>
      <c r="E100" s="364"/>
      <c r="F100" s="364"/>
      <c r="G100" s="364"/>
      <c r="H100" s="364"/>
      <c r="I100" s="365" t="e">
        <f>ROUND(SUM(I7:I96),-3)</f>
        <v>#REF!</v>
      </c>
    </row>
    <row r="101" spans="1:9">
      <c r="A101" s="1058" t="s">
        <v>1366</v>
      </c>
      <c r="B101" s="1059"/>
      <c r="C101" s="1059"/>
      <c r="D101" s="1060"/>
      <c r="E101" s="1061"/>
      <c r="F101" s="1061"/>
      <c r="G101" s="1061"/>
      <c r="H101" s="1061"/>
      <c r="I101" s="1062"/>
    </row>
    <row r="103" spans="1:9" s="314" customFormat="1" ht="15" customHeight="1">
      <c r="B103" s="315" t="s">
        <v>1365</v>
      </c>
      <c r="D103" s="846" t="s">
        <v>1358</v>
      </c>
      <c r="E103" s="846"/>
      <c r="F103" s="846"/>
      <c r="G103" s="846"/>
      <c r="H103" s="846"/>
      <c r="I103" s="846"/>
    </row>
    <row r="111" spans="1:9">
      <c r="I111" s="365">
        <v>2048507000</v>
      </c>
    </row>
  </sheetData>
  <mergeCells count="5">
    <mergeCell ref="A1:I1"/>
    <mergeCell ref="A2:I2"/>
    <mergeCell ref="A3:I3"/>
    <mergeCell ref="A101:I101"/>
    <mergeCell ref="D103:I103"/>
  </mergeCells>
  <pageMargins left="0.98425196850393704" right="0.78740157480314965" top="0.78740157480314965" bottom="0.78740157480314965" header="0.39370078740157483" footer="0.39370078740157483"/>
  <pageSetup paperSize="9" scale="76" fitToHeight="0" orientation="portrait" blackAndWhite="1" useFirstPageNumber="1" r:id="rId1"/>
  <headerFooter alignWithMargins="0">
    <oddFooter>&amp;CTrang: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S125"/>
  <sheetViews>
    <sheetView topLeftCell="A84" workbookViewId="0">
      <selection activeCell="I126" sqref="I126"/>
    </sheetView>
  </sheetViews>
  <sheetFormatPr defaultColWidth="10" defaultRowHeight="10.5"/>
  <cols>
    <col min="1" max="1" width="6.5" customWidth="1"/>
    <col min="2" max="2" width="12.1640625" hidden="1" customWidth="1"/>
    <col min="3" max="3" width="45.83203125" customWidth="1"/>
    <col min="4" max="4" width="9.33203125" customWidth="1"/>
    <col min="5" max="5" width="13.33203125" style="293" customWidth="1"/>
    <col min="6" max="8" width="13.33203125" hidden="1" customWidth="1"/>
    <col min="9" max="9" width="14.1640625" customWidth="1"/>
    <col min="10" max="10" width="18.1640625" customWidth="1"/>
    <col min="11" max="12" width="14.1640625" hidden="1" customWidth="1"/>
    <col min="16" max="16" width="10.83203125" bestFit="1" customWidth="1"/>
    <col min="19" max="19" width="10.83203125" bestFit="1" customWidth="1"/>
  </cols>
  <sheetData>
    <row r="1" spans="1:12" ht="19.5">
      <c r="A1" s="981" t="s">
        <v>1092</v>
      </c>
      <c r="B1" s="982"/>
      <c r="C1" s="982"/>
      <c r="D1" s="982"/>
      <c r="E1" s="982"/>
      <c r="F1" s="982"/>
      <c r="G1" s="982"/>
      <c r="H1" s="982"/>
      <c r="I1" s="982"/>
      <c r="J1" s="982"/>
      <c r="K1" s="982"/>
      <c r="L1" s="982"/>
    </row>
    <row r="2" spans="1:12">
      <c r="A2" s="983" t="str">
        <f>'Công trình'!A2</f>
        <v>CÔNG TRÌNH : SỬA CHỮA TUYẾN ĐƯỜNG TỪ NHÀ BÀ TRƯỜNG, TỔ 5 PHƯỜNG VẠN HƯƠNG ĐẾN NHÀ BÀ KIM, TỔ DÂN PHỐ BẮC HẢI PHƯỜNG BÀNG LA</v>
      </c>
      <c r="B2" s="982"/>
      <c r="C2" s="982"/>
      <c r="D2" s="982"/>
      <c r="E2" s="982"/>
      <c r="F2" s="982"/>
      <c r="G2" s="982"/>
      <c r="H2" s="982"/>
      <c r="I2" s="982"/>
      <c r="J2" s="982"/>
      <c r="K2" s="982"/>
      <c r="L2" s="982"/>
    </row>
    <row r="3" spans="1:12">
      <c r="A3" s="1007" t="str">
        <f>'Công trình'!F6</f>
        <v>SỬA CHỮA NỀN MẶT ĐƯỜNG, HỆ THỐNG THOÁT NƯỚC</v>
      </c>
      <c r="B3" s="982"/>
      <c r="C3" s="982"/>
      <c r="D3" s="982"/>
      <c r="E3" s="982"/>
      <c r="F3" s="982"/>
      <c r="G3" s="982"/>
      <c r="H3" s="982"/>
      <c r="I3" s="982"/>
      <c r="J3" s="982"/>
      <c r="K3" s="982"/>
      <c r="L3" s="982"/>
    </row>
    <row r="4" spans="1:12" ht="28.5">
      <c r="A4" s="4" t="s">
        <v>4</v>
      </c>
      <c r="B4" s="1" t="s">
        <v>357</v>
      </c>
      <c r="C4" s="1" t="s">
        <v>778</v>
      </c>
      <c r="D4" s="1" t="s">
        <v>359</v>
      </c>
      <c r="E4" s="289" t="s">
        <v>17</v>
      </c>
      <c r="F4" s="1" t="str">
        <f>"Vật liệu_x000D_
"&amp;'Công trình'!AL1</f>
        <v>Vật liệu_x000D_
(đ)</v>
      </c>
      <c r="G4" s="1" t="str">
        <f>"Nhân công_x000D_
"&amp;'Công trình'!AL1</f>
        <v>Nhân công_x000D_
(đ)</v>
      </c>
      <c r="H4" s="1" t="str">
        <f>"Máy_x000D_
"&amp;'Công trình'!AL1</f>
        <v>Máy_x000D_
(đ)</v>
      </c>
      <c r="I4" s="1" t="str">
        <f>"Đơn giá_x000D_
"&amp;'Công trình'!AL1</f>
        <v>Đơn giá_x000D_
(đ)</v>
      </c>
      <c r="J4" s="1" t="str">
        <f>"Thành tiền_x000D_
"&amp;'Công trình'!AL1</f>
        <v>Thành tiền_x000D_
(đ)</v>
      </c>
      <c r="K4" s="1"/>
      <c r="L4" s="1"/>
    </row>
    <row r="5" spans="1:12" s="311" customFormat="1" ht="16.5">
      <c r="A5" s="307" t="s">
        <v>364</v>
      </c>
      <c r="B5" s="308" t="str">
        <f>'Công trình'!E7</f>
        <v>*</v>
      </c>
      <c r="C5" s="3" t="str">
        <f>'Công trình'!F7</f>
        <v>SỬA CHỮA NỀN MẶT ĐƯỜNG:</v>
      </c>
      <c r="D5" s="308"/>
      <c r="E5" s="309"/>
      <c r="F5" s="69"/>
      <c r="G5" s="69"/>
      <c r="H5" s="69"/>
      <c r="I5" s="69"/>
      <c r="J5" s="69"/>
      <c r="K5" s="310"/>
      <c r="L5" s="310"/>
    </row>
    <row r="6" spans="1:12" ht="16.5" hidden="1">
      <c r="A6" s="294"/>
      <c r="B6" s="295"/>
      <c r="C6" s="296" t="str">
        <f>'Công trình'!F8</f>
        <v>NỀN ĐƯỜNG:</v>
      </c>
      <c r="D6" s="295"/>
      <c r="E6" s="297"/>
      <c r="F6" s="298"/>
      <c r="G6" s="298"/>
      <c r="H6" s="298"/>
      <c r="I6" s="298"/>
      <c r="J6" s="298"/>
      <c r="K6" s="250"/>
      <c r="L6" s="250"/>
    </row>
    <row r="7" spans="1:12" ht="33">
      <c r="A7" s="12">
        <v>1</v>
      </c>
      <c r="B7" s="13" t="str">
        <f>'Công trình'!E9</f>
        <v>AA.22310</v>
      </c>
      <c r="C7" s="14" t="str">
        <f>'Công trình'!F9</f>
        <v>Phá dỡ kết cấu bê tông bằng máy đào 1,25m3 gắn đầu búa thủy lực</v>
      </c>
      <c r="D7" s="13" t="str">
        <f>'Công trình'!G9</f>
        <v>m3</v>
      </c>
      <c r="E7" s="290">
        <f>ROUND('Công trình'!P9,4)</f>
        <v>90.89</v>
      </c>
      <c r="F7" s="15">
        <f>'Công trình'!Q9+'Công trình'!R9</f>
        <v>0</v>
      </c>
      <c r="G7" s="15">
        <f>'Chiết tính'!H$7</f>
        <v>2876.9</v>
      </c>
      <c r="H7" s="15">
        <f>'Chiết tính'!H$9</f>
        <v>94446</v>
      </c>
      <c r="I7" s="15">
        <f>'Chiết tính'!H$20</f>
        <v>125280</v>
      </c>
      <c r="J7" s="15">
        <f>ROUND(IF(E$5=0,E7*I7,E$5*E7*I7),1)</f>
        <v>11386699.199999999</v>
      </c>
      <c r="K7" s="250"/>
      <c r="L7" s="250"/>
    </row>
    <row r="8" spans="1:12" ht="16.5">
      <c r="A8" s="12">
        <v>2</v>
      </c>
      <c r="B8" s="13" t="str">
        <f>'Công trình'!E11</f>
        <v>AB.31122</v>
      </c>
      <c r="C8" s="14" t="str">
        <f>'Công trình'!F11</f>
        <v>Đào nền đường, đất cấp II</v>
      </c>
      <c r="D8" s="13" t="str">
        <f>'Công trình'!G11</f>
        <v>100m3</v>
      </c>
      <c r="E8" s="290">
        <f>ROUND('Công trình'!P11,4)</f>
        <v>7.7824999999999998</v>
      </c>
      <c r="F8" s="15">
        <f>'Công trình'!Q11+'Công trình'!R11</f>
        <v>0</v>
      </c>
      <c r="G8" s="15">
        <f>'Chiết tính'!H$22</f>
        <v>759069.3</v>
      </c>
      <c r="H8" s="15">
        <f>'Chiết tính'!H$24</f>
        <v>1149661.3</v>
      </c>
      <c r="I8" s="15">
        <f>'Chiết tính'!H$37</f>
        <v>2457040</v>
      </c>
      <c r="J8" s="15">
        <f>ROUND(IF(E$5=0,E8*I8,E$5*E8*I8),1)</f>
        <v>19121913.800000001</v>
      </c>
      <c r="K8" s="250"/>
      <c r="L8" s="250"/>
    </row>
    <row r="9" spans="1:12" ht="16.5">
      <c r="A9" s="12">
        <v>3</v>
      </c>
      <c r="B9" s="13" t="str">
        <f>'Công trình'!E13</f>
        <v>AB.64113</v>
      </c>
      <c r="C9" s="14" t="str">
        <f>'Công trình'!F13</f>
        <v>Lớp đất núi đầm chặt K95, dày 30cm</v>
      </c>
      <c r="D9" s="13" t="str">
        <f>'Công trình'!G13</f>
        <v>100m3</v>
      </c>
      <c r="E9" s="290">
        <f>ROUND('Công trình'!P13,4)</f>
        <v>5.2055999999999996</v>
      </c>
      <c r="F9" s="15">
        <f>'Công trình'!Q13+'Công trình'!R13</f>
        <v>0</v>
      </c>
      <c r="G9" s="15">
        <f>'Chiết tính'!H$39</f>
        <v>365150</v>
      </c>
      <c r="H9" s="15">
        <f>'Chiết tính'!H$41</f>
        <v>944559.5</v>
      </c>
      <c r="I9" s="15">
        <f>'Chiết tính'!H$55</f>
        <v>1685943</v>
      </c>
      <c r="J9" s="15">
        <f>ROUND(IF(E$5=0,E9*I9,E$5*E9*I9),1)</f>
        <v>8776344.9000000004</v>
      </c>
      <c r="K9" s="250"/>
      <c r="L9" s="250"/>
    </row>
    <row r="10" spans="1:12" ht="16.5">
      <c r="A10" s="12">
        <v>4</v>
      </c>
      <c r="B10" s="13" t="str">
        <f>'Công trình'!E15</f>
        <v>TT</v>
      </c>
      <c r="C10" s="14" t="str">
        <f>'Công trình'!F15</f>
        <v>Tiền đất núi</v>
      </c>
      <c r="D10" s="13" t="str">
        <f>'Công trình'!G15</f>
        <v>m3</v>
      </c>
      <c r="E10" s="290">
        <f>ROUND('Công trình'!P15,4)</f>
        <v>588.2328</v>
      </c>
      <c r="F10" s="15">
        <f>'Chiết tính'!H$57</f>
        <v>190000</v>
      </c>
      <c r="G10" s="15">
        <f>'Công trình'!S15</f>
        <v>0</v>
      </c>
      <c r="H10" s="15">
        <f>'Công trình'!T15</f>
        <v>0</v>
      </c>
      <c r="I10" s="15">
        <f>'Chiết tính'!H$68</f>
        <v>244581</v>
      </c>
      <c r="J10" s="15">
        <f>ROUND(IF(E$5=0,E10*I10,E$5*E10*I10),1)</f>
        <v>143870566.5</v>
      </c>
      <c r="K10" s="250"/>
      <c r="L10" s="250"/>
    </row>
    <row r="11" spans="1:12" ht="16.5">
      <c r="A11" s="12">
        <v>5</v>
      </c>
      <c r="B11" s="13" t="str">
        <f>'Công trình'!E17</f>
        <v>AD.11222</v>
      </c>
      <c r="C11" s="14" t="str">
        <f>'Công trình'!F17</f>
        <v>Cấp phối đá dăm loại I, lớp trên dày 18 cm</v>
      </c>
      <c r="D11" s="13" t="str">
        <f>'Công trình'!G17</f>
        <v>100m3</v>
      </c>
      <c r="E11" s="290">
        <f>ROUND('Công trình'!P17,4)</f>
        <v>3.1234000000000002</v>
      </c>
      <c r="F11" s="15">
        <f>'Chiết tính'!H$70</f>
        <v>36180000</v>
      </c>
      <c r="G11" s="15">
        <f>'Chiết tính'!H$72</f>
        <v>843363.8</v>
      </c>
      <c r="H11" s="15">
        <f>'Chiết tính'!H$74</f>
        <v>2714101.5</v>
      </c>
      <c r="I11" s="15">
        <f>'Chiết tính'!H$91</f>
        <v>51152608</v>
      </c>
      <c r="J11" s="15">
        <f>ROUND(IF(E$5=0,E11*I11,E$5*E11*I11),1)</f>
        <v>159770055.80000001</v>
      </c>
      <c r="K11" s="250"/>
      <c r="L11" s="250"/>
    </row>
    <row r="12" spans="1:12" s="305" customFormat="1" ht="16.5">
      <c r="A12" s="299">
        <v>6</v>
      </c>
      <c r="B12" s="300"/>
      <c r="C12" s="301" t="s">
        <v>1353</v>
      </c>
      <c r="D12" s="300" t="s">
        <v>52</v>
      </c>
      <c r="E12" s="302">
        <v>0.90890000000000004</v>
      </c>
      <c r="F12" s="303"/>
      <c r="G12" s="303"/>
      <c r="H12" s="303"/>
      <c r="I12" s="303">
        <f>I13+I14</f>
        <v>8951034</v>
      </c>
      <c r="J12" s="303">
        <f>I12*E12</f>
        <v>8135594.8026000001</v>
      </c>
      <c r="K12" s="304"/>
      <c r="L12" s="304"/>
    </row>
    <row r="13" spans="1:12" ht="16.5" hidden="1">
      <c r="A13" s="294">
        <f>'Công trình'!A19</f>
        <v>6</v>
      </c>
      <c r="B13" s="295" t="str">
        <f>'Công trình'!E19</f>
        <v>AB.41413</v>
      </c>
      <c r="C13" s="296" t="str">
        <f>'Công trình'!F19</f>
        <v xml:space="preserve">Vận chuyển đất bằng ôtô tự đổ 5 tấn </v>
      </c>
      <c r="D13" s="295" t="str">
        <f>'Công trình'!G19</f>
        <v>100m3</v>
      </c>
      <c r="E13" s="297">
        <f>ROUND('Công trình'!P19,4)</f>
        <v>0.90890000000000004</v>
      </c>
      <c r="F13" s="298">
        <f>'Công trình'!Q19+'Công trình'!R19</f>
        <v>0</v>
      </c>
      <c r="G13" s="298">
        <f>'Công trình'!S19</f>
        <v>0</v>
      </c>
      <c r="H13" s="298">
        <f>'Chiết tính'!H$93</f>
        <v>2978096.4</v>
      </c>
      <c r="I13" s="298">
        <f>'Chiết tính'!H$104</f>
        <v>3833597</v>
      </c>
      <c r="J13" s="298"/>
      <c r="K13" s="250"/>
      <c r="L13" s="250"/>
    </row>
    <row r="14" spans="1:12" ht="33" hidden="1">
      <c r="A14" s="294">
        <f>'Công trình'!A22</f>
        <v>7</v>
      </c>
      <c r="B14" s="295" t="str">
        <f>'Công trình'!E22</f>
        <v>AB.42213</v>
      </c>
      <c r="C14" s="296" t="str">
        <f>'Công trình'!F22</f>
        <v>Vận chuyển đất bằng ô tô tự đổ 5T 1km tiếp theo ngoài phạm vi 5km, đất cấp III</v>
      </c>
      <c r="D14" s="295" t="str">
        <f>'Công trình'!G22</f>
        <v>100m3</v>
      </c>
      <c r="E14" s="297">
        <f>ROUND('Công trình'!P22,4)</f>
        <v>0.90890000000000004</v>
      </c>
      <c r="F14" s="298">
        <f>'Công trình'!Q22+'Công trình'!R22</f>
        <v>0</v>
      </c>
      <c r="G14" s="298">
        <f>'Công trình'!S22</f>
        <v>0</v>
      </c>
      <c r="H14" s="298">
        <f>'Chiết tính'!H$106</f>
        <v>3975436.8</v>
      </c>
      <c r="I14" s="298">
        <f>'Chiết tính'!H$117</f>
        <v>5117437</v>
      </c>
      <c r="J14" s="298"/>
      <c r="K14" s="250"/>
      <c r="L14" s="250"/>
    </row>
    <row r="15" spans="1:12" s="305" customFormat="1" ht="16.5">
      <c r="A15" s="299">
        <v>7</v>
      </c>
      <c r="B15" s="300"/>
      <c r="C15" s="301" t="s">
        <v>1353</v>
      </c>
      <c r="D15" s="300" t="s">
        <v>52</v>
      </c>
      <c r="E15" s="302">
        <v>7.7824999999999998</v>
      </c>
      <c r="F15" s="303"/>
      <c r="G15" s="303"/>
      <c r="H15" s="303"/>
      <c r="I15" s="303">
        <f>I16+I17</f>
        <v>7548443</v>
      </c>
      <c r="J15" s="303">
        <f>I15*E15</f>
        <v>58745757.647500001</v>
      </c>
      <c r="K15" s="304"/>
      <c r="L15" s="304"/>
    </row>
    <row r="16" spans="1:12" ht="33" hidden="1">
      <c r="A16" s="294">
        <f>'Công trình'!A24</f>
        <v>7</v>
      </c>
      <c r="B16" s="295" t="str">
        <f>'Công trình'!E24</f>
        <v>AB.41412</v>
      </c>
      <c r="C16" s="296" t="str">
        <f>'Công trình'!F24</f>
        <v>Vận chuyển đất bằng ôtô tự đổ 5 tấn trong phạm vi &lt;= 1000m, đất cấp II</v>
      </c>
      <c r="D16" s="295" t="str">
        <f>'Công trình'!G24</f>
        <v>100m3</v>
      </c>
      <c r="E16" s="297">
        <f>ROUND('Công trình'!P24,4)</f>
        <v>7.7824999999999998</v>
      </c>
      <c r="F16" s="298">
        <f>'Công trình'!Q24+'Công trình'!R24</f>
        <v>0</v>
      </c>
      <c r="G16" s="298">
        <f>'Công trình'!S24</f>
        <v>0</v>
      </c>
      <c r="H16" s="298">
        <f>'Chiết tính'!H$119</f>
        <v>2313202.9</v>
      </c>
      <c r="I16" s="298">
        <f>'Chiết tính'!H$130</f>
        <v>2977703</v>
      </c>
      <c r="J16" s="298"/>
      <c r="K16" s="250"/>
      <c r="L16" s="250"/>
    </row>
    <row r="17" spans="1:12" ht="33" hidden="1">
      <c r="A17" s="294">
        <f>'Công trình'!A27</f>
        <v>9</v>
      </c>
      <c r="B17" s="295" t="str">
        <f>'Công trình'!E27</f>
        <v>AB.42212</v>
      </c>
      <c r="C17" s="296" t="str">
        <f>'Công trình'!F27</f>
        <v>Vận chuyển đất bằng ô tô tự đổ 5T 1km tiếp theo ngoài phạm vi 5km, đất cấp II</v>
      </c>
      <c r="D17" s="295" t="str">
        <f>'Công trình'!G27</f>
        <v>100m3</v>
      </c>
      <c r="E17" s="297">
        <f>ROUND('Công trình'!P27,4)</f>
        <v>7.7824999999999998</v>
      </c>
      <c r="F17" s="298">
        <f>'Công trình'!Q27+'Công trình'!R27</f>
        <v>0</v>
      </c>
      <c r="G17" s="298">
        <f>'Công trình'!S27</f>
        <v>0</v>
      </c>
      <c r="H17" s="298">
        <f>'Chiết tính'!H$132</f>
        <v>3550740.4</v>
      </c>
      <c r="I17" s="298">
        <f>'Chiết tính'!H$143</f>
        <v>4570740</v>
      </c>
      <c r="J17" s="298"/>
      <c r="K17" s="250"/>
      <c r="L17" s="250"/>
    </row>
    <row r="18" spans="1:12" ht="16.5" hidden="1">
      <c r="A18" s="294"/>
      <c r="B18" s="295"/>
      <c r="C18" s="296" t="str">
        <f>'Công trình'!F29</f>
        <v>I.B. MẶT ĐƯỜNG</v>
      </c>
      <c r="D18" s="295"/>
      <c r="E18" s="297"/>
      <c r="F18" s="298"/>
      <c r="G18" s="298"/>
      <c r="H18" s="298"/>
      <c r="I18" s="298"/>
      <c r="J18" s="298"/>
      <c r="K18" s="250"/>
      <c r="L18" s="250"/>
    </row>
    <row r="19" spans="1:12" ht="16.5">
      <c r="A19" s="12">
        <v>8</v>
      </c>
      <c r="B19" s="13" t="str">
        <f>'Công trình'!E30</f>
        <v>AL.16122</v>
      </c>
      <c r="C19" s="14" t="str">
        <f>'Công trình'!F30</f>
        <v>Nilon chống mất nước xi măng</v>
      </c>
      <c r="D19" s="13" t="str">
        <f>'Công trình'!G30</f>
        <v>100m2</v>
      </c>
      <c r="E19" s="290">
        <f>ROUND('Công trình'!P30,4)</f>
        <v>17.352</v>
      </c>
      <c r="F19" s="15">
        <f>'Chiết tính'!H$145</f>
        <v>1104705</v>
      </c>
      <c r="G19" s="15">
        <f>'Chiết tính'!H$149</f>
        <v>282960</v>
      </c>
      <c r="H19" s="15">
        <f>'Công trình'!T30</f>
        <v>0</v>
      </c>
      <c r="I19" s="15">
        <f>'Chiết tính'!H$160</f>
        <v>1786291</v>
      </c>
      <c r="J19" s="15">
        <f t="shared" ref="J19:J24" si="0">ROUND(IF(E$5=0,E19*I19,E$5*E19*I19),1)</f>
        <v>30995721.399999999</v>
      </c>
      <c r="K19" s="250"/>
      <c r="L19" s="250"/>
    </row>
    <row r="20" spans="1:12" ht="16.5">
      <c r="A20" s="12">
        <v>9</v>
      </c>
      <c r="B20" s="13" t="str">
        <f>'Công trình'!E32</f>
        <v>AF.82411</v>
      </c>
      <c r="C20" s="14" t="str">
        <f>'Công trình'!F32</f>
        <v>Ván khuôn thép. Ván khuôn mặt đường</v>
      </c>
      <c r="D20" s="13" t="str">
        <f>'Công trình'!G32</f>
        <v>100m2</v>
      </c>
      <c r="E20" s="290">
        <f>ROUND('Công trình'!P32,4)</f>
        <v>1.8123</v>
      </c>
      <c r="F20" s="15">
        <f>'Chiết tính'!H$162</f>
        <v>686437.5</v>
      </c>
      <c r="G20" s="15">
        <f>'Chiết tính'!H$167</f>
        <v>3270692</v>
      </c>
      <c r="H20" s="15">
        <f>'Chiết tính'!H$169</f>
        <v>172497.8</v>
      </c>
      <c r="I20" s="15">
        <f>'Chiết tính'!H$182</f>
        <v>5315921</v>
      </c>
      <c r="J20" s="15">
        <f t="shared" si="0"/>
        <v>9634043.5999999996</v>
      </c>
      <c r="K20" s="250"/>
      <c r="L20" s="250"/>
    </row>
    <row r="21" spans="1:12" ht="49.5">
      <c r="A21" s="12">
        <v>10</v>
      </c>
      <c r="B21" s="13" t="str">
        <f>'Công trình'!E34</f>
        <v>AF.15434A</v>
      </c>
      <c r="C21" s="14" t="str">
        <f>'Công trình'!F34</f>
        <v>Đổ bê tông thủ công bằng máy trộn, bê tông mặt đường, chiều dày mặt đường &lt;=25 cm, đá 2x4, mác 250, PCB30</v>
      </c>
      <c r="D21" s="13" t="str">
        <f>'Công trình'!G34</f>
        <v>m3</v>
      </c>
      <c r="E21" s="290">
        <f>ROUND('Công trình'!P34,4)</f>
        <v>354.86</v>
      </c>
      <c r="F21" s="15">
        <f>'Chiết tính'!H$184</f>
        <v>1082427</v>
      </c>
      <c r="G21" s="15">
        <f>'Chiết tính'!H$191</f>
        <v>358940</v>
      </c>
      <c r="H21" s="15">
        <f>'Chiết tính'!H$193</f>
        <v>80577.899999999994</v>
      </c>
      <c r="I21" s="15">
        <f>'Chiết tính'!H$208</f>
        <v>1959145</v>
      </c>
      <c r="J21" s="15">
        <f t="shared" si="0"/>
        <v>695222194.70000005</v>
      </c>
      <c r="K21" s="250"/>
      <c r="L21" s="250"/>
    </row>
    <row r="22" spans="1:12" ht="33">
      <c r="A22" s="12">
        <v>11</v>
      </c>
      <c r="B22" s="13" t="str">
        <f>'Công trình'!E37</f>
        <v>AK.41114A (VD)</v>
      </c>
      <c r="C22" s="14" t="str">
        <f>'Công trình'!F37</f>
        <v>Đánh bóng bề mặt đường BTXM bằng máy xoa, kết hợp bổ sung xi măng</v>
      </c>
      <c r="D22" s="13" t="str">
        <f>'Công trình'!G37</f>
        <v>m2</v>
      </c>
      <c r="E22" s="290">
        <f>ROUND('Công trình'!P37,4)</f>
        <v>1735.2</v>
      </c>
      <c r="F22" s="15">
        <f>'Chiết tính'!H$210</f>
        <v>11144.5</v>
      </c>
      <c r="G22" s="15">
        <f>'Chiết tính'!H$215</f>
        <v>9669.9</v>
      </c>
      <c r="H22" s="15">
        <f>'Chiết tính'!H$217</f>
        <v>4000</v>
      </c>
      <c r="I22" s="15">
        <f>'Chiết tính'!H$228</f>
        <v>31943</v>
      </c>
      <c r="J22" s="15">
        <f t="shared" si="0"/>
        <v>55427493.600000001</v>
      </c>
      <c r="K22" s="250"/>
      <c r="L22" s="250"/>
    </row>
    <row r="23" spans="1:12" ht="16.5">
      <c r="A23" s="12">
        <v>12</v>
      </c>
      <c r="B23" s="13" t="str">
        <f>'Công trình'!E39</f>
        <v>AL.24111</v>
      </c>
      <c r="C23" s="14" t="str">
        <f>'Công trình'!F39</f>
        <v>Thi công khe co sân, bãi, mặt đường bê tông</v>
      </c>
      <c r="D23" s="13" t="str">
        <f>'Công trình'!G39</f>
        <v>m</v>
      </c>
      <c r="E23" s="290">
        <f>ROUND('Công trình'!P39,4)</f>
        <v>268</v>
      </c>
      <c r="F23" s="15">
        <f>'Chiết tính'!H$230</f>
        <v>86850.8</v>
      </c>
      <c r="G23" s="15">
        <f>'Chiết tính'!H$236</f>
        <v>23580</v>
      </c>
      <c r="H23" s="15">
        <f>'Chiết tính'!H$238</f>
        <v>13177.4</v>
      </c>
      <c r="I23" s="15">
        <f>'Chiết tính'!H$252</f>
        <v>159116</v>
      </c>
      <c r="J23" s="15">
        <f t="shared" si="0"/>
        <v>42643088</v>
      </c>
      <c r="K23" s="250"/>
      <c r="L23" s="250"/>
    </row>
    <row r="24" spans="1:12" ht="16.5">
      <c r="A24" s="12">
        <v>13</v>
      </c>
      <c r="B24" s="13" t="str">
        <f>'Công trình'!E41</f>
        <v>AL.24112</v>
      </c>
      <c r="C24" s="14" t="str">
        <f>'Công trình'!F41</f>
        <v>Làm khe giãn, bố trí 20m/Khe giãn sâu 20cm</v>
      </c>
      <c r="D24" s="13" t="str">
        <f>'Công trình'!G41</f>
        <v>m</v>
      </c>
      <c r="E24" s="290">
        <f>ROUND('Công trình'!P41,4)</f>
        <v>89</v>
      </c>
      <c r="F24" s="15">
        <f>'Chiết tính'!H$254</f>
        <v>213797</v>
      </c>
      <c r="G24" s="15">
        <f>'Chiết tính'!H$263</f>
        <v>57640</v>
      </c>
      <c r="H24" s="15">
        <f>'Chiết tính'!H$265</f>
        <v>16884.8</v>
      </c>
      <c r="I24" s="15">
        <f>'Chiết tính'!H$279</f>
        <v>371147</v>
      </c>
      <c r="J24" s="15">
        <f t="shared" si="0"/>
        <v>33032083</v>
      </c>
      <c r="K24" s="250"/>
      <c r="L24" s="250"/>
    </row>
    <row r="25" spans="1:12" ht="16.5" hidden="1">
      <c r="A25" s="294"/>
      <c r="B25" s="295"/>
      <c r="C25" s="306" t="str">
        <f>"KẾT THÚC : "&amp;C5</f>
        <v>KẾT THÚC : SỬA CHỮA NỀN MẶT ĐƯỜNG:</v>
      </c>
      <c r="D25" s="295"/>
      <c r="E25" s="297"/>
      <c r="F25" s="298"/>
      <c r="G25" s="298"/>
      <c r="H25" s="298"/>
      <c r="I25" s="298"/>
      <c r="J25" s="298"/>
      <c r="K25" s="250"/>
      <c r="L25" s="250"/>
    </row>
    <row r="26" spans="1:12" s="311" customFormat="1" ht="16.5">
      <c r="A26" s="307" t="s">
        <v>490</v>
      </c>
      <c r="B26" s="308" t="str">
        <f>'Công trình'!E43</f>
        <v>*</v>
      </c>
      <c r="C26" s="3" t="str">
        <f>'Công trình'!F43</f>
        <v>HỆ THỐNG THOÁT NƯỚC</v>
      </c>
      <c r="D26" s="308"/>
      <c r="E26" s="309"/>
      <c r="F26" s="69"/>
      <c r="G26" s="69"/>
      <c r="H26" s="69"/>
      <c r="I26" s="69"/>
      <c r="J26" s="69"/>
      <c r="K26" s="310"/>
      <c r="L26" s="310"/>
    </row>
    <row r="27" spans="1:12" ht="16.5" hidden="1">
      <c r="A27" s="294"/>
      <c r="B27" s="295"/>
      <c r="C27" s="296" t="str">
        <f>'Công trình'!F44</f>
        <v>II.1. GA, CỐNG DƯỚI ĐƯỜNG</v>
      </c>
      <c r="D27" s="295"/>
      <c r="E27" s="297"/>
      <c r="F27" s="298"/>
      <c r="G27" s="298"/>
      <c r="H27" s="298"/>
      <c r="I27" s="298"/>
      <c r="J27" s="298"/>
      <c r="K27" s="250"/>
      <c r="L27" s="250"/>
    </row>
    <row r="28" spans="1:12" ht="16.5" hidden="1">
      <c r="A28" s="294"/>
      <c r="B28" s="295"/>
      <c r="C28" s="296" t="str">
        <f>'Công trình'!F45</f>
        <v>* GA THU NƯỚC:</v>
      </c>
      <c r="D28" s="295"/>
      <c r="E28" s="297"/>
      <c r="F28" s="298"/>
      <c r="G28" s="298"/>
      <c r="H28" s="298"/>
      <c r="I28" s="298"/>
      <c r="J28" s="298"/>
      <c r="K28" s="250"/>
      <c r="L28" s="250"/>
    </row>
    <row r="29" spans="1:12" ht="16.5">
      <c r="A29" s="299">
        <v>1</v>
      </c>
      <c r="B29" s="300"/>
      <c r="C29" s="301" t="s">
        <v>1354</v>
      </c>
      <c r="D29" s="300" t="str">
        <f>D30</f>
        <v>100m3</v>
      </c>
      <c r="E29" s="302" t="e">
        <f>E30+E31/100</f>
        <v>#REF!</v>
      </c>
      <c r="F29" s="303"/>
      <c r="G29" s="303"/>
      <c r="H29" s="303"/>
      <c r="I29" s="303">
        <f>I30*0.9+I31*10</f>
        <v>4443064.8000000007</v>
      </c>
      <c r="J29" s="303" t="e">
        <f>I29*E29</f>
        <v>#REF!</v>
      </c>
      <c r="K29" s="250"/>
      <c r="L29" s="250"/>
    </row>
    <row r="30" spans="1:12" ht="16.5" hidden="1">
      <c r="A30" s="294">
        <f>'Công trình'!A46</f>
        <v>1</v>
      </c>
      <c r="B30" s="295" t="str">
        <f>'Công trình'!E46</f>
        <v>AB.25112</v>
      </c>
      <c r="C30" s="296" t="str">
        <f>'Công trình'!F46</f>
        <v>Đào móng công trình</v>
      </c>
      <c r="D30" s="295" t="str">
        <f>'Công trình'!G46</f>
        <v>100m3</v>
      </c>
      <c r="E30" s="297">
        <f>ROUND('Công trình'!P46,4)</f>
        <v>1.2809999999999999</v>
      </c>
      <c r="F30" s="298">
        <f>'Công trình'!Q46+'Công trình'!R46</f>
        <v>0</v>
      </c>
      <c r="G30" s="298">
        <f>'Chiết tính'!H$282</f>
        <v>840951.4</v>
      </c>
      <c r="H30" s="298">
        <f>'Chiết tính'!H$284</f>
        <v>1100742</v>
      </c>
      <c r="I30" s="298">
        <f>'Chiết tính'!H$295</f>
        <v>2499472</v>
      </c>
      <c r="J30" s="298"/>
      <c r="K30" s="250"/>
      <c r="L30" s="250"/>
    </row>
    <row r="31" spans="1:12" ht="16.5" hidden="1">
      <c r="A31" s="294" t="e">
        <f>'Công trình'!#REF!</f>
        <v>#REF!</v>
      </c>
      <c r="B31" s="295" t="e">
        <f>'Công trình'!#REF!</f>
        <v>#REF!</v>
      </c>
      <c r="C31" s="296" t="e">
        <f>'Công trình'!#REF!</f>
        <v>#REF!</v>
      </c>
      <c r="D31" s="295" t="e">
        <f>'Công trình'!#REF!</f>
        <v>#REF!</v>
      </c>
      <c r="E31" s="297" t="e">
        <f>ROUND('Công trình'!#REF!,4)</f>
        <v>#REF!</v>
      </c>
      <c r="F31" s="298" t="e">
        <f>'Công trình'!#REF!+'Công trình'!#REF!</f>
        <v>#REF!</v>
      </c>
      <c r="G31" s="298">
        <f>'Chiết tính'!H$297</f>
        <v>170403.3</v>
      </c>
      <c r="H31" s="298" t="e">
        <f>'Công trình'!#REF!</f>
        <v>#REF!</v>
      </c>
      <c r="I31" s="298">
        <f>'Chiết tính'!H$308</f>
        <v>219354</v>
      </c>
      <c r="J31" s="298"/>
      <c r="K31" s="250"/>
      <c r="L31" s="250"/>
    </row>
    <row r="32" spans="1:12" ht="16.5">
      <c r="A32" s="12">
        <v>2</v>
      </c>
      <c r="B32" s="13" t="str">
        <f>'Công trình'!E48</f>
        <v>AB.64123</v>
      </c>
      <c r="C32" s="14" t="str">
        <f>'Công trình'!F48</f>
        <v>Đất đắp thân ga (tận dụng)</v>
      </c>
      <c r="D32" s="13" t="str">
        <f>'Công trình'!G48</f>
        <v>100m3</v>
      </c>
      <c r="E32" s="290">
        <f>ROUND('Công trình'!P48,4)</f>
        <v>3.8399999999999997E-2</v>
      </c>
      <c r="F32" s="15">
        <f>'Công trình'!Q48+'Công trình'!R48</f>
        <v>0</v>
      </c>
      <c r="G32" s="15">
        <f>'Chiết tính'!H$310</f>
        <v>320889.40000000002</v>
      </c>
      <c r="H32" s="15">
        <f>'Chiết tính'!H$312</f>
        <v>904157.3</v>
      </c>
      <c r="I32" s="15">
        <f>'Chiết tính'!H$326</f>
        <v>1576959</v>
      </c>
      <c r="J32" s="15">
        <f t="shared" ref="J32:J45" si="1">ROUND(IF(E$26=0,E32*I32,E$26*E32*I32),1)</f>
        <v>60555.199999999997</v>
      </c>
      <c r="K32" s="250"/>
      <c r="L32" s="250"/>
    </row>
    <row r="33" spans="1:19" s="305" customFormat="1" ht="16.5">
      <c r="A33" s="299">
        <v>3</v>
      </c>
      <c r="B33" s="300"/>
      <c r="C33" s="301" t="s">
        <v>1355</v>
      </c>
      <c r="D33" s="300" t="s">
        <v>52</v>
      </c>
      <c r="E33" s="302">
        <v>8.9700000000000002E-2</v>
      </c>
      <c r="F33" s="303"/>
      <c r="G33" s="303"/>
      <c r="H33" s="303"/>
      <c r="I33" s="303">
        <f>I34+I35</f>
        <v>7548443</v>
      </c>
      <c r="J33" s="303">
        <f>I33*E33</f>
        <v>677095.3371</v>
      </c>
      <c r="K33" s="304"/>
      <c r="L33" s="304"/>
    </row>
    <row r="34" spans="1:19" ht="33" hidden="1">
      <c r="A34" s="294">
        <f>'Công trình'!A50</f>
        <v>3</v>
      </c>
      <c r="B34" s="295" t="str">
        <f>'Công trình'!E50</f>
        <v>AB.41412</v>
      </c>
      <c r="C34" s="296" t="str">
        <f>'Công trình'!F50</f>
        <v>Vận chuyển đất bằng ôtô tự đổ 5 tấn trong phạm vi &lt;= 1000m, đất cấp II</v>
      </c>
      <c r="D34" s="295" t="str">
        <f>'Công trình'!G50</f>
        <v>100m3</v>
      </c>
      <c r="E34" s="297">
        <f>ROUND('Công trình'!P50,4)</f>
        <v>8.9700000000000002E-2</v>
      </c>
      <c r="F34" s="298">
        <f>'Công trình'!Q50+'Công trình'!R50</f>
        <v>0</v>
      </c>
      <c r="G34" s="298">
        <f>'Công trình'!S50</f>
        <v>0</v>
      </c>
      <c r="H34" s="298">
        <f>'Chiết tính'!H$328</f>
        <v>2313202.9</v>
      </c>
      <c r="I34" s="298">
        <f>'Chiết tính'!H$339</f>
        <v>2977703</v>
      </c>
      <c r="J34" s="298"/>
      <c r="K34" s="250"/>
      <c r="L34" s="250"/>
    </row>
    <row r="35" spans="1:19" ht="33" hidden="1">
      <c r="A35" s="294">
        <f>'Công trình'!A52</f>
        <v>20</v>
      </c>
      <c r="B35" s="295" t="str">
        <f>'Công trình'!E52</f>
        <v>AB.42212</v>
      </c>
      <c r="C35" s="296" t="str">
        <f>'Công trình'!F52</f>
        <v>Vận chuyển đất bằng ô tô tự đổ 5T 1km tiếp theo ngoài phạm vi 5km, đất cấp II</v>
      </c>
      <c r="D35" s="295" t="str">
        <f>'Công trình'!G52</f>
        <v>100m3</v>
      </c>
      <c r="E35" s="297">
        <f>ROUND('Công trình'!P52,4)</f>
        <v>8.9700000000000002E-2</v>
      </c>
      <c r="F35" s="298">
        <f>'Công trình'!Q52+'Công trình'!R52</f>
        <v>0</v>
      </c>
      <c r="G35" s="298">
        <f>'Công trình'!S52</f>
        <v>0</v>
      </c>
      <c r="H35" s="298">
        <f>'Chiết tính'!H$341</f>
        <v>3550740.4</v>
      </c>
      <c r="I35" s="298">
        <f>'Chiết tính'!H$352</f>
        <v>4570740</v>
      </c>
      <c r="J35" s="298"/>
      <c r="K35" s="250"/>
      <c r="L35" s="250"/>
    </row>
    <row r="36" spans="1:19" ht="16.5">
      <c r="A36" s="12">
        <v>4</v>
      </c>
      <c r="B36" s="13" t="str">
        <f>'Công trình'!E54</f>
        <v>AK.98110</v>
      </c>
      <c r="C36" s="14" t="str">
        <f>'Công trình'!F54</f>
        <v>Đá dăm lót móng, đá 2x4, dày 10cm</v>
      </c>
      <c r="D36" s="13" t="str">
        <f>'Công trình'!G54</f>
        <v>m3</v>
      </c>
      <c r="E36" s="290">
        <f>ROUND('Công trình'!P54,4)</f>
        <v>3.29</v>
      </c>
      <c r="F36" s="15">
        <f>'Chiết tính'!H$354</f>
        <v>453000</v>
      </c>
      <c r="G36" s="15">
        <f>'Chiết tính'!H$358</f>
        <v>420923.8</v>
      </c>
      <c r="H36" s="15">
        <f>'Công trình'!T54</f>
        <v>0</v>
      </c>
      <c r="I36" s="15">
        <f>'Chiết tính'!H$369</f>
        <v>1124971</v>
      </c>
      <c r="J36" s="15">
        <f t="shared" si="1"/>
        <v>3701154.6</v>
      </c>
      <c r="K36" s="250"/>
      <c r="L36" s="250"/>
    </row>
    <row r="37" spans="1:19" ht="16.5">
      <c r="A37" s="12">
        <v>5</v>
      </c>
      <c r="B37" s="13" t="str">
        <f>'Công trình'!E56</f>
        <v>AF.81122</v>
      </c>
      <c r="C37" s="14" t="str">
        <f>'Công trình'!F56</f>
        <v>Ván khuôn gỗ. Ván khuôn móng ga</v>
      </c>
      <c r="D37" s="13" t="str">
        <f>'Công trình'!G56</f>
        <v>100m2</v>
      </c>
      <c r="E37" s="290">
        <f>ROUND('Công trình'!P56,4)</f>
        <v>0.17760000000000001</v>
      </c>
      <c r="F37" s="15">
        <f>'Chiết tính'!H$371</f>
        <v>6188316.2000000002</v>
      </c>
      <c r="G37" s="15">
        <f>'Chiết tính'!H$378</f>
        <v>7781400</v>
      </c>
      <c r="H37" s="15">
        <f>'Công trình'!T56</f>
        <v>0</v>
      </c>
      <c r="I37" s="15">
        <f>'Chiết tính'!H$389</f>
        <v>17982713</v>
      </c>
      <c r="J37" s="15">
        <f t="shared" si="1"/>
        <v>3193729.8</v>
      </c>
      <c r="K37" s="250"/>
      <c r="L37" s="250"/>
    </row>
    <row r="38" spans="1:19" ht="16.5">
      <c r="A38" s="12">
        <v>6</v>
      </c>
      <c r="B38" s="13" t="str">
        <f>'Công trình'!E58</f>
        <v>AF.11213A</v>
      </c>
      <c r="C38" s="14" t="str">
        <f>'Công trình'!F58</f>
        <v>Đổ bê tông móng ga, đá 1x2, mác 200</v>
      </c>
      <c r="D38" s="13" t="str">
        <f>'Công trình'!G58</f>
        <v>m3</v>
      </c>
      <c r="E38" s="290">
        <f>ROUND('Công trình'!P58,4)</f>
        <v>6.57</v>
      </c>
      <c r="F38" s="15">
        <f>'Chiết tính'!H$391</f>
        <v>1040813.5</v>
      </c>
      <c r="G38" s="15">
        <f>'Chiết tính'!H$398</f>
        <v>294698.2</v>
      </c>
      <c r="H38" s="15">
        <f>'Chiết tính'!H$400</f>
        <v>54795.9</v>
      </c>
      <c r="I38" s="15">
        <f>'Chiết tính'!H$413</f>
        <v>1789693</v>
      </c>
      <c r="J38" s="15">
        <f t="shared" si="1"/>
        <v>11758283</v>
      </c>
      <c r="K38" s="250"/>
      <c r="L38" s="250"/>
      <c r="S38" s="312">
        <v>44887</v>
      </c>
    </row>
    <row r="39" spans="1:19" ht="16.5">
      <c r="A39" s="12">
        <v>7</v>
      </c>
      <c r="B39" s="13" t="str">
        <f>'Công trình'!E60</f>
        <v>AE.26213A</v>
      </c>
      <c r="C39" s="14" t="str">
        <f>'Công trình'!F60</f>
        <v>Xây gạch không nung ga VXM M75, dày 22cm</v>
      </c>
      <c r="D39" s="13" t="str">
        <f>'Công trình'!G60</f>
        <v>m3</v>
      </c>
      <c r="E39" s="290">
        <f>ROUND('Công trình'!P60,4)</f>
        <v>20.79</v>
      </c>
      <c r="F39" s="15">
        <f>'Chiết tính'!H$415</f>
        <v>1079493.5</v>
      </c>
      <c r="G39" s="15">
        <f>'Chiết tính'!H$422</f>
        <v>838400</v>
      </c>
      <c r="H39" s="15">
        <f>'Chiết tính'!H$424</f>
        <v>11441.1</v>
      </c>
      <c r="I39" s="15">
        <f>'Chiết tính'!H$435</f>
        <v>2483564</v>
      </c>
      <c r="J39" s="15">
        <f t="shared" si="1"/>
        <v>51633295.600000001</v>
      </c>
      <c r="K39" s="250"/>
      <c r="L39" s="250"/>
      <c r="S39">
        <v>150</v>
      </c>
    </row>
    <row r="40" spans="1:19" ht="49.5">
      <c r="A40" s="12">
        <v>8</v>
      </c>
      <c r="B40" s="13" t="str">
        <f>'Công trình'!E62</f>
        <v>AK.21533</v>
      </c>
      <c r="C40" s="14" t="str">
        <f>'Công trình'!F62</f>
        <v>Trát tường xây gạch không nung bằng vữa thông thường, trát tường ga, chiều dày trát 2cm, vữa XM mác 75</v>
      </c>
      <c r="D40" s="13" t="str">
        <f>'Công trình'!G62</f>
        <v>m2</v>
      </c>
      <c r="E40" s="290">
        <f>ROUND('Công trình'!P62,4)</f>
        <v>64.260000000000005</v>
      </c>
      <c r="F40" s="15">
        <f>'Chiết tính'!H$437</f>
        <v>21521.3</v>
      </c>
      <c r="G40" s="15">
        <f>'Chiết tính'!H$443</f>
        <v>91700</v>
      </c>
      <c r="H40" s="15">
        <f>'Chiết tính'!H$445</f>
        <v>880.1</v>
      </c>
      <c r="I40" s="15">
        <f>'Chiết tính'!H$456</f>
        <v>146879</v>
      </c>
      <c r="J40" s="15">
        <f t="shared" si="1"/>
        <v>9438444.5</v>
      </c>
      <c r="K40" s="250"/>
      <c r="L40" s="250"/>
      <c r="S40" s="312">
        <f>S38+S39</f>
        <v>45037</v>
      </c>
    </row>
    <row r="41" spans="1:19" ht="16.5">
      <c r="A41" s="12">
        <v>9</v>
      </c>
      <c r="B41" s="13" t="str">
        <f>'Công trình'!E64</f>
        <v>AK.41113</v>
      </c>
      <c r="C41" s="14" t="str">
        <f>'Công trình'!F64</f>
        <v>Láng đáy ga, dày 2cm, vữa XM mác 75</v>
      </c>
      <c r="D41" s="13" t="str">
        <f>'Công trình'!G64</f>
        <v>m2</v>
      </c>
      <c r="E41" s="290">
        <f>ROUND('Công trình'!P64,4)</f>
        <v>9.6</v>
      </c>
      <c r="F41" s="15">
        <f>'Chiết tính'!H$458</f>
        <v>23276.3</v>
      </c>
      <c r="G41" s="15">
        <f>'Chiết tính'!H$463</f>
        <v>19339.7</v>
      </c>
      <c r="H41" s="15">
        <f>'Chiết tính'!H$465</f>
        <v>1173.4000000000001</v>
      </c>
      <c r="I41" s="15">
        <f>'Chiết tính'!H$476</f>
        <v>56368</v>
      </c>
      <c r="J41" s="15">
        <f t="shared" si="1"/>
        <v>541132.80000000005</v>
      </c>
      <c r="K41" s="250"/>
      <c r="L41" s="250"/>
    </row>
    <row r="42" spans="1:19" ht="16.5">
      <c r="A42" s="12">
        <v>10</v>
      </c>
      <c r="B42" s="13" t="str">
        <f>'Công trình'!E66</f>
        <v>AF.81141</v>
      </c>
      <c r="C42" s="14" t="str">
        <f>'Công trình'!F66</f>
        <v>Ván khuôn gỗ. Ván khuôn cổ ga</v>
      </c>
      <c r="D42" s="13" t="str">
        <f>'Công trình'!G66</f>
        <v>100m2</v>
      </c>
      <c r="E42" s="290">
        <f>ROUND('Công trình'!P66,4)</f>
        <v>0.26279999999999998</v>
      </c>
      <c r="F42" s="15">
        <f>'Chiết tính'!H$478</f>
        <v>8793002.5</v>
      </c>
      <c r="G42" s="15">
        <f>'Chiết tính'!H$485</f>
        <v>7205000</v>
      </c>
      <c r="H42" s="15">
        <f>'Công trình'!T66</f>
        <v>0</v>
      </c>
      <c r="I42" s="15">
        <f>'Chiết tính'!H$496</f>
        <v>20593653</v>
      </c>
      <c r="J42" s="15">
        <f t="shared" si="1"/>
        <v>5412012</v>
      </c>
      <c r="K42" s="250"/>
      <c r="L42" s="250"/>
    </row>
    <row r="43" spans="1:19" ht="16.5">
      <c r="A43" s="12">
        <v>11</v>
      </c>
      <c r="B43" s="13" t="str">
        <f>'Công trình'!E68</f>
        <v>AF.12313A</v>
      </c>
      <c r="C43" s="14" t="str">
        <f>'Công trình'!F68</f>
        <v>Đổ bê tông cổ ga, đá 1x2, mác 200</v>
      </c>
      <c r="D43" s="13" t="str">
        <f>'Công trình'!G68</f>
        <v>m3</v>
      </c>
      <c r="E43" s="290">
        <f>ROUND('Công trình'!P68,4)</f>
        <v>2.39</v>
      </c>
      <c r="F43" s="15">
        <f>'Chiết tính'!H$498</f>
        <v>1040813.5</v>
      </c>
      <c r="G43" s="15">
        <f>'Chiết tính'!H$505</f>
        <v>639710.6</v>
      </c>
      <c r="H43" s="15">
        <f>'Chiết tính'!H$507</f>
        <v>79863</v>
      </c>
      <c r="I43" s="15">
        <f>'Chiết tính'!H$520</f>
        <v>2266083</v>
      </c>
      <c r="J43" s="15">
        <f t="shared" si="1"/>
        <v>5415938.4000000004</v>
      </c>
      <c r="K43" s="250"/>
      <c r="L43" s="250"/>
    </row>
    <row r="44" spans="1:19" ht="16.5">
      <c r="A44" s="12">
        <v>12</v>
      </c>
      <c r="B44" s="13" t="str">
        <f>'Công trình'!E70</f>
        <v>AF.61521</v>
      </c>
      <c r="C44" s="14" t="str">
        <f>'Công trình'!F70</f>
        <v>Thép cổ ga</v>
      </c>
      <c r="D44" s="13" t="str">
        <f>'Công trình'!G70</f>
        <v>tấn</v>
      </c>
      <c r="E44" s="290">
        <f>ROUND('Công trình'!P70,4)</f>
        <v>2.4E-2</v>
      </c>
      <c r="F44" s="15">
        <f>'Chiết tính'!H$522</f>
        <v>17170220</v>
      </c>
      <c r="G44" s="15">
        <f>'Chiết tính'!H$527</f>
        <v>2420880</v>
      </c>
      <c r="H44" s="15">
        <f>'Chiết tính'!H$529</f>
        <v>545678.30000000005</v>
      </c>
      <c r="I44" s="15">
        <f>'Chiết tính'!H$542</f>
        <v>25921350</v>
      </c>
      <c r="J44" s="15">
        <f t="shared" si="1"/>
        <v>622112.4</v>
      </c>
      <c r="K44" s="250"/>
      <c r="L44" s="250"/>
    </row>
    <row r="45" spans="1:19" ht="16.5">
      <c r="A45" s="12">
        <v>13</v>
      </c>
      <c r="B45" s="13" t="str">
        <f>'Công trình'!E72</f>
        <v>AI.13131</v>
      </c>
      <c r="C45" s="14" t="str">
        <f>'Công trình'!F72</f>
        <v>Thép góc viền cổ ga</v>
      </c>
      <c r="D45" s="13" t="str">
        <f>'Công trình'!G72</f>
        <v>tấn</v>
      </c>
      <c r="E45" s="290">
        <f>ROUND('Công trình'!P72,4)</f>
        <v>0.4698</v>
      </c>
      <c r="F45" s="15">
        <f>'Chiết tính'!H$544</f>
        <v>20495537.899999999</v>
      </c>
      <c r="G45" s="15">
        <f>'Chiết tính'!H$553</f>
        <v>5557332.2999999998</v>
      </c>
      <c r="H45" s="15">
        <f>'Chiết tính'!H$555</f>
        <v>1149945.3</v>
      </c>
      <c r="I45" s="15">
        <f>'Chiết tính'!H$570</f>
        <v>35017205</v>
      </c>
      <c r="J45" s="15">
        <f t="shared" si="1"/>
        <v>16451082.9</v>
      </c>
      <c r="K45" s="250"/>
      <c r="L45" s="250"/>
    </row>
    <row r="46" spans="1:19" ht="16.5" hidden="1">
      <c r="A46" s="294"/>
      <c r="B46" s="295"/>
      <c r="C46" s="296" t="str">
        <f>'Công trình'!F74</f>
        <v>TẤM ĐAN NẮP GA THU NƯỚC:</v>
      </c>
      <c r="D46" s="295"/>
      <c r="E46" s="297"/>
      <c r="F46" s="298"/>
      <c r="G46" s="298"/>
      <c r="H46" s="298"/>
      <c r="I46" s="298"/>
      <c r="J46" s="298"/>
      <c r="K46" s="250"/>
      <c r="L46" s="250"/>
    </row>
    <row r="47" spans="1:19" ht="33">
      <c r="A47" s="12">
        <v>14</v>
      </c>
      <c r="B47" s="13" t="str">
        <f>'Công trình'!E75</f>
        <v>AG.13231</v>
      </c>
      <c r="C47" s="14" t="str">
        <f>'Công trình'!F75</f>
        <v>Công tác gia công, lắp đặt cốt thép bê tông đúc sẵn. Cốt thép tấm đan</v>
      </c>
      <c r="D47" s="13" t="str">
        <f>'Công trình'!G75</f>
        <v>tấn</v>
      </c>
      <c r="E47" s="290">
        <f>ROUND('Công trình'!P75,4)</f>
        <v>0.88080000000000003</v>
      </c>
      <c r="F47" s="15">
        <f>'Chiết tính'!H$572</f>
        <v>17215680</v>
      </c>
      <c r="G47" s="15">
        <f>'Chiết tính'!H$576</f>
        <v>4257500</v>
      </c>
      <c r="H47" s="15">
        <f>'Chiết tính'!H$578</f>
        <v>111836.4</v>
      </c>
      <c r="I47" s="15">
        <f>'Chiết tính'!H$589</f>
        <v>27785615</v>
      </c>
      <c r="J47" s="15">
        <f>ROUND(IF(E$26=0,E47*I47,E$26*E47*I47),1)</f>
        <v>24473569.699999999</v>
      </c>
      <c r="K47" s="250"/>
      <c r="L47" s="250"/>
    </row>
    <row r="48" spans="1:19" ht="16.5">
      <c r="A48" s="12">
        <v>15</v>
      </c>
      <c r="B48" s="13" t="str">
        <f>'Công trình'!E78</f>
        <v>AG.11414A</v>
      </c>
      <c r="C48" s="14" t="str">
        <f>'Công trình'!F78</f>
        <v>Bê tông tấm đan, đá 1x2 mác 250</v>
      </c>
      <c r="D48" s="13" t="str">
        <f>'Công trình'!G78</f>
        <v>m3</v>
      </c>
      <c r="E48" s="290">
        <f>ROUND('Công trình'!P78,4)</f>
        <v>1.5</v>
      </c>
      <c r="F48" s="15">
        <f>'Chiết tính'!H$591</f>
        <v>1083421.7</v>
      </c>
      <c r="G48" s="15">
        <f>'Chiết tính'!H$598</f>
        <v>462412.6</v>
      </c>
      <c r="H48" s="15">
        <f>'Chiết tính'!H$600</f>
        <v>30279.7</v>
      </c>
      <c r="I48" s="15">
        <f>'Chiết tính'!H$611</f>
        <v>2028875</v>
      </c>
      <c r="J48" s="15">
        <f>ROUND(IF(E$26=0,E48*I48,E$26*E48*I48),1)</f>
        <v>3043312.5</v>
      </c>
      <c r="K48" s="250"/>
      <c r="L48" s="250"/>
    </row>
    <row r="49" spans="1:12" ht="33">
      <c r="A49" s="12">
        <v>16</v>
      </c>
      <c r="B49" s="13" t="str">
        <f>'Công trình'!E80</f>
        <v>AG.41610</v>
      </c>
      <c r="C49" s="14" t="str">
        <f>'Công trình'!F80</f>
        <v>Lăp đặt tấm đan 110kg/tấm</v>
      </c>
      <c r="D49" s="13" t="str">
        <f>'Công trình'!G80</f>
        <v>1 cấu kiện</v>
      </c>
      <c r="E49" s="290">
        <f>ROUND('Công trình'!P80,4)</f>
        <v>30</v>
      </c>
      <c r="F49" s="15">
        <f>'Công trình'!Q80+'Công trình'!R80</f>
        <v>0</v>
      </c>
      <c r="G49" s="15">
        <f>'Chiết tính'!H$613</f>
        <v>7187.8</v>
      </c>
      <c r="H49" s="15">
        <f>'Chiết tính'!H$615</f>
        <v>26465.599999999999</v>
      </c>
      <c r="I49" s="15">
        <f>'Chiết tính'!H$626</f>
        <v>43321</v>
      </c>
      <c r="J49" s="15">
        <f>ROUND(IF(E$26=0,E49*I49,E$26*E49*I49),1)</f>
        <v>1299630</v>
      </c>
      <c r="K49" s="250"/>
      <c r="L49" s="250"/>
    </row>
    <row r="50" spans="1:12" ht="16.5" hidden="1">
      <c r="A50" s="294"/>
      <c r="B50" s="295"/>
      <c r="C50" s="296" t="str">
        <f>'Công trình'!F82</f>
        <v>* HỐ TỤ NƯỚC BTXM:</v>
      </c>
      <c r="D50" s="295"/>
      <c r="E50" s="297"/>
      <c r="F50" s="298"/>
      <c r="G50" s="298"/>
      <c r="H50" s="298"/>
      <c r="I50" s="298"/>
      <c r="J50" s="298"/>
      <c r="K50" s="250"/>
      <c r="L50" s="250"/>
    </row>
    <row r="51" spans="1:12" ht="16.5" hidden="1">
      <c r="A51" s="294"/>
      <c r="B51" s="295"/>
      <c r="C51" s="296" t="str">
        <f>'Công trình'!F83</f>
        <v>Tấm đan M1* hố tụ nước:</v>
      </c>
      <c r="D51" s="295"/>
      <c r="E51" s="297"/>
      <c r="F51" s="298"/>
      <c r="G51" s="298"/>
      <c r="H51" s="298"/>
      <c r="I51" s="298"/>
      <c r="J51" s="298"/>
      <c r="K51" s="250"/>
      <c r="L51" s="250"/>
    </row>
    <row r="52" spans="1:12" ht="33">
      <c r="A52" s="12">
        <v>17</v>
      </c>
      <c r="B52" s="13" t="str">
        <f>'Công trình'!E84</f>
        <v>AG.31311</v>
      </c>
      <c r="C52" s="14" t="str">
        <f>'Công trình'!F84</f>
        <v>Công tác gia công, lắp dựng, tháo dỡ ván khuôn. Ván khuôn gỗ, ván khuôn tấm đan hố tụ</v>
      </c>
      <c r="D52" s="13" t="str">
        <f>'Công trình'!G84</f>
        <v>100m2</v>
      </c>
      <c r="E52" s="290">
        <f>ROUND('Công trình'!P84,4)</f>
        <v>5.8500000000000003E-2</v>
      </c>
      <c r="F52" s="15">
        <f>'Chiết tính'!H$628</f>
        <v>908127.8</v>
      </c>
      <c r="G52" s="15">
        <f>'Chiết tính'!H$633</f>
        <v>6200040</v>
      </c>
      <c r="H52" s="15">
        <f>'Công trình'!T84</f>
        <v>0</v>
      </c>
      <c r="I52" s="15">
        <f>'Chiết tính'!H$644</f>
        <v>9150088</v>
      </c>
      <c r="J52" s="15">
        <f>ROUND(IF(E$26=0,E52*I52,E$26*E52*I52),1)</f>
        <v>535280.1</v>
      </c>
      <c r="K52" s="250"/>
      <c r="L52" s="250"/>
    </row>
    <row r="53" spans="1:12" ht="33">
      <c r="A53" s="12">
        <v>18</v>
      </c>
      <c r="B53" s="13" t="str">
        <f>'Công trình'!E86</f>
        <v>AG.13231</v>
      </c>
      <c r="C53" s="14" t="str">
        <f>'Công trình'!F86</f>
        <v>Công tác gia công, lắp đặt cốt thép bê tông đúc sẵn. Cốt thép tấm đan</v>
      </c>
      <c r="D53" s="13" t="str">
        <f>'Công trình'!G86</f>
        <v>tấn</v>
      </c>
      <c r="E53" s="290">
        <f>ROUND('Công trình'!P86,4)</f>
        <v>0.16520000000000001</v>
      </c>
      <c r="F53" s="15">
        <f>'Chiết tính'!H$646</f>
        <v>17215680</v>
      </c>
      <c r="G53" s="15">
        <f>'Chiết tính'!H$650</f>
        <v>4257500</v>
      </c>
      <c r="H53" s="15">
        <f>'Chiết tính'!H$652</f>
        <v>111836.4</v>
      </c>
      <c r="I53" s="15">
        <f>'Chiết tính'!H$663</f>
        <v>27785615</v>
      </c>
      <c r="J53" s="15">
        <f>ROUND(IF(E$26=0,E53*I53,E$26*E53*I53),1)</f>
        <v>4590183.5999999996</v>
      </c>
      <c r="K53" s="250"/>
      <c r="L53" s="250"/>
    </row>
    <row r="54" spans="1:12" ht="16.5">
      <c r="A54" s="12">
        <v>19</v>
      </c>
      <c r="B54" s="13" t="str">
        <f>'Công trình'!E88</f>
        <v>AG.11414A</v>
      </c>
      <c r="C54" s="14" t="str">
        <f>'Công trình'!F88</f>
        <v>Bê tông tấm đan hố tụ, đá 1x2 mác 250</v>
      </c>
      <c r="D54" s="13" t="str">
        <f>'Công trình'!G88</f>
        <v>m3</v>
      </c>
      <c r="E54" s="290">
        <f>ROUND('Công trình'!P88,4)</f>
        <v>1.29</v>
      </c>
      <c r="F54" s="15">
        <f>'Chiết tính'!H$665</f>
        <v>1083421.7</v>
      </c>
      <c r="G54" s="15">
        <f>'Chiết tính'!H$672</f>
        <v>462412.6</v>
      </c>
      <c r="H54" s="15">
        <f>'Chiết tính'!H$674</f>
        <v>30279.7</v>
      </c>
      <c r="I54" s="15">
        <f>'Chiết tính'!H$685</f>
        <v>2028875</v>
      </c>
      <c r="J54" s="15">
        <f>ROUND(IF(E$26=0,E54*I54,E$26*E54*I54),1)</f>
        <v>2617248.7999999998</v>
      </c>
      <c r="K54" s="250"/>
      <c r="L54" s="250"/>
    </row>
    <row r="55" spans="1:12" ht="33">
      <c r="A55" s="12">
        <v>20</v>
      </c>
      <c r="B55" s="13" t="str">
        <f>'Công trình'!E90</f>
        <v>AG.41610</v>
      </c>
      <c r="C55" s="14" t="str">
        <f>'Công trình'!F90</f>
        <v>Lăp đặt tấm đan 200kg/tấm</v>
      </c>
      <c r="D55" s="13" t="str">
        <f>'Công trình'!G90</f>
        <v>1 cấu kiện</v>
      </c>
      <c r="E55" s="290">
        <f>ROUND('Công trình'!P90,4)</f>
        <v>15</v>
      </c>
      <c r="F55" s="15">
        <f>'Công trình'!Q90+'Công trình'!R90</f>
        <v>0</v>
      </c>
      <c r="G55" s="15">
        <f>'Chiết tính'!H$687</f>
        <v>7187.8</v>
      </c>
      <c r="H55" s="15">
        <f>'Chiết tính'!H$689</f>
        <v>26465.599999999999</v>
      </c>
      <c r="I55" s="15">
        <f>'Chiết tính'!H$700</f>
        <v>43321</v>
      </c>
      <c r="J55" s="15">
        <f>ROUND(IF(E$26=0,E55*I55,E$26*E55*I55),1)</f>
        <v>649815</v>
      </c>
      <c r="K55" s="250"/>
      <c r="L55" s="250"/>
    </row>
    <row r="56" spans="1:12" ht="16.5" hidden="1">
      <c r="A56" s="294"/>
      <c r="B56" s="295"/>
      <c r="C56" s="296" t="str">
        <f>'Công trình'!F92</f>
        <v>*) Xây hố tụ:</v>
      </c>
      <c r="D56" s="295"/>
      <c r="E56" s="297"/>
      <c r="F56" s="298"/>
      <c r="G56" s="298"/>
      <c r="H56" s="298"/>
      <c r="I56" s="298"/>
      <c r="J56" s="298"/>
      <c r="K56" s="250"/>
      <c r="L56" s="250"/>
    </row>
    <row r="57" spans="1:12" ht="33">
      <c r="A57" s="12">
        <v>21</v>
      </c>
      <c r="B57" s="13" t="str">
        <f>'Công trình'!E93</f>
        <v>AE.26213A</v>
      </c>
      <c r="C57" s="14" t="str">
        <f>'Công trình'!F93</f>
        <v>Xây gạch không nung 6,5x10,5x22, xây hố tụ nước, vữa XM mác 75</v>
      </c>
      <c r="D57" s="13" t="str">
        <f>'Công trình'!G93</f>
        <v>m3</v>
      </c>
      <c r="E57" s="290">
        <f>ROUND('Công trình'!P93,4)</f>
        <v>0.77</v>
      </c>
      <c r="F57" s="15">
        <f>'Chiết tính'!H$702</f>
        <v>1079493.5</v>
      </c>
      <c r="G57" s="15">
        <f>'Chiết tính'!H$709</f>
        <v>838400</v>
      </c>
      <c r="H57" s="15">
        <f>'Chiết tính'!H$711</f>
        <v>11441.1</v>
      </c>
      <c r="I57" s="15">
        <f>'Chiết tính'!H$722</f>
        <v>2483564</v>
      </c>
      <c r="J57" s="15">
        <f>ROUND(IF(E$26=0,E57*I57,E$26*E57*I57),1)</f>
        <v>1912344.3</v>
      </c>
      <c r="K57" s="250"/>
      <c r="L57" s="250"/>
    </row>
    <row r="58" spans="1:12" ht="33">
      <c r="A58" s="12">
        <v>22</v>
      </c>
      <c r="B58" s="13" t="str">
        <f>'Công trình'!E95</f>
        <v>AK.21533A</v>
      </c>
      <c r="C58" s="14" t="str">
        <f>'Công trình'!F95</f>
        <v>Trát tường hố tụ, chiều dày trát 2cm, vữa XM mác 75, PCB30</v>
      </c>
      <c r="D58" s="13" t="str">
        <f>'Công trình'!G95</f>
        <v>m2</v>
      </c>
      <c r="E58" s="290">
        <f>ROUND('Công trình'!P95,4)</f>
        <v>6.49</v>
      </c>
      <c r="F58" s="15">
        <f>'Chiết tính'!H$724</f>
        <v>23515.4</v>
      </c>
      <c r="G58" s="15">
        <f>'Chiết tính'!H$730</f>
        <v>91700</v>
      </c>
      <c r="H58" s="15">
        <f>'Chiết tính'!H$732</f>
        <v>880.1</v>
      </c>
      <c r="I58" s="15">
        <f>'Chiết tính'!H$743</f>
        <v>149446</v>
      </c>
      <c r="J58" s="15">
        <f>ROUND(IF(E$26=0,E58*I58,E$26*E58*I58),1)</f>
        <v>969904.5</v>
      </c>
      <c r="K58" s="250"/>
      <c r="L58" s="250"/>
    </row>
    <row r="59" spans="1:12" ht="16.5">
      <c r="A59" s="12">
        <v>23</v>
      </c>
      <c r="B59" s="13" t="str">
        <f>'Công trình'!E97</f>
        <v>AF.81141</v>
      </c>
      <c r="C59" s="14" t="str">
        <f>'Công trình'!F97</f>
        <v>Ván khuôn gỗ. Ván khuôn cổ hố tụ</v>
      </c>
      <c r="D59" s="13" t="str">
        <f>'Công trình'!G97</f>
        <v>100m2</v>
      </c>
      <c r="E59" s="290">
        <f>ROUND('Công trình'!P97,4)</f>
        <v>8.0600000000000005E-2</v>
      </c>
      <c r="F59" s="15">
        <f>'Chiết tính'!H$745</f>
        <v>8793002.5</v>
      </c>
      <c r="G59" s="15">
        <f>'Chiết tính'!H$752</f>
        <v>7205000</v>
      </c>
      <c r="H59" s="15">
        <f>'Công trình'!T97</f>
        <v>0</v>
      </c>
      <c r="I59" s="15">
        <f>'Chiết tính'!H$763</f>
        <v>20593653</v>
      </c>
      <c r="J59" s="15">
        <f>ROUND(IF(E$26=0,E59*I59,E$26*E59*I59),1)</f>
        <v>1659848.4</v>
      </c>
      <c r="K59" s="250"/>
      <c r="L59" s="250"/>
    </row>
    <row r="60" spans="1:12" ht="16.5">
      <c r="A60" s="12">
        <v>24</v>
      </c>
      <c r="B60" s="13" t="str">
        <f>'Công trình'!E99</f>
        <v>AF.12314A</v>
      </c>
      <c r="C60" s="14" t="str">
        <f>'Công trình'!F99</f>
        <v>Đổ bê tông cổ hố tụ, đá 1x2, mác 250</v>
      </c>
      <c r="D60" s="13" t="str">
        <f>'Công trình'!G99</f>
        <v>m3</v>
      </c>
      <c r="E60" s="290">
        <f>ROUND('Công trình'!P99,4)</f>
        <v>4.03</v>
      </c>
      <c r="F60" s="15">
        <f>'Chiết tính'!H$765</f>
        <v>1099539</v>
      </c>
      <c r="G60" s="15">
        <f>'Chiết tính'!H$772</f>
        <v>639710.6</v>
      </c>
      <c r="H60" s="15">
        <f>'Chiết tính'!H$774</f>
        <v>79863</v>
      </c>
      <c r="I60" s="15">
        <f>'Chiết tính'!H$787</f>
        <v>2341678</v>
      </c>
      <c r="J60" s="15">
        <f>ROUND(IF(E$26=0,E60*I60,E$26*E60*I60),1)</f>
        <v>9436962.3000000007</v>
      </c>
      <c r="K60" s="250"/>
      <c r="L60" s="250"/>
    </row>
    <row r="61" spans="1:12" ht="33">
      <c r="A61" s="12">
        <v>25</v>
      </c>
      <c r="B61" s="13" t="str">
        <f>'Công trình'!E101</f>
        <v>TT</v>
      </c>
      <c r="C61" s="14" t="str">
        <f>'Công trình'!F101</f>
        <v>Ghi chắn rác Composite, tải trọng 250KN, KT 880x380</v>
      </c>
      <c r="D61" s="13" t="str">
        <f>'Công trình'!G101</f>
        <v>Cái</v>
      </c>
      <c r="E61" s="290">
        <f>ROUND('Công trình'!P101,4)</f>
        <v>15</v>
      </c>
      <c r="F61" s="15">
        <f>'Chiết tính'!H$789</f>
        <v>1850000</v>
      </c>
      <c r="G61" s="15">
        <f>'Công trình'!S101</f>
        <v>0</v>
      </c>
      <c r="H61" s="15">
        <f>'Công trình'!T101</f>
        <v>0</v>
      </c>
      <c r="I61" s="15">
        <f>'Chiết tính'!H$800</f>
        <v>2381438</v>
      </c>
      <c r="J61" s="15">
        <f>ROUND(IF(E$26=0,E61*I61,E$26*E61*I61),1)</f>
        <v>35721570</v>
      </c>
      <c r="K61" s="250"/>
      <c r="L61" s="250"/>
    </row>
    <row r="62" spans="1:12" ht="16.5" hidden="1">
      <c r="A62" s="294"/>
      <c r="B62" s="295"/>
      <c r="C62" s="296" t="str">
        <f>'Công trình'!F103</f>
        <v>II.2. CỐNG D400 - ỐNG CỐNG CẤP TẢI CAO:</v>
      </c>
      <c r="D62" s="295"/>
      <c r="E62" s="297"/>
      <c r="F62" s="298"/>
      <c r="G62" s="298"/>
      <c r="H62" s="298"/>
      <c r="I62" s="298"/>
      <c r="J62" s="298"/>
      <c r="K62" s="250"/>
      <c r="L62" s="250"/>
    </row>
    <row r="63" spans="1:12" ht="16.5">
      <c r="A63" s="299">
        <v>26</v>
      </c>
      <c r="B63" s="300"/>
      <c r="C63" s="301" t="s">
        <v>1356</v>
      </c>
      <c r="D63" s="300" t="str">
        <f>D64</f>
        <v>100m3</v>
      </c>
      <c r="E63" s="302">
        <f>E64+E65/100</f>
        <v>6.8743400000000001</v>
      </c>
      <c r="F63" s="303"/>
      <c r="G63" s="303"/>
      <c r="H63" s="303"/>
      <c r="I63" s="303">
        <f>I64*0.9+I65*10</f>
        <v>4857945.5999999996</v>
      </c>
      <c r="J63" s="303">
        <f>I63*E63</f>
        <v>33395169.755903997</v>
      </c>
      <c r="K63" s="250"/>
      <c r="L63" s="250"/>
    </row>
    <row r="64" spans="1:12" ht="16.5" hidden="1">
      <c r="A64" s="294">
        <f>'Công trình'!A104</f>
        <v>26</v>
      </c>
      <c r="B64" s="295" t="str">
        <f>'Công trình'!E104</f>
        <v>AB.25102</v>
      </c>
      <c r="C64" s="296" t="str">
        <f>'Công trình'!F104</f>
        <v>Đào móng cống</v>
      </c>
      <c r="D64" s="295" t="str">
        <f>'Công trình'!G104</f>
        <v>100m3</v>
      </c>
      <c r="E64" s="297">
        <f>ROUND('Công trình'!P104,4)</f>
        <v>6.2493999999999996</v>
      </c>
      <c r="F64" s="298">
        <f>'Công trình'!Q104+'Công trình'!R104</f>
        <v>0</v>
      </c>
      <c r="G64" s="298">
        <f>'Chiết tính'!H$802</f>
        <v>863081.7</v>
      </c>
      <c r="H64" s="298">
        <f>'Chiết tính'!H$804</f>
        <v>1313771</v>
      </c>
      <c r="I64" s="298">
        <f>'Chiết tính'!H$815</f>
        <v>2802184</v>
      </c>
      <c r="J64" s="298"/>
      <c r="K64" s="250"/>
      <c r="L64" s="250"/>
    </row>
    <row r="65" spans="1:12" ht="16.5" hidden="1">
      <c r="A65" s="294">
        <f>'Công trình'!A106</f>
        <v>44</v>
      </c>
      <c r="B65" s="295" t="str">
        <f>'Công trình'!E106</f>
        <v>AB.11312</v>
      </c>
      <c r="C65" s="296" t="str">
        <f>'Công trình'!F106</f>
        <v>Đào móng bằng thủ công 10%</v>
      </c>
      <c r="D65" s="295" t="str">
        <f>'Công trình'!G106</f>
        <v>m3</v>
      </c>
      <c r="E65" s="297">
        <f>ROUND('Công trình'!P106,4)</f>
        <v>62.494</v>
      </c>
      <c r="F65" s="298">
        <f>'Công trình'!Q106+'Công trình'!R106</f>
        <v>0</v>
      </c>
      <c r="G65" s="298">
        <f>'Chiết tính'!H$817</f>
        <v>181468.5</v>
      </c>
      <c r="H65" s="298">
        <f>'Công trình'!T106</f>
        <v>0</v>
      </c>
      <c r="I65" s="298">
        <f>'Chiết tính'!H$828</f>
        <v>233598</v>
      </c>
      <c r="J65" s="298"/>
      <c r="K65" s="250"/>
      <c r="L65" s="250"/>
    </row>
    <row r="66" spans="1:12" ht="16.5">
      <c r="A66" s="12">
        <v>27</v>
      </c>
      <c r="B66" s="13" t="str">
        <f>'Công trình'!E108</f>
        <v>AB.64112</v>
      </c>
      <c r="C66" s="14" t="str">
        <f>'Công trình'!F108</f>
        <v>Đắp đất thân cống K95</v>
      </c>
      <c r="D66" s="13" t="str">
        <f>'Công trình'!G108</f>
        <v>100m3</v>
      </c>
      <c r="E66" s="290">
        <f>ROUND('Công trình'!P108,4)</f>
        <v>4.3194999999999997</v>
      </c>
      <c r="F66" s="15">
        <f>'Công trình'!Q108+'Công trình'!R108</f>
        <v>0</v>
      </c>
      <c r="G66" s="15">
        <f>'Chiết tính'!H$830</f>
        <v>287693.90000000002</v>
      </c>
      <c r="H66" s="15">
        <f>'Chiết tính'!H$832</f>
        <v>674685.4</v>
      </c>
      <c r="I66" s="15">
        <f>'Chiết tính'!H$846</f>
        <v>1238837</v>
      </c>
      <c r="J66" s="15">
        <f t="shared" ref="J66:J72" si="2">ROUND(IF(E$26=0,E66*I66,E$26*E66*I66),1)</f>
        <v>5351156.4000000004</v>
      </c>
      <c r="K66" s="250"/>
      <c r="L66" s="250"/>
    </row>
    <row r="67" spans="1:12" ht="33">
      <c r="A67" s="12">
        <v>28</v>
      </c>
      <c r="B67" s="13" t="str">
        <f>'Công trình'!E110</f>
        <v>AB.41412</v>
      </c>
      <c r="C67" s="14" t="str">
        <f>'Công trình'!F110</f>
        <v>Vận chuyển đất bằng ôtô tự đổ 5 tấn trong phạm vi &lt;= 1000m, đất cấp II</v>
      </c>
      <c r="D67" s="13" t="str">
        <f>'Công trình'!G110</f>
        <v>100m3</v>
      </c>
      <c r="E67" s="290">
        <f>ROUND('Công trình'!P110,4)</f>
        <v>1.9298999999999999</v>
      </c>
      <c r="F67" s="15">
        <f>'Công trình'!Q110+'Công trình'!R110</f>
        <v>0</v>
      </c>
      <c r="G67" s="15">
        <f>'Công trình'!S110</f>
        <v>0</v>
      </c>
      <c r="H67" s="15">
        <f>'Chiết tính'!H$848</f>
        <v>2313202.9</v>
      </c>
      <c r="I67" s="15">
        <f>'Chiết tính'!H$859</f>
        <v>2977703</v>
      </c>
      <c r="J67" s="15">
        <f t="shared" si="2"/>
        <v>5746669</v>
      </c>
      <c r="K67" s="250"/>
      <c r="L67" s="250"/>
    </row>
    <row r="68" spans="1:12" ht="16.5">
      <c r="A68" s="12">
        <v>29</v>
      </c>
      <c r="B68" s="13" t="str">
        <f>'Công trình'!E112</f>
        <v>AK.98110</v>
      </c>
      <c r="C68" s="14" t="str">
        <f>'Công trình'!F112</f>
        <v>Đá dăm 2x4 lót móng, dày 10cm</v>
      </c>
      <c r="D68" s="13" t="str">
        <f>'Công trình'!G112</f>
        <v>m3</v>
      </c>
      <c r="E68" s="290">
        <f>ROUND('Công trình'!P112,4)</f>
        <v>56.1</v>
      </c>
      <c r="F68" s="15">
        <f>'Chiết tính'!H$861</f>
        <v>453000</v>
      </c>
      <c r="G68" s="15">
        <f>'Chiết tính'!H$865</f>
        <v>420923.8</v>
      </c>
      <c r="H68" s="15">
        <f>'Công trình'!T112</f>
        <v>0</v>
      </c>
      <c r="I68" s="15">
        <f>'Chiết tính'!H$876</f>
        <v>1124971</v>
      </c>
      <c r="J68" s="15">
        <f t="shared" si="2"/>
        <v>63110873.100000001</v>
      </c>
      <c r="K68" s="250"/>
      <c r="L68" s="250"/>
    </row>
    <row r="69" spans="1:12" ht="33">
      <c r="A69" s="12">
        <v>30</v>
      </c>
      <c r="B69" s="13" t="str">
        <f>'Công trình'!E114</f>
        <v>BB.11221</v>
      </c>
      <c r="C69" s="14" t="str">
        <f>'Công trình'!F114</f>
        <v>Lắp đặt ống bê tông bằng cần cẩu, đoạn ống dài 2m, D400mm</v>
      </c>
      <c r="D69" s="13" t="str">
        <f>'Công trình'!G114</f>
        <v>đoạn ống</v>
      </c>
      <c r="E69" s="290">
        <f>ROUND('Công trình'!P114,4)</f>
        <v>213</v>
      </c>
      <c r="F69" s="15">
        <f>'Chiết tính'!H$878</f>
        <v>890445</v>
      </c>
      <c r="G69" s="15">
        <f>'Chiết tính'!H$882</f>
        <v>91700</v>
      </c>
      <c r="H69" s="15">
        <f>'Chiết tính'!H$884</f>
        <v>103745</v>
      </c>
      <c r="I69" s="15">
        <f>'Chiết tính'!H$897</f>
        <v>1397827</v>
      </c>
      <c r="J69" s="15">
        <f t="shared" si="2"/>
        <v>297737151</v>
      </c>
      <c r="K69" s="250"/>
      <c r="L69" s="250"/>
    </row>
    <row r="70" spans="1:12" ht="16.5">
      <c r="A70" s="12">
        <v>31</v>
      </c>
      <c r="B70" s="13" t="str">
        <f>'Công trình'!E116</f>
        <v>TT</v>
      </c>
      <c r="C70" s="14" t="str">
        <f>'Công trình'!F116</f>
        <v>Lắp đặt đế cống D400</v>
      </c>
      <c r="D70" s="13" t="str">
        <f>'Công trình'!G116</f>
        <v>Cái</v>
      </c>
      <c r="E70" s="290">
        <f>ROUND('Công trình'!P116,4)</f>
        <v>639</v>
      </c>
      <c r="F70" s="15">
        <f>'Chiết tính'!H$899</f>
        <v>110000</v>
      </c>
      <c r="G70" s="15">
        <f>'Chiết tính'!H$901</f>
        <v>25000</v>
      </c>
      <c r="H70" s="15">
        <f>'Công trình'!T116</f>
        <v>0</v>
      </c>
      <c r="I70" s="15">
        <f>'Chiết tính'!H$912</f>
        <v>173780</v>
      </c>
      <c r="J70" s="15">
        <f t="shared" si="2"/>
        <v>111045420</v>
      </c>
      <c r="K70" s="250"/>
      <c r="L70" s="250"/>
    </row>
    <row r="71" spans="1:12" ht="33">
      <c r="A71" s="12">
        <v>32</v>
      </c>
      <c r="B71" s="13" t="str">
        <f>'Công trình'!E118</f>
        <v>BB.13605</v>
      </c>
      <c r="C71" s="14" t="str">
        <f>'Công trình'!F118</f>
        <v>Nối ống bê tông bằng gioăng cao su, đường kính 400mm</v>
      </c>
      <c r="D71" s="13" t="str">
        <f>'Công trình'!G118</f>
        <v>mối nối</v>
      </c>
      <c r="E71" s="290">
        <f>ROUND('Công trình'!P118,4)</f>
        <v>210</v>
      </c>
      <c r="F71" s="15">
        <f>'Chiết tính'!H$914</f>
        <v>121320</v>
      </c>
      <c r="G71" s="15">
        <f>'Chiết tính'!H$918</f>
        <v>23580</v>
      </c>
      <c r="H71" s="15">
        <f>'Công trình'!T118</f>
        <v>0</v>
      </c>
      <c r="I71" s="15">
        <f>'Chiết tính'!H$929</f>
        <v>186525</v>
      </c>
      <c r="J71" s="15">
        <f t="shared" si="2"/>
        <v>39170250</v>
      </c>
      <c r="K71" s="250"/>
      <c r="L71" s="250"/>
    </row>
    <row r="72" spans="1:12" ht="33">
      <c r="A72" s="12">
        <v>33</v>
      </c>
      <c r="B72" s="13" t="str">
        <f>'Công trình'!E120</f>
        <v>BB.13503</v>
      </c>
      <c r="C72" s="14" t="str">
        <f>'Công trình'!F120</f>
        <v>Nối ống bê tông bằng phương pháp xảm, đường kính 400mm</v>
      </c>
      <c r="D72" s="13" t="str">
        <f>'Công trình'!G120</f>
        <v>mối nối</v>
      </c>
      <c r="E72" s="290">
        <f>ROUND('Công trình'!P120,4)</f>
        <v>210</v>
      </c>
      <c r="F72" s="15">
        <f>'Chiết tính'!H$931</f>
        <v>7814.4</v>
      </c>
      <c r="G72" s="15">
        <f>'Chiết tính'!H$936</f>
        <v>23580</v>
      </c>
      <c r="H72" s="15">
        <f>'Công trình'!T120</f>
        <v>0</v>
      </c>
      <c r="I72" s="15">
        <f>'Chiết tính'!H$947</f>
        <v>40413</v>
      </c>
      <c r="J72" s="15">
        <f t="shared" si="2"/>
        <v>8486730</v>
      </c>
      <c r="K72" s="250"/>
      <c r="L72" s="250"/>
    </row>
    <row r="73" spans="1:12" ht="16.5" hidden="1">
      <c r="A73" s="294"/>
      <c r="B73" s="295"/>
      <c r="C73" s="296" t="str">
        <f>'Công trình'!F122</f>
        <v>BIỆN PHÁP BỜ QUÂY:</v>
      </c>
      <c r="D73" s="295"/>
      <c r="E73" s="297"/>
      <c r="F73" s="298"/>
      <c r="G73" s="298"/>
      <c r="H73" s="298"/>
      <c r="I73" s="298"/>
      <c r="J73" s="298"/>
      <c r="K73" s="250"/>
      <c r="L73" s="250"/>
    </row>
    <row r="74" spans="1:12" ht="16.5">
      <c r="A74" s="12">
        <v>34</v>
      </c>
      <c r="B74" s="13" t="str">
        <f>'Công trình'!E123</f>
        <v>AB.63111</v>
      </c>
      <c r="C74" s="14" t="str">
        <f>'Công trình'!F123</f>
        <v>Đắp đất núi bờ quây, dụng trọng 1.5T/m3</v>
      </c>
      <c r="D74" s="13" t="str">
        <f>'Công trình'!G123</f>
        <v>100m3</v>
      </c>
      <c r="E74" s="290">
        <f>ROUND('Công trình'!P123,4)</f>
        <v>0.06</v>
      </c>
      <c r="F74" s="15">
        <f>'Công trình'!Q123+'Công trình'!R123</f>
        <v>0</v>
      </c>
      <c r="G74" s="15">
        <f>'Chiết tính'!H$949</f>
        <v>219090</v>
      </c>
      <c r="H74" s="15">
        <f>'Chiết tính'!H$951</f>
        <v>463189.1</v>
      </c>
      <c r="I74" s="15">
        <f>'Chiết tính'!H$964</f>
        <v>878273</v>
      </c>
      <c r="J74" s="15">
        <f t="shared" ref="J74:J81" si="3">ROUND(IF(E$26=0,E74*I74,E$26*E74*I74),1)</f>
        <v>52696.4</v>
      </c>
      <c r="K74" s="250"/>
      <c r="L74" s="250"/>
    </row>
    <row r="75" spans="1:12" ht="16.5">
      <c r="A75" s="12">
        <v>35</v>
      </c>
      <c r="B75" s="13" t="str">
        <f>'Công trình'!E125</f>
        <v>TT</v>
      </c>
      <c r="C75" s="14" t="str">
        <f>'Công trình'!F125</f>
        <v>Tiền đất núi đắp bờ quây</v>
      </c>
      <c r="D75" s="13" t="str">
        <f>'Công trình'!G125</f>
        <v>m3</v>
      </c>
      <c r="E75" s="290">
        <f>ROUND('Công trình'!P125,4)</f>
        <v>6.6</v>
      </c>
      <c r="F75" s="15">
        <f>'Chiết tính'!H$966</f>
        <v>190000</v>
      </c>
      <c r="G75" s="15">
        <f>'Công trình'!S125</f>
        <v>0</v>
      </c>
      <c r="H75" s="15">
        <f>'Công trình'!T125</f>
        <v>0</v>
      </c>
      <c r="I75" s="15">
        <f>'Chiết tính'!H$977</f>
        <v>244581</v>
      </c>
      <c r="J75" s="15">
        <f t="shared" si="3"/>
        <v>1614234.6</v>
      </c>
      <c r="K75" s="250"/>
      <c r="L75" s="250"/>
    </row>
    <row r="76" spans="1:12" ht="16.5">
      <c r="A76" s="12">
        <v>36</v>
      </c>
      <c r="B76" s="13" t="str">
        <f>'Công trình'!E127</f>
        <v>AC.12121</v>
      </c>
      <c r="C76" s="14" t="str">
        <f>'Công trình'!F127</f>
        <v>Cọc tre D60-80; L=2.8m</v>
      </c>
      <c r="D76" s="13" t="str">
        <f>'Công trình'!G127</f>
        <v>100m</v>
      </c>
      <c r="E76" s="290">
        <f>ROUND('Công trình'!P127,4)</f>
        <v>2.2400000000000002</v>
      </c>
      <c r="F76" s="15">
        <f>'Chiết tính'!H$979</f>
        <v>546000</v>
      </c>
      <c r="G76" s="15">
        <f>'Chiết tính'!H$981</f>
        <v>79065.399999999994</v>
      </c>
      <c r="H76" s="15">
        <f>'Chiết tính'!H$983</f>
        <v>235886.2</v>
      </c>
      <c r="I76" s="15">
        <f>'Chiết tính'!H$994</f>
        <v>1108272</v>
      </c>
      <c r="J76" s="15">
        <f t="shared" si="3"/>
        <v>2482529.2999999998</v>
      </c>
      <c r="K76" s="250"/>
      <c r="L76" s="250"/>
    </row>
    <row r="77" spans="1:12" ht="16.5">
      <c r="A77" s="12">
        <v>37</v>
      </c>
      <c r="B77" s="13" t="str">
        <f>'Công trình'!E129</f>
        <v>TT</v>
      </c>
      <c r="C77" s="14" t="str">
        <f>'Công trình'!F129</f>
        <v>Phên nứa 2 lớp B=1,0m</v>
      </c>
      <c r="D77" s="13" t="str">
        <f>'Công trình'!G129</f>
        <v>m2</v>
      </c>
      <c r="E77" s="290">
        <f>ROUND('Công trình'!P129,4)</f>
        <v>12</v>
      </c>
      <c r="F77" s="15">
        <f>'Chiết tính'!H$996</f>
        <v>15000</v>
      </c>
      <c r="G77" s="15">
        <f>'Công trình'!S129</f>
        <v>0</v>
      </c>
      <c r="H77" s="15">
        <f>'Công trình'!T129</f>
        <v>0</v>
      </c>
      <c r="I77" s="15">
        <f>'Chiết tính'!H$1007</f>
        <v>19309</v>
      </c>
      <c r="J77" s="15">
        <f t="shared" si="3"/>
        <v>231708</v>
      </c>
      <c r="K77" s="250"/>
      <c r="L77" s="250"/>
    </row>
    <row r="78" spans="1:12" ht="16.5">
      <c r="A78" s="12">
        <v>38</v>
      </c>
      <c r="B78" s="13" t="str">
        <f>'Công trình'!E131</f>
        <v>AB.24132</v>
      </c>
      <c r="C78" s="14" t="str">
        <f>'Công trình'!F131</f>
        <v>Đào phá bờ quây bằng máy</v>
      </c>
      <c r="D78" s="13" t="str">
        <f>'Công trình'!G131</f>
        <v>100m3</v>
      </c>
      <c r="E78" s="290">
        <f>ROUND('Công trình'!P131,4)</f>
        <v>0.06</v>
      </c>
      <c r="F78" s="15">
        <f>'Công trình'!Q131+'Công trình'!R131</f>
        <v>0</v>
      </c>
      <c r="G78" s="15">
        <f>'Chiết tính'!H$1009</f>
        <v>104012.4</v>
      </c>
      <c r="H78" s="15">
        <f>'Chiết tính'!H$1011</f>
        <v>854161.8</v>
      </c>
      <c r="I78" s="15">
        <f>'Chiết tính'!H$1024</f>
        <v>1233423</v>
      </c>
      <c r="J78" s="15">
        <f t="shared" si="3"/>
        <v>74005.399999999994</v>
      </c>
      <c r="K78" s="250"/>
      <c r="L78" s="250"/>
    </row>
    <row r="79" spans="1:12" ht="33">
      <c r="A79" s="12">
        <v>39</v>
      </c>
      <c r="B79" s="13" t="str">
        <f>'Công trình'!E133</f>
        <v>AC.12121</v>
      </c>
      <c r="C79" s="14" t="str">
        <f>'Công trình'!F133</f>
        <v>Nhổ cọc tre, phên nứa (vận dụng chi phí nhân công, máy đóng cọc tre)</v>
      </c>
      <c r="D79" s="13" t="str">
        <f>'Công trình'!G133</f>
        <v>100m</v>
      </c>
      <c r="E79" s="290">
        <f>ROUND('Công trình'!P133,4)</f>
        <v>2.2400000000000002</v>
      </c>
      <c r="F79" s="15">
        <f>'Chiết tính'!H$1026</f>
        <v>546000</v>
      </c>
      <c r="G79" s="15">
        <f>'Chiết tính'!H$1028</f>
        <v>79065.399999999994</v>
      </c>
      <c r="H79" s="15">
        <f>'Chiết tính'!H$1030</f>
        <v>235886.2</v>
      </c>
      <c r="I79" s="15">
        <f>'Chiết tính'!H$1041</f>
        <v>1108272</v>
      </c>
      <c r="J79" s="15">
        <f t="shared" si="3"/>
        <v>2482529.2999999998</v>
      </c>
      <c r="K79" s="250"/>
      <c r="L79" s="250"/>
    </row>
    <row r="80" spans="1:12" ht="33">
      <c r="A80" s="12">
        <v>40</v>
      </c>
      <c r="B80" s="13" t="str">
        <f>'Công trình'!E135</f>
        <v>AB.41412</v>
      </c>
      <c r="C80" s="14" t="str">
        <f>'Công trình'!F135</f>
        <v>Vận chuyển đất bằng ôtô tự đổ 5 tấn trong phạm vi &lt;= 1000m, đất cấp II</v>
      </c>
      <c r="D80" s="13" t="str">
        <f>'Công trình'!G135</f>
        <v>100m3</v>
      </c>
      <c r="E80" s="290">
        <f>ROUND('Công trình'!P135,4)</f>
        <v>0.06</v>
      </c>
      <c r="F80" s="15">
        <f>'Công trình'!Q135+'Công trình'!R135</f>
        <v>0</v>
      </c>
      <c r="G80" s="15">
        <f>'Công trình'!S135</f>
        <v>0</v>
      </c>
      <c r="H80" s="15">
        <f>'Chiết tính'!H$1043</f>
        <v>2313202.9</v>
      </c>
      <c r="I80" s="15">
        <f>'Chiết tính'!H$1054</f>
        <v>2977703</v>
      </c>
      <c r="J80" s="15">
        <f t="shared" si="3"/>
        <v>178662.2</v>
      </c>
      <c r="K80" s="250"/>
      <c r="L80" s="250"/>
    </row>
    <row r="81" spans="1:12" ht="16.5">
      <c r="A81" s="12">
        <v>41</v>
      </c>
      <c r="B81" s="13" t="str">
        <f>'Công trình'!E137</f>
        <v>TT</v>
      </c>
      <c r="C81" s="14" t="str">
        <f>'Công trình'!F137</f>
        <v>Bơm nước phục vụ thi công</v>
      </c>
      <c r="D81" s="13" t="str">
        <f>'Công trình'!G137</f>
        <v>ca</v>
      </c>
      <c r="E81" s="290">
        <f>ROUND('Công trình'!P137,4)</f>
        <v>1</v>
      </c>
      <c r="F81" s="15">
        <f>'Công trình'!Q137+'Công trình'!R137</f>
        <v>0</v>
      </c>
      <c r="G81" s="15">
        <f>'Chiết tính'!H$1056</f>
        <v>200000</v>
      </c>
      <c r="H81" s="15">
        <f>'Chiết tính'!H$1058</f>
        <v>300000</v>
      </c>
      <c r="I81" s="15">
        <f>'Chiết tính'!H$1069</f>
        <v>643632</v>
      </c>
      <c r="J81" s="15">
        <f t="shared" si="3"/>
        <v>643632</v>
      </c>
      <c r="K81" s="250"/>
      <c r="L81" s="250"/>
    </row>
    <row r="82" spans="1:12" ht="16.5" hidden="1">
      <c r="A82" s="294"/>
      <c r="B82" s="295"/>
      <c r="C82" s="296" t="str">
        <f>'Công trình'!F139</f>
        <v>TƯỜNG ĐẦU CỐNG:</v>
      </c>
      <c r="D82" s="295"/>
      <c r="E82" s="297"/>
      <c r="F82" s="298"/>
      <c r="G82" s="298"/>
      <c r="H82" s="298"/>
      <c r="I82" s="298"/>
      <c r="J82" s="298"/>
      <c r="K82" s="250"/>
      <c r="L82" s="250"/>
    </row>
    <row r="83" spans="1:12" ht="16.5">
      <c r="A83" s="12">
        <v>42</v>
      </c>
      <c r="B83" s="13" t="str">
        <f>'Công trình'!E140</f>
        <v>AB.25102</v>
      </c>
      <c r="C83" s="14" t="str">
        <f>'Công trình'!F140</f>
        <v>Đào đất cấp II</v>
      </c>
      <c r="D83" s="13" t="str">
        <f>'Công trình'!G140</f>
        <v>100m3</v>
      </c>
      <c r="E83" s="290">
        <f>ROUND('Công trình'!P140,4)</f>
        <v>3.0200000000000001E-2</v>
      </c>
      <c r="F83" s="15">
        <f>'Công trình'!Q140+'Công trình'!R140</f>
        <v>0</v>
      </c>
      <c r="G83" s="15">
        <f>'Chiết tính'!H$1071</f>
        <v>863081.7</v>
      </c>
      <c r="H83" s="15">
        <f>'Chiết tính'!H$1073</f>
        <v>1313771</v>
      </c>
      <c r="I83" s="15">
        <f>'Chiết tính'!H$1084</f>
        <v>2802184</v>
      </c>
      <c r="J83" s="15">
        <f t="shared" ref="J83:J95" si="4">ROUND(IF(E$26=0,E83*I83,E$26*E83*I83),1)</f>
        <v>84626</v>
      </c>
      <c r="K83" s="250"/>
      <c r="L83" s="250"/>
    </row>
    <row r="84" spans="1:12" ht="16.5">
      <c r="A84" s="12">
        <v>43</v>
      </c>
      <c r="B84" s="13" t="str">
        <f>'Công trình'!E142</f>
        <v>AB.13111</v>
      </c>
      <c r="C84" s="14" t="str">
        <f>'Công trình'!F142</f>
        <v>Đắp đất hoàn trả móng</v>
      </c>
      <c r="D84" s="13" t="str">
        <f>'Công trình'!G142</f>
        <v>m3</v>
      </c>
      <c r="E84" s="290">
        <f>ROUND('Công trình'!P142,4)</f>
        <v>1.66</v>
      </c>
      <c r="F84" s="15">
        <f>'Công trình'!Q142+'Công trình'!R142</f>
        <v>0</v>
      </c>
      <c r="G84" s="15">
        <f>'Chiết tính'!H$1086</f>
        <v>123929.7</v>
      </c>
      <c r="H84" s="15">
        <f>'Công trình'!T142</f>
        <v>0</v>
      </c>
      <c r="I84" s="15">
        <f>'Chiết tính'!H$1097</f>
        <v>159531</v>
      </c>
      <c r="J84" s="15">
        <f t="shared" si="4"/>
        <v>264821.5</v>
      </c>
      <c r="K84" s="250"/>
      <c r="L84" s="250"/>
    </row>
    <row r="85" spans="1:12" ht="16.5">
      <c r="A85" s="12">
        <v>44</v>
      </c>
      <c r="B85" s="13" t="str">
        <f>'Công trình'!E144</f>
        <v>AC.11121</v>
      </c>
      <c r="C85" s="14" t="str">
        <f>'Công trình'!F144</f>
        <v>Đóng cọc tre D80-D1000, 25c/m2, L=2.5m</v>
      </c>
      <c r="D85" s="13" t="str">
        <f>'Công trình'!G144</f>
        <v>100m</v>
      </c>
      <c r="E85" s="290">
        <f>ROUND('Công trình'!P144,4)</f>
        <v>1.5</v>
      </c>
      <c r="F85" s="15">
        <f>'Chiết tính'!H$1099</f>
        <v>644246.30000000005</v>
      </c>
      <c r="G85" s="15">
        <f>'Chiết tính'!H$1105</f>
        <v>483975.8</v>
      </c>
      <c r="H85" s="15">
        <f>'Công trình'!T144</f>
        <v>0</v>
      </c>
      <c r="I85" s="15">
        <f>'Chiết tính'!H$1116</f>
        <v>1452320</v>
      </c>
      <c r="J85" s="15">
        <f t="shared" si="4"/>
        <v>2178480</v>
      </c>
      <c r="K85" s="250"/>
      <c r="L85" s="250"/>
    </row>
    <row r="86" spans="1:12" ht="16.5">
      <c r="A86" s="12">
        <v>45</v>
      </c>
      <c r="B86" s="13" t="str">
        <f>'Công trình'!E146</f>
        <v>AB.11114</v>
      </c>
      <c r="C86" s="14" t="str">
        <f>'Công trình'!F146</f>
        <v>Vét bùn đầu cọc</v>
      </c>
      <c r="D86" s="13" t="str">
        <f>'Công trình'!G146</f>
        <v>m3</v>
      </c>
      <c r="E86" s="290">
        <f>ROUND('Công trình'!P146,4)</f>
        <v>0.24</v>
      </c>
      <c r="F86" s="15">
        <f>'Công trình'!Q146+'Công trình'!R146</f>
        <v>0</v>
      </c>
      <c r="G86" s="15">
        <f>'Chiết tính'!H$1118</f>
        <v>316463.3</v>
      </c>
      <c r="H86" s="15">
        <f>'Công trình'!T146</f>
        <v>0</v>
      </c>
      <c r="I86" s="15">
        <f>'Chiết tính'!H$1129</f>
        <v>407372</v>
      </c>
      <c r="J86" s="15">
        <f t="shared" si="4"/>
        <v>97769.3</v>
      </c>
      <c r="K86" s="250"/>
      <c r="L86" s="250"/>
    </row>
    <row r="87" spans="1:12" ht="16.5">
      <c r="A87" s="12">
        <v>46</v>
      </c>
      <c r="B87" s="13" t="str">
        <f>'Công trình'!E148</f>
        <v>AB.13411</v>
      </c>
      <c r="C87" s="14" t="str">
        <f>'Công trình'!F148</f>
        <v>Cát đen đệm đầu cọc</v>
      </c>
      <c r="D87" s="13" t="str">
        <f>'Công trình'!G148</f>
        <v>m3</v>
      </c>
      <c r="E87" s="290">
        <f>ROUND('Công trình'!P148,4)</f>
        <v>0.24</v>
      </c>
      <c r="F87" s="15">
        <f>'Chiết tính'!H$1131</f>
        <v>186660</v>
      </c>
      <c r="G87" s="15">
        <f>'Chiết tính'!H$1135</f>
        <v>99586.4</v>
      </c>
      <c r="H87" s="15">
        <f>'Công trình'!T148</f>
        <v>0</v>
      </c>
      <c r="I87" s="15">
        <f>'Chiết tính'!H$1146</f>
        <v>368475</v>
      </c>
      <c r="J87" s="15">
        <f t="shared" si="4"/>
        <v>88434</v>
      </c>
      <c r="K87" s="250"/>
      <c r="L87" s="250"/>
    </row>
    <row r="88" spans="1:12" ht="16.5">
      <c r="A88" s="12">
        <v>47</v>
      </c>
      <c r="B88" s="13" t="str">
        <f>'Công trình'!E150</f>
        <v>AK.98110</v>
      </c>
      <c r="C88" s="14" t="str">
        <f>'Công trình'!F150</f>
        <v>Đá dăm 2x4 lót móng, dày 10cm</v>
      </c>
      <c r="D88" s="13" t="str">
        <f>'Công trình'!G150</f>
        <v>m3</v>
      </c>
      <c r="E88" s="290">
        <f>ROUND('Công trình'!P150,4)</f>
        <v>0.24</v>
      </c>
      <c r="F88" s="15">
        <f>'Chiết tính'!H$1148</f>
        <v>453000</v>
      </c>
      <c r="G88" s="15">
        <f>'Chiết tính'!H$1152</f>
        <v>420923.8</v>
      </c>
      <c r="H88" s="15">
        <f>'Công trình'!T150</f>
        <v>0</v>
      </c>
      <c r="I88" s="15">
        <f>'Chiết tính'!H$1163</f>
        <v>1124971</v>
      </c>
      <c r="J88" s="15">
        <f t="shared" si="4"/>
        <v>269993</v>
      </c>
      <c r="K88" s="250"/>
      <c r="L88" s="250"/>
    </row>
    <row r="89" spans="1:12" ht="16.5">
      <c r="A89" s="12">
        <v>48</v>
      </c>
      <c r="B89" s="13" t="str">
        <f>'Công trình'!E152</f>
        <v>AF.81122</v>
      </c>
      <c r="C89" s="14" t="str">
        <f>'Công trình'!F152</f>
        <v>Ván khuôn gỗ móng</v>
      </c>
      <c r="D89" s="13" t="str">
        <f>'Công trình'!G152</f>
        <v>100m2</v>
      </c>
      <c r="E89" s="290">
        <f>ROUND('Công trình'!P152,4)</f>
        <v>1.3599999999999999E-2</v>
      </c>
      <c r="F89" s="15">
        <f>'Chiết tính'!H$1165</f>
        <v>6188316.2000000002</v>
      </c>
      <c r="G89" s="15">
        <f>'Chiết tính'!H$1172</f>
        <v>7781400</v>
      </c>
      <c r="H89" s="15">
        <f>'Công trình'!T152</f>
        <v>0</v>
      </c>
      <c r="I89" s="15">
        <f>'Chiết tính'!H$1183</f>
        <v>17982713</v>
      </c>
      <c r="J89" s="15">
        <f t="shared" si="4"/>
        <v>244564.9</v>
      </c>
      <c r="K89" s="250"/>
      <c r="L89" s="250"/>
    </row>
    <row r="90" spans="1:12" ht="16.5">
      <c r="A90" s="12">
        <v>49</v>
      </c>
      <c r="B90" s="13" t="str">
        <f>'Công trình'!E154</f>
        <v>AF.11213A</v>
      </c>
      <c r="C90" s="14" t="str">
        <f>'Công trình'!F154</f>
        <v>Bê tông móng M200, đá 1x2 dày 20cm</v>
      </c>
      <c r="D90" s="13" t="str">
        <f>'Công trình'!G154</f>
        <v>m3</v>
      </c>
      <c r="E90" s="290">
        <f>ROUND('Công trình'!P154,4)</f>
        <v>0.48</v>
      </c>
      <c r="F90" s="15">
        <f>'Chiết tính'!H$1185</f>
        <v>1040813.5</v>
      </c>
      <c r="G90" s="15">
        <f>'Chiết tính'!H$1192</f>
        <v>294698.2</v>
      </c>
      <c r="H90" s="15">
        <f>'Chiết tính'!H$1194</f>
        <v>54795.9</v>
      </c>
      <c r="I90" s="15">
        <f>'Chiết tính'!H$1207</f>
        <v>1789693</v>
      </c>
      <c r="J90" s="15">
        <f t="shared" si="4"/>
        <v>859052.6</v>
      </c>
      <c r="K90" s="250"/>
      <c r="L90" s="250"/>
    </row>
    <row r="91" spans="1:12" ht="33">
      <c r="A91" s="12">
        <v>50</v>
      </c>
      <c r="B91" s="13" t="str">
        <f>'Công trình'!E156</f>
        <v>AK.21133A</v>
      </c>
      <c r="C91" s="14" t="str">
        <f>'Công trình'!F156</f>
        <v>Trát tường ngoài, chiều dày trát 2cm, vữa XM mác 75, PCB30</v>
      </c>
      <c r="D91" s="13" t="str">
        <f>'Công trình'!G156</f>
        <v>m2</v>
      </c>
      <c r="E91" s="290">
        <f>ROUND('Công trình'!P156,4)</f>
        <v>10.62</v>
      </c>
      <c r="F91" s="15">
        <f>'Chiết tính'!H$1209</f>
        <v>24806.9</v>
      </c>
      <c r="G91" s="15">
        <f>'Chiết tính'!H$1215</f>
        <v>83840</v>
      </c>
      <c r="H91" s="15">
        <f>'Chiết tính'!H$1217</f>
        <v>880.1</v>
      </c>
      <c r="I91" s="15">
        <f>'Chiết tính'!H$1228</f>
        <v>140990</v>
      </c>
      <c r="J91" s="15">
        <f t="shared" si="4"/>
        <v>1497313.8</v>
      </c>
      <c r="K91" s="250"/>
      <c r="L91" s="250"/>
    </row>
    <row r="92" spans="1:12" ht="16.5">
      <c r="A92" s="12">
        <v>51</v>
      </c>
      <c r="B92" s="13" t="str">
        <f>'Công trình'!E158</f>
        <v>AF.81141</v>
      </c>
      <c r="C92" s="14" t="str">
        <f>'Công trình'!F158</f>
        <v>Ván khuôn gỗ. Ván khuôn cổ tường</v>
      </c>
      <c r="D92" s="13" t="str">
        <f>'Công trình'!G158</f>
        <v>100m2</v>
      </c>
      <c r="E92" s="290">
        <f>ROUND('Công trình'!P158,4)</f>
        <v>9.2999999999999992E-3</v>
      </c>
      <c r="F92" s="15">
        <f>'Chiết tính'!H$1230</f>
        <v>8793002.5</v>
      </c>
      <c r="G92" s="15">
        <f>'Chiết tính'!H$1237</f>
        <v>7205000</v>
      </c>
      <c r="H92" s="15">
        <f>'Công trình'!T158</f>
        <v>0</v>
      </c>
      <c r="I92" s="15">
        <f>'Chiết tính'!H$1248</f>
        <v>20593653</v>
      </c>
      <c r="J92" s="15">
        <f t="shared" si="4"/>
        <v>191521</v>
      </c>
      <c r="K92" s="250"/>
      <c r="L92" s="250"/>
    </row>
    <row r="93" spans="1:12" ht="16.5">
      <c r="A93" s="12">
        <v>52</v>
      </c>
      <c r="B93" s="13" t="str">
        <f>'Công trình'!E160</f>
        <v>AF.12314A</v>
      </c>
      <c r="C93" s="14" t="str">
        <f>'Công trình'!F160</f>
        <v>Bê tông cổ tường M250, đá 1x2</v>
      </c>
      <c r="D93" s="13" t="str">
        <f>'Công trình'!G160</f>
        <v>m3</v>
      </c>
      <c r="E93" s="290">
        <f>ROUND('Công trình'!P160,4)</f>
        <v>0.13</v>
      </c>
      <c r="F93" s="15">
        <f>'Chiết tính'!H$1250</f>
        <v>1099539</v>
      </c>
      <c r="G93" s="15">
        <f>'Chiết tính'!H$1257</f>
        <v>639710.6</v>
      </c>
      <c r="H93" s="15">
        <f>'Chiết tính'!H$1259</f>
        <v>79863</v>
      </c>
      <c r="I93" s="15">
        <f>'Chiết tính'!H$1272</f>
        <v>2341678</v>
      </c>
      <c r="J93" s="15">
        <f t="shared" si="4"/>
        <v>304418.09999999998</v>
      </c>
      <c r="K93" s="250"/>
      <c r="L93" s="250"/>
    </row>
    <row r="94" spans="1:12" ht="33">
      <c r="A94" s="12">
        <v>53</v>
      </c>
      <c r="B94" s="13" t="str">
        <f>'Công trình'!E162</f>
        <v>AF.61511</v>
      </c>
      <c r="C94" s="14" t="str">
        <f>'Công trình'!F162</f>
        <v>Công tác gia công lắp dựng cốt thép. Cốt thép cổ tường</v>
      </c>
      <c r="D94" s="13" t="str">
        <f>'Công trình'!G162</f>
        <v>tấn</v>
      </c>
      <c r="E94" s="290">
        <f>ROUND('Công trình'!P162,4)</f>
        <v>3.0999999999999999E-3</v>
      </c>
      <c r="F94" s="15">
        <f>'Chiết tính'!H$1274</f>
        <v>16968180</v>
      </c>
      <c r="G94" s="15">
        <f>'Chiết tính'!H$1278</f>
        <v>4032180</v>
      </c>
      <c r="H94" s="15">
        <f>'Chiết tính'!H$1280</f>
        <v>111836.4</v>
      </c>
      <c r="I94" s="15">
        <f>'Chiết tính'!H$1291</f>
        <v>27176971</v>
      </c>
      <c r="J94" s="15">
        <f t="shared" si="4"/>
        <v>84248.6</v>
      </c>
      <c r="K94" s="250"/>
      <c r="L94" s="250"/>
    </row>
    <row r="95" spans="1:12" ht="49.5">
      <c r="A95" s="12">
        <v>54</v>
      </c>
      <c r="B95" s="13" t="str">
        <f>'Công trình'!E164</f>
        <v>AF.61521</v>
      </c>
      <c r="C95" s="14" t="str">
        <f>'Công trình'!F164</f>
        <v>Công tác gia công lắp dựng cốt thép. Cốt thép xà dầm, giằng, đường kính cốt thép &lt;= 18mm, chiều cao &lt;= 6m</v>
      </c>
      <c r="D95" s="13" t="str">
        <f>'Công trình'!G164</f>
        <v>tấn</v>
      </c>
      <c r="E95" s="290">
        <f>ROUND('Công trình'!P164,4)</f>
        <v>1.26E-2</v>
      </c>
      <c r="F95" s="15">
        <f>'Chiết tính'!H$1293</f>
        <v>17170220</v>
      </c>
      <c r="G95" s="15">
        <f>'Chiết tính'!H$1298</f>
        <v>2420880</v>
      </c>
      <c r="H95" s="15">
        <f>'Chiết tính'!H$1300</f>
        <v>545678.30000000005</v>
      </c>
      <c r="I95" s="15">
        <f>'Chiết tính'!H$1313</f>
        <v>25921350</v>
      </c>
      <c r="J95" s="15">
        <f t="shared" si="4"/>
        <v>326609</v>
      </c>
      <c r="K95" s="250"/>
      <c r="L95" s="250"/>
    </row>
    <row r="96" spans="1:12" s="305" customFormat="1" ht="16.5">
      <c r="A96" s="299">
        <v>55</v>
      </c>
      <c r="B96" s="300"/>
      <c r="C96" s="301" t="s">
        <v>1353</v>
      </c>
      <c r="D96" s="300" t="s">
        <v>52</v>
      </c>
      <c r="E96" s="302">
        <v>1.3599999999999999E-2</v>
      </c>
      <c r="F96" s="303"/>
      <c r="G96" s="303"/>
      <c r="H96" s="303"/>
      <c r="I96" s="303">
        <f>I97+I98</f>
        <v>7548443</v>
      </c>
      <c r="J96" s="303">
        <f>I96*E96</f>
        <v>102658.82479999999</v>
      </c>
      <c r="K96" s="304"/>
      <c r="L96" s="304"/>
    </row>
    <row r="97" spans="1:12" ht="16.5" hidden="1">
      <c r="A97" s="294">
        <f>'Công trình'!A166</f>
        <v>55</v>
      </c>
      <c r="B97" s="295" t="str">
        <f>'Công trình'!E166</f>
        <v>AB.41412</v>
      </c>
      <c r="C97" s="296" t="str">
        <f>'Công trình'!F166</f>
        <v>Vận chuyển đất cấp II</v>
      </c>
      <c r="D97" s="295" t="str">
        <f>'Công trình'!G166</f>
        <v>100m3</v>
      </c>
      <c r="E97" s="297">
        <f>ROUND('Công trình'!P166,4)</f>
        <v>1.3599999999999999E-2</v>
      </c>
      <c r="F97" s="298">
        <f>'Công trình'!Q166+'Công trình'!R166</f>
        <v>0</v>
      </c>
      <c r="G97" s="298">
        <f>'Công trình'!S166</f>
        <v>0</v>
      </c>
      <c r="H97" s="298">
        <f>'Chiết tính'!H$1315</f>
        <v>2313202.9</v>
      </c>
      <c r="I97" s="298">
        <f>'Chiết tính'!H$1326</f>
        <v>2977703</v>
      </c>
      <c r="J97" s="298"/>
      <c r="K97" s="250"/>
      <c r="L97" s="250"/>
    </row>
    <row r="98" spans="1:12" ht="33" hidden="1">
      <c r="A98" s="294">
        <f>'Công trình'!A168</f>
        <v>56</v>
      </c>
      <c r="B98" s="295" t="str">
        <f>'Công trình'!E168</f>
        <v>AB.42212</v>
      </c>
      <c r="C98" s="296" t="str">
        <f>'Công trình'!F168</f>
        <v>Vận chuyển đất bằng ô tô tự đổ 5T 1km tiếp theo ngoài phạm vi 5km, đất cấp II</v>
      </c>
      <c r="D98" s="295" t="str">
        <f>'Công trình'!G168</f>
        <v>100m3</v>
      </c>
      <c r="E98" s="297">
        <f>ROUND('Công trình'!P168,4)</f>
        <v>1.3599999999999999E-2</v>
      </c>
      <c r="F98" s="298">
        <f>'Công trình'!Q168+'Công trình'!R168</f>
        <v>0</v>
      </c>
      <c r="G98" s="298">
        <f>'Công trình'!S168</f>
        <v>0</v>
      </c>
      <c r="H98" s="298">
        <f>'Chiết tính'!H$1328</f>
        <v>3550740.4</v>
      </c>
      <c r="I98" s="298">
        <f>'Chiết tính'!H$1339</f>
        <v>4570740</v>
      </c>
      <c r="J98" s="298"/>
      <c r="K98" s="250"/>
      <c r="L98" s="250"/>
    </row>
    <row r="99" spans="1:12" ht="16.5" hidden="1">
      <c r="A99" s="12"/>
      <c r="B99" s="13"/>
      <c r="C99" s="87" t="str">
        <f>"KẾT THÚC : "&amp;C26</f>
        <v>KẾT THÚC : HỆ THỐNG THOÁT NƯỚC</v>
      </c>
      <c r="D99" s="13"/>
      <c r="E99" s="290"/>
      <c r="F99" s="15"/>
      <c r="G99" s="15"/>
      <c r="H99" s="15"/>
      <c r="I99" s="15"/>
      <c r="J99" s="15"/>
      <c r="K99" s="250"/>
      <c r="L99" s="250"/>
    </row>
    <row r="100" spans="1:12" ht="12.75">
      <c r="A100" s="251"/>
      <c r="B100" s="252"/>
      <c r="C100" s="135" t="s">
        <v>779</v>
      </c>
      <c r="D100" s="136"/>
      <c r="E100" s="291"/>
      <c r="F100" s="138"/>
      <c r="G100" s="138"/>
      <c r="H100" s="138"/>
      <c r="I100" s="138"/>
      <c r="J100" s="139" t="e">
        <f>SUM(J5:J96)</f>
        <v>#REF!</v>
      </c>
      <c r="K100" s="138"/>
      <c r="L100" s="138"/>
    </row>
    <row r="101" spans="1:12" ht="12.75">
      <c r="A101" s="175"/>
      <c r="B101" s="135"/>
      <c r="C101" s="135" t="s">
        <v>780</v>
      </c>
      <c r="D101" s="135"/>
      <c r="E101" s="292"/>
      <c r="F101" s="253"/>
      <c r="G101" s="253"/>
      <c r="H101" s="253"/>
      <c r="I101" s="253"/>
      <c r="J101" s="176" t="e">
        <f>ROUND(J100,-3)</f>
        <v>#REF!</v>
      </c>
      <c r="K101" s="250"/>
      <c r="L101" s="250"/>
    </row>
    <row r="102" spans="1:12">
      <c r="A102" s="1023" t="s">
        <v>1093</v>
      </c>
      <c r="B102" s="1063"/>
      <c r="C102" s="1048"/>
      <c r="D102" s="1063"/>
      <c r="E102" s="1064"/>
      <c r="F102" s="1049"/>
      <c r="G102" s="1049"/>
      <c r="H102" s="1049"/>
      <c r="I102" s="1049"/>
      <c r="J102" s="1050"/>
      <c r="K102" s="233"/>
      <c r="L102" s="233"/>
    </row>
    <row r="107" spans="1:12" ht="12.75">
      <c r="J107" s="176" t="e">
        <f>J101*0.5%</f>
        <v>#REF!</v>
      </c>
    </row>
    <row r="111" spans="1:12" ht="12.75">
      <c r="J111" s="176">
        <v>2061950000</v>
      </c>
    </row>
    <row r="115" spans="9:16">
      <c r="J115" s="313" t="e">
        <f>J111-J101</f>
        <v>#REF!</v>
      </c>
    </row>
    <row r="118" spans="9:16" ht="12.75">
      <c r="J118" s="176" t="e">
        <f>J101*2%</f>
        <v>#REF!</v>
      </c>
    </row>
    <row r="120" spans="9:16">
      <c r="J120">
        <v>41000000</v>
      </c>
    </row>
    <row r="121" spans="9:16">
      <c r="J121" t="e">
        <f>J120/J101*100</f>
        <v>#REF!</v>
      </c>
      <c r="P121" s="312">
        <v>44896</v>
      </c>
    </row>
    <row r="122" spans="9:16">
      <c r="P122" s="312">
        <f>+P121+90</f>
        <v>44986</v>
      </c>
    </row>
    <row r="124" spans="9:16">
      <c r="I124">
        <v>600000000</v>
      </c>
    </row>
    <row r="125" spans="9:16">
      <c r="I125" t="e">
        <f>I124/J101*100</f>
        <v>#REF!</v>
      </c>
    </row>
  </sheetData>
  <mergeCells count="4">
    <mergeCell ref="A1:L1"/>
    <mergeCell ref="A2:L2"/>
    <mergeCell ref="A3:L3"/>
    <mergeCell ref="A102:J102"/>
  </mergeCells>
  <pageMargins left="1.1875" right="0" top="0.80208333333333337" bottom="0.80208333333333337" header="0.40625" footer="0.40625"/>
  <pageSetup paperSize="9" orientation="portrait" blackAndWhite="1" useFirstPageNumber="1" verticalDpi="0" r:id="rId1"/>
  <headerFooter alignWithMargins="0">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FF0000"/>
    <pageSetUpPr fitToPage="1"/>
  </sheetPr>
  <dimension ref="A1:I111"/>
  <sheetViews>
    <sheetView zoomScale="85" zoomScaleNormal="85" workbookViewId="0">
      <selection activeCell="K110" sqref="K110"/>
    </sheetView>
  </sheetViews>
  <sheetFormatPr defaultColWidth="10" defaultRowHeight="15.75"/>
  <cols>
    <col min="1" max="1" width="6.5" style="316" customWidth="1"/>
    <col min="2" max="2" width="69.5" style="316" customWidth="1"/>
    <col min="3" max="3" width="9.33203125" style="316" customWidth="1"/>
    <col min="4" max="4" width="15.5" style="366" customWidth="1"/>
    <col min="5" max="7" width="13.33203125" style="316" hidden="1" customWidth="1"/>
    <col min="8" max="8" width="15" style="316" bestFit="1" customWidth="1"/>
    <col min="9" max="9" width="18.1640625" style="316" customWidth="1"/>
    <col min="10" max="16384" width="10" style="316"/>
  </cols>
  <sheetData>
    <row r="1" spans="1:9" ht="21" customHeight="1">
      <c r="A1" s="1053" t="s">
        <v>1364</v>
      </c>
      <c r="B1" s="1054"/>
      <c r="C1" s="1054"/>
      <c r="D1" s="1054"/>
      <c r="E1" s="1054"/>
      <c r="F1" s="1054"/>
      <c r="G1" s="1054"/>
      <c r="H1" s="1054"/>
      <c r="I1" s="1054"/>
    </row>
    <row r="2" spans="1:9">
      <c r="A2" s="1055" t="s">
        <v>1359</v>
      </c>
      <c r="B2" s="1055"/>
      <c r="C2" s="1055"/>
      <c r="D2" s="1055"/>
      <c r="E2" s="1055"/>
      <c r="F2" s="1055"/>
      <c r="G2" s="1055"/>
      <c r="H2" s="1055"/>
      <c r="I2" s="1055"/>
    </row>
    <row r="3" spans="1:9" ht="40.5" customHeight="1">
      <c r="A3" s="1056" t="s">
        <v>1202</v>
      </c>
      <c r="B3" s="1057"/>
      <c r="C3" s="1057"/>
      <c r="D3" s="1057"/>
      <c r="E3" s="1057"/>
      <c r="F3" s="1057"/>
      <c r="G3" s="1057"/>
      <c r="H3" s="1057"/>
      <c r="I3" s="1057"/>
    </row>
    <row r="4" spans="1:9" ht="31.5">
      <c r="A4" s="317" t="s">
        <v>4</v>
      </c>
      <c r="B4" s="317" t="s">
        <v>778</v>
      </c>
      <c r="C4" s="317" t="s">
        <v>359</v>
      </c>
      <c r="D4" s="318" t="s">
        <v>17</v>
      </c>
      <c r="E4" s="317" t="str">
        <f>"Vật liệu_x000D_
"&amp;'Công trình'!AL1</f>
        <v>Vật liệu_x000D_
(đ)</v>
      </c>
      <c r="F4" s="317" t="str">
        <f>"Nhân công_x000D_
"&amp;'Công trình'!AL1</f>
        <v>Nhân công_x000D_
(đ)</v>
      </c>
      <c r="G4" s="317" t="str">
        <f>"Máy_x000D_
"&amp;'Công trình'!AL1</f>
        <v>Máy_x000D_
(đ)</v>
      </c>
      <c r="H4" s="317" t="str">
        <f>"Đơn giá_x000D_
"&amp;'Công trình'!AL1</f>
        <v>Đơn giá_x000D_
(đ)</v>
      </c>
      <c r="I4" s="317" t="str">
        <f>"Thành tiền_x000D_
"&amp;'Công trình'!AL1</f>
        <v>Thành tiền_x000D_
(đ)</v>
      </c>
    </row>
    <row r="5" spans="1:9" s="323" customFormat="1">
      <c r="A5" s="319" t="s">
        <v>364</v>
      </c>
      <c r="B5" s="320" t="str">
        <f>'Công trình'!F7</f>
        <v>SỬA CHỮA NỀN MẶT ĐƯỜNG:</v>
      </c>
      <c r="C5" s="320"/>
      <c r="D5" s="321"/>
      <c r="E5" s="322"/>
      <c r="F5" s="322"/>
      <c r="G5" s="322"/>
      <c r="H5" s="322"/>
      <c r="I5" s="322"/>
    </row>
    <row r="6" spans="1:9" ht="15.75" hidden="1" customHeight="1">
      <c r="A6" s="324"/>
      <c r="B6" s="325" t="str">
        <f>'Công trình'!F8</f>
        <v>NỀN ĐƯỜNG:</v>
      </c>
      <c r="C6" s="325"/>
      <c r="D6" s="326"/>
      <c r="E6" s="327"/>
      <c r="F6" s="327"/>
      <c r="G6" s="327"/>
      <c r="H6" s="327"/>
      <c r="I6" s="327"/>
    </row>
    <row r="7" spans="1:9" ht="31.5">
      <c r="A7" s="328">
        <v>1</v>
      </c>
      <c r="B7" s="329" t="str">
        <f>'Công trình'!F9</f>
        <v>Phá dỡ kết cấu bê tông bằng máy đào 1,25m3 gắn đầu búa thủy lực</v>
      </c>
      <c r="C7" s="330" t="str">
        <f>'Công trình'!G9</f>
        <v>m3</v>
      </c>
      <c r="D7" s="331">
        <f>ROUND('Công trình'!P9,4)</f>
        <v>90.89</v>
      </c>
      <c r="E7" s="332">
        <f>'Công trình'!Q9+'Công trình'!R9</f>
        <v>0</v>
      </c>
      <c r="F7" s="332">
        <f>'Chiết tính'!H$7</f>
        <v>2876.9</v>
      </c>
      <c r="G7" s="332">
        <f>'Chiết tính'!H$9</f>
        <v>94446</v>
      </c>
      <c r="H7" s="333">
        <f>'Chiết tính'!H$20</f>
        <v>125280</v>
      </c>
      <c r="I7" s="333">
        <f>ROUND(IF(D$5=0,D7*H7,D$5*D7*H7),1)</f>
        <v>11386699.199999999</v>
      </c>
    </row>
    <row r="8" spans="1:9">
      <c r="A8" s="328">
        <v>2</v>
      </c>
      <c r="B8" s="329" t="str">
        <f>'Công trình'!F11</f>
        <v>Đào nền đường, đất cấp II</v>
      </c>
      <c r="C8" s="330" t="str">
        <f>'Công trình'!G11</f>
        <v>100m3</v>
      </c>
      <c r="D8" s="331">
        <f>ROUND('Công trình'!P11,4)</f>
        <v>7.7824999999999998</v>
      </c>
      <c r="E8" s="332">
        <f>'Công trình'!Q11+'Công trình'!R11</f>
        <v>0</v>
      </c>
      <c r="F8" s="332">
        <f>'Chiết tính'!H$22</f>
        <v>759069.3</v>
      </c>
      <c r="G8" s="332">
        <f>'Chiết tính'!H$24</f>
        <v>1149661.3</v>
      </c>
      <c r="H8" s="333">
        <f>'Chiết tính'!H$37</f>
        <v>2457040</v>
      </c>
      <c r="I8" s="333">
        <f>ROUND(IF(D$5=0,D8*H8,D$5*D8*H8),1)</f>
        <v>19121913.800000001</v>
      </c>
    </row>
    <row r="9" spans="1:9">
      <c r="A9" s="328">
        <v>3</v>
      </c>
      <c r="B9" s="329" t="str">
        <f>'Công trình'!F13</f>
        <v>Lớp đất núi đầm chặt K95, dày 30cm</v>
      </c>
      <c r="C9" s="330" t="str">
        <f>'Công trình'!G13</f>
        <v>100m3</v>
      </c>
      <c r="D9" s="331">
        <f>ROUND('Công trình'!P13,4)</f>
        <v>5.2055999999999996</v>
      </c>
      <c r="E9" s="332">
        <f>'Công trình'!Q13+'Công trình'!R13</f>
        <v>0</v>
      </c>
      <c r="F9" s="332">
        <f>'Chiết tính'!H$39</f>
        <v>365150</v>
      </c>
      <c r="G9" s="332">
        <f>'Chiết tính'!H$41</f>
        <v>944559.5</v>
      </c>
      <c r="H9" s="333">
        <f>'Chiết tính'!H$55</f>
        <v>1685943</v>
      </c>
      <c r="I9" s="333">
        <f>ROUND(IF(D$5=0,D9*H9,D$5*D9*H9),1)</f>
        <v>8776344.9000000004</v>
      </c>
    </row>
    <row r="10" spans="1:9">
      <c r="A10" s="328">
        <v>4</v>
      </c>
      <c r="B10" s="329" t="str">
        <f>'Công trình'!F15</f>
        <v>Tiền đất núi</v>
      </c>
      <c r="C10" s="330" t="str">
        <f>'Công trình'!G15</f>
        <v>m3</v>
      </c>
      <c r="D10" s="331">
        <f>ROUND('Công trình'!P15,4)</f>
        <v>588.2328</v>
      </c>
      <c r="E10" s="332">
        <f>'Chiết tính'!H$57</f>
        <v>190000</v>
      </c>
      <c r="F10" s="332">
        <f>'Công trình'!S15</f>
        <v>0</v>
      </c>
      <c r="G10" s="332">
        <f>'Công trình'!T15</f>
        <v>0</v>
      </c>
      <c r="H10" s="333">
        <f>'Chiết tính'!H$68</f>
        <v>244581</v>
      </c>
      <c r="I10" s="333">
        <f>ROUND(IF(D$5=0,D10*H10,D$5*D10*H10),1)</f>
        <v>143870566.5</v>
      </c>
    </row>
    <row r="11" spans="1:9">
      <c r="A11" s="328">
        <v>5</v>
      </c>
      <c r="B11" s="329" t="str">
        <f>'Công trình'!F17</f>
        <v>Cấp phối đá dăm loại I, lớp trên dày 18 cm</v>
      </c>
      <c r="C11" s="330" t="str">
        <f>'Công trình'!G17</f>
        <v>100m3</v>
      </c>
      <c r="D11" s="331">
        <f>ROUND('Công trình'!P17,4)</f>
        <v>3.1234000000000002</v>
      </c>
      <c r="E11" s="332">
        <f>'Chiết tính'!H$70</f>
        <v>36180000</v>
      </c>
      <c r="F11" s="332">
        <f>'Chiết tính'!H$72</f>
        <v>843363.8</v>
      </c>
      <c r="G11" s="332">
        <f>'Chiết tính'!H$74</f>
        <v>2714101.5</v>
      </c>
      <c r="H11" s="333">
        <f>'Chiết tính'!H$91</f>
        <v>51152608</v>
      </c>
      <c r="I11" s="333">
        <f>ROUND(IF(D$5=0,D11*H11,D$5*D11*H11),1)</f>
        <v>159770055.80000001</v>
      </c>
    </row>
    <row r="12" spans="1:9" s="340" customFormat="1">
      <c r="A12" s="334">
        <v>6</v>
      </c>
      <c r="B12" s="335" t="s">
        <v>1353</v>
      </c>
      <c r="C12" s="336" t="s">
        <v>52</v>
      </c>
      <c r="D12" s="337">
        <v>0.90890000000000004</v>
      </c>
      <c r="E12" s="338"/>
      <c r="F12" s="338"/>
      <c r="G12" s="338"/>
      <c r="H12" s="339">
        <f>H13+H14</f>
        <v>8951034</v>
      </c>
      <c r="I12" s="339">
        <f>H12*D12</f>
        <v>8135594.8026000001</v>
      </c>
    </row>
    <row r="13" spans="1:9" ht="31.5" hidden="1" customHeight="1">
      <c r="A13" s="324">
        <f>'Công trình'!A19</f>
        <v>6</v>
      </c>
      <c r="B13" s="325" t="str">
        <f>'Công trình'!F19</f>
        <v xml:space="preserve">Vận chuyển đất bằng ôtô tự đổ 5 tấn </v>
      </c>
      <c r="C13" s="341" t="str">
        <f>'Công trình'!G19</f>
        <v>100m3</v>
      </c>
      <c r="D13" s="342">
        <f>ROUND('Công trình'!P19,4)</f>
        <v>0.90890000000000004</v>
      </c>
      <c r="E13" s="343">
        <f>'Công trình'!Q19+'Công trình'!R19</f>
        <v>0</v>
      </c>
      <c r="F13" s="343">
        <f>'Công trình'!S19</f>
        <v>0</v>
      </c>
      <c r="G13" s="343">
        <f>'Chiết tính'!H$93</f>
        <v>2978096.4</v>
      </c>
      <c r="H13" s="344">
        <f>'Chiết tính'!H$104</f>
        <v>3833597</v>
      </c>
      <c r="I13" s="344"/>
    </row>
    <row r="14" spans="1:9" ht="31.5" hidden="1" customHeight="1">
      <c r="A14" s="324">
        <f>'Công trình'!A22</f>
        <v>7</v>
      </c>
      <c r="B14" s="325" t="str">
        <f>'Công trình'!F22</f>
        <v>Vận chuyển đất bằng ô tô tự đổ 5T 1km tiếp theo ngoài phạm vi 5km, đất cấp III</v>
      </c>
      <c r="C14" s="341" t="str">
        <f>'Công trình'!G22</f>
        <v>100m3</v>
      </c>
      <c r="D14" s="342">
        <f>ROUND('Công trình'!P22,4)</f>
        <v>0.90890000000000004</v>
      </c>
      <c r="E14" s="343">
        <f>'Công trình'!Q22+'Công trình'!R22</f>
        <v>0</v>
      </c>
      <c r="F14" s="343">
        <f>'Công trình'!S22</f>
        <v>0</v>
      </c>
      <c r="G14" s="343">
        <f>'Chiết tính'!H$106</f>
        <v>3975436.8</v>
      </c>
      <c r="H14" s="344">
        <f>'Chiết tính'!H$117</f>
        <v>5117437</v>
      </c>
      <c r="I14" s="344"/>
    </row>
    <row r="15" spans="1:9" s="340" customFormat="1">
      <c r="A15" s="334">
        <v>7</v>
      </c>
      <c r="B15" s="335" t="s">
        <v>1353</v>
      </c>
      <c r="C15" s="336" t="s">
        <v>52</v>
      </c>
      <c r="D15" s="337">
        <v>7.7824999999999998</v>
      </c>
      <c r="E15" s="338"/>
      <c r="F15" s="338"/>
      <c r="G15" s="338"/>
      <c r="H15" s="339">
        <f>H16+H17</f>
        <v>7548443</v>
      </c>
      <c r="I15" s="339">
        <f>H15*D15</f>
        <v>58745757.647500001</v>
      </c>
    </row>
    <row r="16" spans="1:9" ht="31.5" hidden="1" customHeight="1">
      <c r="A16" s="324">
        <f>'Công trình'!A24</f>
        <v>7</v>
      </c>
      <c r="B16" s="325" t="str">
        <f>'Công trình'!F24</f>
        <v>Vận chuyển đất bằng ôtô tự đổ 5 tấn trong phạm vi &lt;= 1000m, đất cấp II</v>
      </c>
      <c r="C16" s="341" t="str">
        <f>'Công trình'!G24</f>
        <v>100m3</v>
      </c>
      <c r="D16" s="342">
        <f>ROUND('Công trình'!P24,4)</f>
        <v>7.7824999999999998</v>
      </c>
      <c r="E16" s="343">
        <f>'Công trình'!Q24+'Công trình'!R24</f>
        <v>0</v>
      </c>
      <c r="F16" s="343">
        <f>'Công trình'!S24</f>
        <v>0</v>
      </c>
      <c r="G16" s="343">
        <f>'Chiết tính'!H$119</f>
        <v>2313202.9</v>
      </c>
      <c r="H16" s="344">
        <f>'Chiết tính'!H$130</f>
        <v>2977703</v>
      </c>
      <c r="I16" s="344"/>
    </row>
    <row r="17" spans="1:9" ht="31.5" hidden="1" customHeight="1">
      <c r="A17" s="324">
        <f>'Công trình'!A27</f>
        <v>9</v>
      </c>
      <c r="B17" s="325" t="str">
        <f>'Công trình'!F27</f>
        <v>Vận chuyển đất bằng ô tô tự đổ 5T 1km tiếp theo ngoài phạm vi 5km, đất cấp II</v>
      </c>
      <c r="C17" s="341" t="str">
        <f>'Công trình'!G27</f>
        <v>100m3</v>
      </c>
      <c r="D17" s="342">
        <f>ROUND('Công trình'!P27,4)</f>
        <v>7.7824999999999998</v>
      </c>
      <c r="E17" s="343">
        <f>'Công trình'!Q27+'Công trình'!R27</f>
        <v>0</v>
      </c>
      <c r="F17" s="343">
        <f>'Công trình'!S27</f>
        <v>0</v>
      </c>
      <c r="G17" s="343">
        <f>'Chiết tính'!H$132</f>
        <v>3550740.4</v>
      </c>
      <c r="H17" s="344">
        <f>'Chiết tính'!H$143</f>
        <v>4570740</v>
      </c>
      <c r="I17" s="344"/>
    </row>
    <row r="18" spans="1:9" ht="15.75" hidden="1" customHeight="1">
      <c r="A18" s="324"/>
      <c r="B18" s="325" t="str">
        <f>'Công trình'!F29</f>
        <v>I.B. MẶT ĐƯỜNG</v>
      </c>
      <c r="C18" s="341"/>
      <c r="D18" s="342"/>
      <c r="E18" s="343"/>
      <c r="F18" s="343"/>
      <c r="G18" s="343"/>
      <c r="H18" s="344"/>
      <c r="I18" s="344"/>
    </row>
    <row r="19" spans="1:9">
      <c r="A19" s="328">
        <v>8</v>
      </c>
      <c r="B19" s="329" t="str">
        <f>'Công trình'!F30</f>
        <v>Nilon chống mất nước xi măng</v>
      </c>
      <c r="C19" s="330" t="str">
        <f>'Công trình'!G30</f>
        <v>100m2</v>
      </c>
      <c r="D19" s="331">
        <f>ROUND('Công trình'!P30,4)</f>
        <v>17.352</v>
      </c>
      <c r="E19" s="332">
        <f>'Chiết tính'!H$145</f>
        <v>1104705</v>
      </c>
      <c r="F19" s="332">
        <f>'Chiết tính'!H$149</f>
        <v>282960</v>
      </c>
      <c r="G19" s="332">
        <f>'Công trình'!T30</f>
        <v>0</v>
      </c>
      <c r="H19" s="333">
        <f>'Chiết tính'!H$160</f>
        <v>1786291</v>
      </c>
      <c r="I19" s="333">
        <f t="shared" ref="I19:I24" si="0">ROUND(IF(D$5=0,D19*H19,D$5*D19*H19),1)</f>
        <v>30995721.399999999</v>
      </c>
    </row>
    <row r="20" spans="1:9">
      <c r="A20" s="328">
        <v>9</v>
      </c>
      <c r="B20" s="329" t="str">
        <f>'Công trình'!F32</f>
        <v>Ván khuôn thép. Ván khuôn mặt đường</v>
      </c>
      <c r="C20" s="330" t="str">
        <f>'Công trình'!G32</f>
        <v>100m2</v>
      </c>
      <c r="D20" s="331">
        <f>ROUND('Công trình'!P32,4)</f>
        <v>1.8123</v>
      </c>
      <c r="E20" s="332">
        <f>'Chiết tính'!H$162</f>
        <v>686437.5</v>
      </c>
      <c r="F20" s="332">
        <f>'Chiết tính'!H$167</f>
        <v>3270692</v>
      </c>
      <c r="G20" s="332">
        <f>'Chiết tính'!H$169</f>
        <v>172497.8</v>
      </c>
      <c r="H20" s="333">
        <f>'Chiết tính'!H$182</f>
        <v>5315921</v>
      </c>
      <c r="I20" s="333">
        <f t="shared" si="0"/>
        <v>9634043.5999999996</v>
      </c>
    </row>
    <row r="21" spans="1:9" ht="31.5">
      <c r="A21" s="328">
        <v>10</v>
      </c>
      <c r="B21" s="329" t="str">
        <f>'Công trình'!F34</f>
        <v>Đổ bê tông thủ công bằng máy trộn, bê tông mặt đường, chiều dày mặt đường &lt;=25 cm, đá 2x4, mác 250, PCB30</v>
      </c>
      <c r="C21" s="330" t="str">
        <f>'Công trình'!G34</f>
        <v>m3</v>
      </c>
      <c r="D21" s="331">
        <f>ROUND('Công trình'!P34,4)</f>
        <v>354.86</v>
      </c>
      <c r="E21" s="332">
        <f>'Chiết tính'!H$184</f>
        <v>1082427</v>
      </c>
      <c r="F21" s="332">
        <f>'Chiết tính'!H$191</f>
        <v>358940</v>
      </c>
      <c r="G21" s="332">
        <f>'Chiết tính'!H$193</f>
        <v>80577.899999999994</v>
      </c>
      <c r="H21" s="333">
        <f>'Chiết tính'!H$208</f>
        <v>1959145</v>
      </c>
      <c r="I21" s="333">
        <f t="shared" si="0"/>
        <v>695222194.70000005</v>
      </c>
    </row>
    <row r="22" spans="1:9" ht="31.5">
      <c r="A22" s="328">
        <v>11</v>
      </c>
      <c r="B22" s="329" t="str">
        <f>'Công trình'!F37</f>
        <v>Đánh bóng bề mặt đường BTXM bằng máy xoa, kết hợp bổ sung xi măng</v>
      </c>
      <c r="C22" s="330" t="str">
        <f>'Công trình'!G37</f>
        <v>m2</v>
      </c>
      <c r="D22" s="331">
        <f>ROUND('Công trình'!P37,4)</f>
        <v>1735.2</v>
      </c>
      <c r="E22" s="332">
        <f>'Chiết tính'!H$210</f>
        <v>11144.5</v>
      </c>
      <c r="F22" s="332">
        <f>'Chiết tính'!H$215</f>
        <v>9669.9</v>
      </c>
      <c r="G22" s="332">
        <f>'Chiết tính'!H$217</f>
        <v>4000</v>
      </c>
      <c r="H22" s="333">
        <f>'Chiết tính'!H$228</f>
        <v>31943</v>
      </c>
      <c r="I22" s="333">
        <f t="shared" si="0"/>
        <v>55427493.600000001</v>
      </c>
    </row>
    <row r="23" spans="1:9">
      <c r="A23" s="328">
        <v>12</v>
      </c>
      <c r="B23" s="329" t="str">
        <f>'Công trình'!F39</f>
        <v>Thi công khe co sân, bãi, mặt đường bê tông</v>
      </c>
      <c r="C23" s="330" t="str">
        <f>'Công trình'!G39</f>
        <v>m</v>
      </c>
      <c r="D23" s="331">
        <f>ROUND('Công trình'!P39,4)</f>
        <v>268</v>
      </c>
      <c r="E23" s="332">
        <f>'Chiết tính'!H$230</f>
        <v>86850.8</v>
      </c>
      <c r="F23" s="332">
        <f>'Chiết tính'!H$236</f>
        <v>23580</v>
      </c>
      <c r="G23" s="332">
        <f>'Chiết tính'!H$238</f>
        <v>13177.4</v>
      </c>
      <c r="H23" s="333">
        <f>'Chiết tính'!H$252</f>
        <v>159116</v>
      </c>
      <c r="I23" s="333">
        <f t="shared" si="0"/>
        <v>42643088</v>
      </c>
    </row>
    <row r="24" spans="1:9">
      <c r="A24" s="328">
        <v>13</v>
      </c>
      <c r="B24" s="329" t="str">
        <f>'Công trình'!F41</f>
        <v>Làm khe giãn, bố trí 20m/Khe giãn sâu 20cm</v>
      </c>
      <c r="C24" s="330" t="str">
        <f>'Công trình'!G41</f>
        <v>m</v>
      </c>
      <c r="D24" s="331">
        <f>ROUND('Công trình'!P41,4)</f>
        <v>89</v>
      </c>
      <c r="E24" s="332">
        <f>'Chiết tính'!H$254</f>
        <v>213797</v>
      </c>
      <c r="F24" s="332">
        <f>'Chiết tính'!H$263</f>
        <v>57640</v>
      </c>
      <c r="G24" s="332">
        <f>'Chiết tính'!H$265</f>
        <v>16884.8</v>
      </c>
      <c r="H24" s="333">
        <f>'Chiết tính'!H$279</f>
        <v>371147</v>
      </c>
      <c r="I24" s="333">
        <f t="shared" si="0"/>
        <v>33032083</v>
      </c>
    </row>
    <row r="25" spans="1:9" ht="15.75" hidden="1" customHeight="1">
      <c r="A25" s="345"/>
      <c r="B25" s="346" t="str">
        <f>"KẾT THÚC : "&amp;B5</f>
        <v>KẾT THÚC : SỬA CHỮA NỀN MẶT ĐƯỜNG:</v>
      </c>
      <c r="C25" s="341"/>
      <c r="D25" s="342"/>
      <c r="E25" s="343"/>
      <c r="F25" s="343"/>
      <c r="G25" s="343"/>
      <c r="H25" s="344"/>
      <c r="I25" s="344"/>
    </row>
    <row r="26" spans="1:9" s="323" customFormat="1">
      <c r="A26" s="319" t="s">
        <v>490</v>
      </c>
      <c r="B26" s="320" t="str">
        <f>'Công trình'!F43</f>
        <v>HỆ THỐNG THOÁT NƯỚC</v>
      </c>
      <c r="C26" s="347"/>
      <c r="D26" s="348"/>
      <c r="E26" s="349"/>
      <c r="F26" s="349"/>
      <c r="G26" s="349"/>
      <c r="H26" s="350"/>
      <c r="I26" s="350"/>
    </row>
    <row r="27" spans="1:9" ht="15.75" hidden="1" customHeight="1">
      <c r="A27" s="324"/>
      <c r="B27" s="325" t="str">
        <f>'Công trình'!F44</f>
        <v>II.1. GA, CỐNG DƯỚI ĐƯỜNG</v>
      </c>
      <c r="C27" s="341"/>
      <c r="D27" s="342"/>
      <c r="E27" s="343"/>
      <c r="F27" s="343"/>
      <c r="G27" s="343"/>
      <c r="H27" s="344"/>
      <c r="I27" s="344"/>
    </row>
    <row r="28" spans="1:9" ht="15.75" hidden="1" customHeight="1">
      <c r="A28" s="324"/>
      <c r="B28" s="325" t="str">
        <f>'Công trình'!F45</f>
        <v>* GA THU NƯỚC:</v>
      </c>
      <c r="C28" s="341"/>
      <c r="D28" s="342"/>
      <c r="E28" s="343"/>
      <c r="F28" s="343"/>
      <c r="G28" s="343"/>
      <c r="H28" s="344"/>
      <c r="I28" s="344"/>
    </row>
    <row r="29" spans="1:9">
      <c r="A29" s="334">
        <v>1</v>
      </c>
      <c r="B29" s="335" t="s">
        <v>1354</v>
      </c>
      <c r="C29" s="336" t="str">
        <f>C30</f>
        <v>100m3</v>
      </c>
      <c r="D29" s="337">
        <v>0.12809999999999999</v>
      </c>
      <c r="E29" s="338"/>
      <c r="F29" s="338"/>
      <c r="G29" s="338"/>
      <c r="H29" s="339">
        <f>H30*0.9+H31*10</f>
        <v>4443064.8000000007</v>
      </c>
      <c r="I29" s="339">
        <f>H29*D29</f>
        <v>569156.60088000004</v>
      </c>
    </row>
    <row r="30" spans="1:9" ht="15.75" hidden="1" customHeight="1">
      <c r="A30" s="324">
        <f>'Công trình'!A46</f>
        <v>1</v>
      </c>
      <c r="B30" s="325" t="str">
        <f>'Công trình'!F46</f>
        <v>Đào móng công trình</v>
      </c>
      <c r="C30" s="341" t="str">
        <f>'Công trình'!G46</f>
        <v>100m3</v>
      </c>
      <c r="D30" s="342">
        <f>ROUND('Công trình'!P46,4)</f>
        <v>1.2809999999999999</v>
      </c>
      <c r="E30" s="343">
        <f>'Công trình'!Q46+'Công trình'!R46</f>
        <v>0</v>
      </c>
      <c r="F30" s="343">
        <f>'Chiết tính'!H$282</f>
        <v>840951.4</v>
      </c>
      <c r="G30" s="343">
        <f>'Chiết tính'!H$284</f>
        <v>1100742</v>
      </c>
      <c r="H30" s="344">
        <f>'Chiết tính'!H$295</f>
        <v>2499472</v>
      </c>
      <c r="I30" s="344"/>
    </row>
    <row r="31" spans="1:9" ht="15.75" hidden="1" customHeight="1">
      <c r="A31" s="324"/>
      <c r="B31" s="325"/>
      <c r="C31" s="341"/>
      <c r="D31" s="342"/>
      <c r="E31" s="343" t="e">
        <f>'Công trình'!#REF!+'Công trình'!#REF!</f>
        <v>#REF!</v>
      </c>
      <c r="F31" s="343">
        <f>'Chiết tính'!H$297</f>
        <v>170403.3</v>
      </c>
      <c r="G31" s="343" t="e">
        <f>'Công trình'!#REF!</f>
        <v>#REF!</v>
      </c>
      <c r="H31" s="344">
        <f>'Chiết tính'!H$308</f>
        <v>219354</v>
      </c>
      <c r="I31" s="344"/>
    </row>
    <row r="32" spans="1:9">
      <c r="A32" s="328">
        <v>2</v>
      </c>
      <c r="B32" s="329" t="str">
        <f>'Công trình'!F48</f>
        <v>Đất đắp thân ga (tận dụng)</v>
      </c>
      <c r="C32" s="330" t="str">
        <f>'Công trình'!G48</f>
        <v>100m3</v>
      </c>
      <c r="D32" s="331">
        <f>ROUND('Công trình'!P48,4)</f>
        <v>3.8399999999999997E-2</v>
      </c>
      <c r="E32" s="332">
        <f>'Công trình'!Q48+'Công trình'!R48</f>
        <v>0</v>
      </c>
      <c r="F32" s="332">
        <f>'Chiết tính'!H$310</f>
        <v>320889.40000000002</v>
      </c>
      <c r="G32" s="332">
        <f>'Chiết tính'!H$312</f>
        <v>904157.3</v>
      </c>
      <c r="H32" s="333">
        <f>'Chiết tính'!H$326</f>
        <v>1576959</v>
      </c>
      <c r="I32" s="333">
        <f t="shared" ref="I32:I45" si="1">ROUND(IF(D$26=0,D32*H32,D$26*D32*H32),1)</f>
        <v>60555.199999999997</v>
      </c>
    </row>
    <row r="33" spans="1:9" s="340" customFormat="1">
      <c r="A33" s="334">
        <v>3</v>
      </c>
      <c r="B33" s="335" t="s">
        <v>1353</v>
      </c>
      <c r="C33" s="336" t="s">
        <v>52</v>
      </c>
      <c r="D33" s="337">
        <v>8.9700000000000002E-2</v>
      </c>
      <c r="E33" s="338"/>
      <c r="F33" s="338"/>
      <c r="G33" s="338"/>
      <c r="H33" s="339">
        <f>H34+H35</f>
        <v>7548443</v>
      </c>
      <c r="I33" s="339">
        <f>H33*D33</f>
        <v>677095.3371</v>
      </c>
    </row>
    <row r="34" spans="1:9" ht="31.5" hidden="1" customHeight="1">
      <c r="A34" s="324">
        <f>'Công trình'!A50</f>
        <v>3</v>
      </c>
      <c r="B34" s="325" t="str">
        <f>'Công trình'!F50</f>
        <v>Vận chuyển đất bằng ôtô tự đổ 5 tấn trong phạm vi &lt;= 1000m, đất cấp II</v>
      </c>
      <c r="C34" s="341" t="str">
        <f>'Công trình'!G50</f>
        <v>100m3</v>
      </c>
      <c r="D34" s="342">
        <f>ROUND('Công trình'!P50,4)</f>
        <v>8.9700000000000002E-2</v>
      </c>
      <c r="E34" s="343">
        <f>'Công trình'!Q50+'Công trình'!R50</f>
        <v>0</v>
      </c>
      <c r="F34" s="343">
        <f>'Công trình'!S50</f>
        <v>0</v>
      </c>
      <c r="G34" s="343">
        <f>'Chiết tính'!H$328</f>
        <v>2313202.9</v>
      </c>
      <c r="H34" s="344">
        <f>'Chiết tính'!H$339</f>
        <v>2977703</v>
      </c>
      <c r="I34" s="344"/>
    </row>
    <row r="35" spans="1:9" ht="31.5" hidden="1" customHeight="1">
      <c r="A35" s="324">
        <f>'Công trình'!A52</f>
        <v>20</v>
      </c>
      <c r="B35" s="325" t="str">
        <f>'Công trình'!F52</f>
        <v>Vận chuyển đất bằng ô tô tự đổ 5T 1km tiếp theo ngoài phạm vi 5km, đất cấp II</v>
      </c>
      <c r="C35" s="341" t="str">
        <f>'Công trình'!G52</f>
        <v>100m3</v>
      </c>
      <c r="D35" s="342">
        <f>ROUND('Công trình'!P52,4)</f>
        <v>8.9700000000000002E-2</v>
      </c>
      <c r="E35" s="343">
        <f>'Công trình'!Q52+'Công trình'!R52</f>
        <v>0</v>
      </c>
      <c r="F35" s="343">
        <f>'Công trình'!S52</f>
        <v>0</v>
      </c>
      <c r="G35" s="343">
        <f>'Chiết tính'!H$341</f>
        <v>3550740.4</v>
      </c>
      <c r="H35" s="344">
        <f>'Chiết tính'!H$352</f>
        <v>4570740</v>
      </c>
      <c r="I35" s="344"/>
    </row>
    <row r="36" spans="1:9">
      <c r="A36" s="328">
        <v>4</v>
      </c>
      <c r="B36" s="329" t="str">
        <f>'Công trình'!F54</f>
        <v>Đá dăm lót móng, đá 2x4, dày 10cm</v>
      </c>
      <c r="C36" s="330" t="str">
        <f>'Công trình'!G54</f>
        <v>m3</v>
      </c>
      <c r="D36" s="331">
        <f>ROUND('Công trình'!P54,4)</f>
        <v>3.29</v>
      </c>
      <c r="E36" s="332">
        <f>'Chiết tính'!H$354</f>
        <v>453000</v>
      </c>
      <c r="F36" s="332">
        <f>'Chiết tính'!H$358</f>
        <v>420923.8</v>
      </c>
      <c r="G36" s="332">
        <f>'Công trình'!T54</f>
        <v>0</v>
      </c>
      <c r="H36" s="333">
        <f>'Chiết tính'!H$369</f>
        <v>1124971</v>
      </c>
      <c r="I36" s="333">
        <f t="shared" si="1"/>
        <v>3701154.6</v>
      </c>
    </row>
    <row r="37" spans="1:9">
      <c r="A37" s="328">
        <v>5</v>
      </c>
      <c r="B37" s="329" t="str">
        <f>'Công trình'!F56</f>
        <v>Ván khuôn gỗ. Ván khuôn móng ga</v>
      </c>
      <c r="C37" s="330" t="str">
        <f>'Công trình'!G56</f>
        <v>100m2</v>
      </c>
      <c r="D37" s="331">
        <f>ROUND('Công trình'!P56,4)</f>
        <v>0.17760000000000001</v>
      </c>
      <c r="E37" s="332">
        <f>'Chiết tính'!H$371</f>
        <v>6188316.2000000002</v>
      </c>
      <c r="F37" s="332">
        <f>'Chiết tính'!H$378</f>
        <v>7781400</v>
      </c>
      <c r="G37" s="332">
        <f>'Công trình'!T56</f>
        <v>0</v>
      </c>
      <c r="H37" s="333">
        <f>'Chiết tính'!H$389</f>
        <v>17982713</v>
      </c>
      <c r="I37" s="333">
        <f t="shared" si="1"/>
        <v>3193729.8</v>
      </c>
    </row>
    <row r="38" spans="1:9">
      <c r="A38" s="328">
        <v>6</v>
      </c>
      <c r="B38" s="329" t="str">
        <f>'Công trình'!F58</f>
        <v>Đổ bê tông móng ga, đá 1x2, mác 200</v>
      </c>
      <c r="C38" s="330" t="str">
        <f>'Công trình'!G58</f>
        <v>m3</v>
      </c>
      <c r="D38" s="331">
        <f>ROUND('Công trình'!P58,4)</f>
        <v>6.57</v>
      </c>
      <c r="E38" s="332">
        <f>'Chiết tính'!H$391</f>
        <v>1040813.5</v>
      </c>
      <c r="F38" s="332">
        <f>'Chiết tính'!H$398</f>
        <v>294698.2</v>
      </c>
      <c r="G38" s="332">
        <f>'Chiết tính'!H$400</f>
        <v>54795.9</v>
      </c>
      <c r="H38" s="333">
        <f>'Chiết tính'!H$413</f>
        <v>1789693</v>
      </c>
      <c r="I38" s="333">
        <f t="shared" si="1"/>
        <v>11758283</v>
      </c>
    </row>
    <row r="39" spans="1:9">
      <c r="A39" s="328">
        <v>7</v>
      </c>
      <c r="B39" s="329" t="str">
        <f>'Công trình'!F60</f>
        <v>Xây gạch không nung ga VXM M75, dày 22cm</v>
      </c>
      <c r="C39" s="330" t="str">
        <f>'Công trình'!G60</f>
        <v>m3</v>
      </c>
      <c r="D39" s="331">
        <f>ROUND('Công trình'!P60,4)</f>
        <v>20.79</v>
      </c>
      <c r="E39" s="332">
        <f>'Chiết tính'!H$415</f>
        <v>1079493.5</v>
      </c>
      <c r="F39" s="332">
        <f>'Chiết tính'!H$422</f>
        <v>838400</v>
      </c>
      <c r="G39" s="332">
        <f>'Chiết tính'!H$424</f>
        <v>11441.1</v>
      </c>
      <c r="H39" s="333">
        <f>'Chiết tính'!H$435</f>
        <v>2483564</v>
      </c>
      <c r="I39" s="333">
        <f t="shared" si="1"/>
        <v>51633295.600000001</v>
      </c>
    </row>
    <row r="40" spans="1:9" ht="31.5">
      <c r="A40" s="328">
        <v>8</v>
      </c>
      <c r="B40" s="329" t="str">
        <f>'Công trình'!F62</f>
        <v>Trát tường xây gạch không nung bằng vữa thông thường, trát tường ga, chiều dày trát 2cm, vữa XM mác 75</v>
      </c>
      <c r="C40" s="330" t="str">
        <f>'Công trình'!G62</f>
        <v>m2</v>
      </c>
      <c r="D40" s="331">
        <f>ROUND('Công trình'!P62,4)</f>
        <v>64.260000000000005</v>
      </c>
      <c r="E40" s="332">
        <f>'Chiết tính'!H$437</f>
        <v>21521.3</v>
      </c>
      <c r="F40" s="332">
        <f>'Chiết tính'!H$443</f>
        <v>91700</v>
      </c>
      <c r="G40" s="332">
        <f>'Chiết tính'!H$445</f>
        <v>880.1</v>
      </c>
      <c r="H40" s="333">
        <f>'Chiết tính'!H$456</f>
        <v>146879</v>
      </c>
      <c r="I40" s="333">
        <f t="shared" si="1"/>
        <v>9438444.5</v>
      </c>
    </row>
    <row r="41" spans="1:9">
      <c r="A41" s="328">
        <v>9</v>
      </c>
      <c r="B41" s="329" t="str">
        <f>'Công trình'!F64</f>
        <v>Láng đáy ga, dày 2cm, vữa XM mác 75</v>
      </c>
      <c r="C41" s="330" t="str">
        <f>'Công trình'!G64</f>
        <v>m2</v>
      </c>
      <c r="D41" s="331">
        <f>ROUND('Công trình'!P64,4)</f>
        <v>9.6</v>
      </c>
      <c r="E41" s="332">
        <f>'Chiết tính'!H$458</f>
        <v>23276.3</v>
      </c>
      <c r="F41" s="332">
        <f>'Chiết tính'!H$463</f>
        <v>19339.7</v>
      </c>
      <c r="G41" s="332">
        <f>'Chiết tính'!H$465</f>
        <v>1173.4000000000001</v>
      </c>
      <c r="H41" s="333">
        <f>'Chiết tính'!H$476</f>
        <v>56368</v>
      </c>
      <c r="I41" s="333">
        <f t="shared" si="1"/>
        <v>541132.80000000005</v>
      </c>
    </row>
    <row r="42" spans="1:9">
      <c r="A42" s="328">
        <v>10</v>
      </c>
      <c r="B42" s="329" t="str">
        <f>'Công trình'!F66</f>
        <v>Ván khuôn gỗ. Ván khuôn cổ ga</v>
      </c>
      <c r="C42" s="330" t="str">
        <f>'Công trình'!G66</f>
        <v>100m2</v>
      </c>
      <c r="D42" s="331">
        <f>ROUND('Công trình'!P66,4)</f>
        <v>0.26279999999999998</v>
      </c>
      <c r="E42" s="332">
        <f>'Chiết tính'!H$478</f>
        <v>8793002.5</v>
      </c>
      <c r="F42" s="332">
        <f>'Chiết tính'!H$485</f>
        <v>7205000</v>
      </c>
      <c r="G42" s="332">
        <f>'Công trình'!T66</f>
        <v>0</v>
      </c>
      <c r="H42" s="333">
        <f>'Chiết tính'!H$496</f>
        <v>20593653</v>
      </c>
      <c r="I42" s="333">
        <f t="shared" si="1"/>
        <v>5412012</v>
      </c>
    </row>
    <row r="43" spans="1:9">
      <c r="A43" s="328">
        <v>11</v>
      </c>
      <c r="B43" s="329" t="str">
        <f>'Công trình'!F68</f>
        <v>Đổ bê tông cổ ga, đá 1x2, mác 200</v>
      </c>
      <c r="C43" s="330" t="str">
        <f>'Công trình'!G68</f>
        <v>m3</v>
      </c>
      <c r="D43" s="331">
        <f>ROUND('Công trình'!P68,4)</f>
        <v>2.39</v>
      </c>
      <c r="E43" s="332">
        <f>'Chiết tính'!H$498</f>
        <v>1040813.5</v>
      </c>
      <c r="F43" s="332">
        <f>'Chiết tính'!H$505</f>
        <v>639710.6</v>
      </c>
      <c r="G43" s="332">
        <f>'Chiết tính'!H$507</f>
        <v>79863</v>
      </c>
      <c r="H43" s="333">
        <f>'Chiết tính'!H$520</f>
        <v>2266083</v>
      </c>
      <c r="I43" s="333">
        <f t="shared" si="1"/>
        <v>5415938.4000000004</v>
      </c>
    </row>
    <row r="44" spans="1:9">
      <c r="A44" s="328">
        <v>12</v>
      </c>
      <c r="B44" s="329" t="str">
        <f>'Công trình'!F70</f>
        <v>Thép cổ ga</v>
      </c>
      <c r="C44" s="330" t="str">
        <f>'Công trình'!G70</f>
        <v>tấn</v>
      </c>
      <c r="D44" s="331">
        <f>ROUND('Công trình'!P70,4)</f>
        <v>2.4E-2</v>
      </c>
      <c r="E44" s="332">
        <f>'Chiết tính'!H$522</f>
        <v>17170220</v>
      </c>
      <c r="F44" s="332">
        <f>'Chiết tính'!H$527</f>
        <v>2420880</v>
      </c>
      <c r="G44" s="332">
        <f>'Chiết tính'!H$529</f>
        <v>545678.30000000005</v>
      </c>
      <c r="H44" s="333">
        <f>'Chiết tính'!H$542</f>
        <v>25921350</v>
      </c>
      <c r="I44" s="333">
        <f t="shared" si="1"/>
        <v>622112.4</v>
      </c>
    </row>
    <row r="45" spans="1:9">
      <c r="A45" s="328">
        <v>13</v>
      </c>
      <c r="B45" s="329" t="str">
        <f>'Công trình'!F72</f>
        <v>Thép góc viền cổ ga</v>
      </c>
      <c r="C45" s="330" t="str">
        <f>'Công trình'!G72</f>
        <v>tấn</v>
      </c>
      <c r="D45" s="331">
        <f>ROUND('Công trình'!P72,4)</f>
        <v>0.4698</v>
      </c>
      <c r="E45" s="332">
        <f>'Chiết tính'!H$544</f>
        <v>20495537.899999999</v>
      </c>
      <c r="F45" s="332">
        <f>'Chiết tính'!H$553</f>
        <v>5557332.2999999998</v>
      </c>
      <c r="G45" s="332">
        <f>'Chiết tính'!H$555</f>
        <v>1149945.3</v>
      </c>
      <c r="H45" s="333">
        <f>'Chiết tính'!H$570</f>
        <v>35017205</v>
      </c>
      <c r="I45" s="333">
        <f t="shared" si="1"/>
        <v>16451082.9</v>
      </c>
    </row>
    <row r="46" spans="1:9" ht="15.75" hidden="1" customHeight="1">
      <c r="A46" s="324"/>
      <c r="B46" s="325" t="str">
        <f>'Công trình'!F74</f>
        <v>TẤM ĐAN NẮP GA THU NƯỚC:</v>
      </c>
      <c r="C46" s="341"/>
      <c r="D46" s="342"/>
      <c r="E46" s="343"/>
      <c r="F46" s="343"/>
      <c r="G46" s="343"/>
      <c r="H46" s="344"/>
      <c r="I46" s="344"/>
    </row>
    <row r="47" spans="1:9" ht="31.5">
      <c r="A47" s="328">
        <v>14</v>
      </c>
      <c r="B47" s="329" t="str">
        <f>'Công trình'!F75</f>
        <v>Công tác gia công, lắp đặt cốt thép bê tông đúc sẵn. Cốt thép tấm đan</v>
      </c>
      <c r="C47" s="330" t="str">
        <f>'Công trình'!G75</f>
        <v>tấn</v>
      </c>
      <c r="D47" s="331">
        <f>ROUND('Công trình'!P75,4)</f>
        <v>0.88080000000000003</v>
      </c>
      <c r="E47" s="332">
        <f>'Chiết tính'!H$572</f>
        <v>17215680</v>
      </c>
      <c r="F47" s="332">
        <f>'Chiết tính'!H$576</f>
        <v>4257500</v>
      </c>
      <c r="G47" s="332">
        <f>'Chiết tính'!H$578</f>
        <v>111836.4</v>
      </c>
      <c r="H47" s="333">
        <f>'Chiết tính'!H$589</f>
        <v>27785615</v>
      </c>
      <c r="I47" s="333">
        <f>ROUND(IF(D$26=0,D47*H47,D$26*D47*H47),1)</f>
        <v>24473569.699999999</v>
      </c>
    </row>
    <row r="48" spans="1:9">
      <c r="A48" s="328">
        <v>15</v>
      </c>
      <c r="B48" s="329" t="str">
        <f>'Công trình'!F78</f>
        <v>Bê tông tấm đan, đá 1x2 mác 250</v>
      </c>
      <c r="C48" s="330" t="str">
        <f>'Công trình'!G78</f>
        <v>m3</v>
      </c>
      <c r="D48" s="331">
        <f>ROUND('Công trình'!P78,4)</f>
        <v>1.5</v>
      </c>
      <c r="E48" s="332">
        <f>'Chiết tính'!H$591</f>
        <v>1083421.7</v>
      </c>
      <c r="F48" s="332">
        <f>'Chiết tính'!H$598</f>
        <v>462412.6</v>
      </c>
      <c r="G48" s="332">
        <f>'Chiết tính'!H$600</f>
        <v>30279.7</v>
      </c>
      <c r="H48" s="333">
        <f>'Chiết tính'!H$611</f>
        <v>2028875</v>
      </c>
      <c r="I48" s="333">
        <f>ROUND(IF(D$26=0,D48*H48,D$26*D48*H48),1)</f>
        <v>3043312.5</v>
      </c>
    </row>
    <row r="49" spans="1:9" ht="31.5">
      <c r="A49" s="328">
        <v>16</v>
      </c>
      <c r="B49" s="329" t="str">
        <f>'Công trình'!F80</f>
        <v>Lăp đặt tấm đan 110kg/tấm</v>
      </c>
      <c r="C49" s="330" t="str">
        <f>'Công trình'!G80</f>
        <v>1 cấu kiện</v>
      </c>
      <c r="D49" s="331">
        <f>ROUND('Công trình'!P80,4)</f>
        <v>30</v>
      </c>
      <c r="E49" s="332">
        <f>'Công trình'!Q80+'Công trình'!R80</f>
        <v>0</v>
      </c>
      <c r="F49" s="332">
        <f>'Chiết tính'!H$613</f>
        <v>7187.8</v>
      </c>
      <c r="G49" s="332">
        <f>'Chiết tính'!H$615</f>
        <v>26465.599999999999</v>
      </c>
      <c r="H49" s="333">
        <f>'Chiết tính'!H$626</f>
        <v>43321</v>
      </c>
      <c r="I49" s="333">
        <f>ROUND(IF(D$26=0,D49*H49,D$26*D49*H49),1)</f>
        <v>1299630</v>
      </c>
    </row>
    <row r="50" spans="1:9" ht="15.75" hidden="1" customHeight="1">
      <c r="A50" s="324"/>
      <c r="B50" s="325" t="str">
        <f>'Công trình'!F82</f>
        <v>* HỐ TỤ NƯỚC BTXM:</v>
      </c>
      <c r="C50" s="341"/>
      <c r="D50" s="342"/>
      <c r="E50" s="343"/>
      <c r="F50" s="343"/>
      <c r="G50" s="343"/>
      <c r="H50" s="344"/>
      <c r="I50" s="344"/>
    </row>
    <row r="51" spans="1:9" ht="15.75" hidden="1" customHeight="1">
      <c r="A51" s="324"/>
      <c r="B51" s="325" t="str">
        <f>'Công trình'!F83</f>
        <v>Tấm đan M1* hố tụ nước:</v>
      </c>
      <c r="C51" s="341"/>
      <c r="D51" s="342"/>
      <c r="E51" s="343"/>
      <c r="F51" s="343"/>
      <c r="G51" s="343"/>
      <c r="H51" s="344"/>
      <c r="I51" s="344"/>
    </row>
    <row r="52" spans="1:9" ht="31.5">
      <c r="A52" s="328">
        <v>17</v>
      </c>
      <c r="B52" s="329" t="str">
        <f>'Công trình'!F84</f>
        <v>Công tác gia công, lắp dựng, tháo dỡ ván khuôn. Ván khuôn gỗ, ván khuôn tấm đan hố tụ</v>
      </c>
      <c r="C52" s="330" t="str">
        <f>'Công trình'!G84</f>
        <v>100m2</v>
      </c>
      <c r="D52" s="331">
        <f>ROUND('Công trình'!P84,4)</f>
        <v>5.8500000000000003E-2</v>
      </c>
      <c r="E52" s="332">
        <f>'Chiết tính'!H$628</f>
        <v>908127.8</v>
      </c>
      <c r="F52" s="332">
        <f>'Chiết tính'!H$633</f>
        <v>6200040</v>
      </c>
      <c r="G52" s="332">
        <f>'Công trình'!T84</f>
        <v>0</v>
      </c>
      <c r="H52" s="333">
        <f>'Chiết tính'!H$644</f>
        <v>9150088</v>
      </c>
      <c r="I52" s="333">
        <f>ROUND(IF(D$26=0,D52*H52,D$26*D52*H52),1)</f>
        <v>535280.1</v>
      </c>
    </row>
    <row r="53" spans="1:9" ht="31.5">
      <c r="A53" s="328">
        <v>18</v>
      </c>
      <c r="B53" s="329" t="str">
        <f>'Công trình'!F86</f>
        <v>Công tác gia công, lắp đặt cốt thép bê tông đúc sẵn. Cốt thép tấm đan</v>
      </c>
      <c r="C53" s="330" t="str">
        <f>'Công trình'!G86</f>
        <v>tấn</v>
      </c>
      <c r="D53" s="331">
        <f>ROUND('Công trình'!P86,4)</f>
        <v>0.16520000000000001</v>
      </c>
      <c r="E53" s="332">
        <f>'Chiết tính'!H$646</f>
        <v>17215680</v>
      </c>
      <c r="F53" s="332">
        <f>'Chiết tính'!H$650</f>
        <v>4257500</v>
      </c>
      <c r="G53" s="332">
        <f>'Chiết tính'!H$652</f>
        <v>111836.4</v>
      </c>
      <c r="H53" s="333">
        <f>'Chiết tính'!H$663</f>
        <v>27785615</v>
      </c>
      <c r="I53" s="333">
        <f>ROUND(IF(D$26=0,D53*H53,D$26*D53*H53),1)</f>
        <v>4590183.5999999996</v>
      </c>
    </row>
    <row r="54" spans="1:9">
      <c r="A54" s="328">
        <v>19</v>
      </c>
      <c r="B54" s="329" t="str">
        <f>'Công trình'!F88</f>
        <v>Bê tông tấm đan hố tụ, đá 1x2 mác 250</v>
      </c>
      <c r="C54" s="330" t="str">
        <f>'Công trình'!G88</f>
        <v>m3</v>
      </c>
      <c r="D54" s="331">
        <f>ROUND('Công trình'!P88,4)</f>
        <v>1.29</v>
      </c>
      <c r="E54" s="332">
        <f>'Chiết tính'!H$665</f>
        <v>1083421.7</v>
      </c>
      <c r="F54" s="332">
        <f>'Chiết tính'!H$672</f>
        <v>462412.6</v>
      </c>
      <c r="G54" s="332">
        <f>'Chiết tính'!H$674</f>
        <v>30279.7</v>
      </c>
      <c r="H54" s="333">
        <f>'Chiết tính'!H$685</f>
        <v>2028875</v>
      </c>
      <c r="I54" s="333">
        <f>ROUND(IF(D$26=0,D54*H54,D$26*D54*H54),1)</f>
        <v>2617248.7999999998</v>
      </c>
    </row>
    <row r="55" spans="1:9" ht="31.5">
      <c r="A55" s="328">
        <v>20</v>
      </c>
      <c r="B55" s="329" t="str">
        <f>'Công trình'!F90</f>
        <v>Lăp đặt tấm đan 200kg/tấm</v>
      </c>
      <c r="C55" s="330" t="str">
        <f>'Công trình'!G90</f>
        <v>1 cấu kiện</v>
      </c>
      <c r="D55" s="331">
        <f>ROUND('Công trình'!P90,4)</f>
        <v>15</v>
      </c>
      <c r="E55" s="332">
        <f>'Công trình'!Q90+'Công trình'!R90</f>
        <v>0</v>
      </c>
      <c r="F55" s="332">
        <f>'Chiết tính'!H$687</f>
        <v>7187.8</v>
      </c>
      <c r="G55" s="332">
        <f>'Chiết tính'!H$689</f>
        <v>26465.599999999999</v>
      </c>
      <c r="H55" s="333">
        <f>'Chiết tính'!H$700</f>
        <v>43321</v>
      </c>
      <c r="I55" s="333">
        <f>ROUND(IF(D$26=0,D55*H55,D$26*D55*H55),1)</f>
        <v>649815</v>
      </c>
    </row>
    <row r="56" spans="1:9" ht="15.75" hidden="1" customHeight="1">
      <c r="A56" s="324"/>
      <c r="B56" s="325" t="str">
        <f>'Công trình'!F92</f>
        <v>*) Xây hố tụ:</v>
      </c>
      <c r="C56" s="341"/>
      <c r="D56" s="342"/>
      <c r="E56" s="343"/>
      <c r="F56" s="343"/>
      <c r="G56" s="343"/>
      <c r="H56" s="344"/>
      <c r="I56" s="344"/>
    </row>
    <row r="57" spans="1:9" ht="31.5">
      <c r="A57" s="328">
        <v>21</v>
      </c>
      <c r="B57" s="329" t="str">
        <f>'Công trình'!F93</f>
        <v>Xây gạch không nung 6,5x10,5x22, xây hố tụ nước, vữa XM mác 75</v>
      </c>
      <c r="C57" s="330" t="str">
        <f>'Công trình'!G93</f>
        <v>m3</v>
      </c>
      <c r="D57" s="331">
        <f>ROUND('Công trình'!P93,4)</f>
        <v>0.77</v>
      </c>
      <c r="E57" s="332">
        <f>'Chiết tính'!H$702</f>
        <v>1079493.5</v>
      </c>
      <c r="F57" s="332">
        <f>'Chiết tính'!H$709</f>
        <v>838400</v>
      </c>
      <c r="G57" s="332">
        <f>'Chiết tính'!H$711</f>
        <v>11441.1</v>
      </c>
      <c r="H57" s="333">
        <f>'Chiết tính'!H$722</f>
        <v>2483564</v>
      </c>
      <c r="I57" s="333">
        <f>ROUND(IF(D$26=0,D57*H57,D$26*D57*H57),1)</f>
        <v>1912344.3</v>
      </c>
    </row>
    <row r="58" spans="1:9">
      <c r="A58" s="328">
        <v>22</v>
      </c>
      <c r="B58" s="329" t="str">
        <f>'Công trình'!F95</f>
        <v>Trát tường hố tụ, chiều dày trát 2cm, vữa XM mác 75, PCB30</v>
      </c>
      <c r="C58" s="330" t="str">
        <f>'Công trình'!G95</f>
        <v>m2</v>
      </c>
      <c r="D58" s="331">
        <f>ROUND('Công trình'!P95,4)</f>
        <v>6.49</v>
      </c>
      <c r="E58" s="332">
        <f>'Chiết tính'!H$724</f>
        <v>23515.4</v>
      </c>
      <c r="F58" s="332">
        <f>'Chiết tính'!H$730</f>
        <v>91700</v>
      </c>
      <c r="G58" s="332">
        <f>'Chiết tính'!H$732</f>
        <v>880.1</v>
      </c>
      <c r="H58" s="333">
        <f>'Chiết tính'!H$743</f>
        <v>149446</v>
      </c>
      <c r="I58" s="333">
        <f>ROUND(IF(D$26=0,D58*H58,D$26*D58*H58),1)</f>
        <v>969904.5</v>
      </c>
    </row>
    <row r="59" spans="1:9">
      <c r="A59" s="328">
        <v>23</v>
      </c>
      <c r="B59" s="329" t="str">
        <f>'Công trình'!F97</f>
        <v>Ván khuôn gỗ. Ván khuôn cổ hố tụ</v>
      </c>
      <c r="C59" s="330" t="str">
        <f>'Công trình'!G97</f>
        <v>100m2</v>
      </c>
      <c r="D59" s="331">
        <f>ROUND('Công trình'!P97,4)</f>
        <v>8.0600000000000005E-2</v>
      </c>
      <c r="E59" s="332">
        <f>'Chiết tính'!H$745</f>
        <v>8793002.5</v>
      </c>
      <c r="F59" s="332">
        <f>'Chiết tính'!H$752</f>
        <v>7205000</v>
      </c>
      <c r="G59" s="332">
        <f>'Công trình'!T97</f>
        <v>0</v>
      </c>
      <c r="H59" s="333">
        <f>'Chiết tính'!H$763</f>
        <v>20593653</v>
      </c>
      <c r="I59" s="333">
        <f>ROUND(IF(D$26=0,D59*H59,D$26*D59*H59),1)</f>
        <v>1659848.4</v>
      </c>
    </row>
    <row r="60" spans="1:9">
      <c r="A60" s="328">
        <v>24</v>
      </c>
      <c r="B60" s="329" t="str">
        <f>'Công trình'!F99</f>
        <v>Đổ bê tông cổ hố tụ, đá 1x2, mác 250</v>
      </c>
      <c r="C60" s="330" t="str">
        <f>'Công trình'!G99</f>
        <v>m3</v>
      </c>
      <c r="D60" s="331">
        <f>ROUND('Công trình'!P99,4)</f>
        <v>4.03</v>
      </c>
      <c r="E60" s="332">
        <f>'Chiết tính'!H$765</f>
        <v>1099539</v>
      </c>
      <c r="F60" s="332">
        <f>'Chiết tính'!H$772</f>
        <v>639710.6</v>
      </c>
      <c r="G60" s="332">
        <f>'Chiết tính'!H$774</f>
        <v>79863</v>
      </c>
      <c r="H60" s="333">
        <f>'Chiết tính'!H$787</f>
        <v>2341678</v>
      </c>
      <c r="I60" s="333">
        <f>ROUND(IF(D$26=0,D60*H60,D$26*D60*H60),1)</f>
        <v>9436962.3000000007</v>
      </c>
    </row>
    <row r="61" spans="1:9">
      <c r="A61" s="328">
        <v>25</v>
      </c>
      <c r="B61" s="329" t="str">
        <f>'Công trình'!F101</f>
        <v>Ghi chắn rác Composite, tải trọng 250KN, KT 880x380</v>
      </c>
      <c r="C61" s="330" t="str">
        <f>'Công trình'!G101</f>
        <v>Cái</v>
      </c>
      <c r="D61" s="331">
        <f>ROUND('Công trình'!P101,4)</f>
        <v>15</v>
      </c>
      <c r="E61" s="332">
        <f>'Chiết tính'!H$789</f>
        <v>1850000</v>
      </c>
      <c r="F61" s="332">
        <f>'Công trình'!S101</f>
        <v>0</v>
      </c>
      <c r="G61" s="332">
        <f>'Công trình'!T101</f>
        <v>0</v>
      </c>
      <c r="H61" s="333">
        <f>'Chiết tính'!H$800</f>
        <v>2381438</v>
      </c>
      <c r="I61" s="333">
        <f>ROUND(IF(D$26=0,D61*H61,D$26*D61*H61),1)</f>
        <v>35721570</v>
      </c>
    </row>
    <row r="62" spans="1:9" ht="15.75" hidden="1" customHeight="1">
      <c r="A62" s="324"/>
      <c r="B62" s="325" t="str">
        <f>'Công trình'!F103</f>
        <v>II.2. CỐNG D400 - ỐNG CỐNG CẤP TẢI CAO:</v>
      </c>
      <c r="C62" s="341"/>
      <c r="D62" s="342"/>
      <c r="E62" s="343"/>
      <c r="F62" s="343"/>
      <c r="G62" s="343"/>
      <c r="H62" s="344"/>
      <c r="I62" s="344"/>
    </row>
    <row r="63" spans="1:9">
      <c r="A63" s="334">
        <v>26</v>
      </c>
      <c r="B63" s="335" t="s">
        <v>1378</v>
      </c>
      <c r="C63" s="336" t="str">
        <f>C64</f>
        <v>100m3</v>
      </c>
      <c r="D63" s="337">
        <v>6.2493999999999996</v>
      </c>
      <c r="E63" s="338"/>
      <c r="F63" s="338"/>
      <c r="G63" s="338"/>
      <c r="H63" s="339">
        <f>H64*0.9+H65*10</f>
        <v>4857945.5999999996</v>
      </c>
      <c r="I63" s="339">
        <f>H63*D63</f>
        <v>30359245.232639994</v>
      </c>
    </row>
    <row r="64" spans="1:9" ht="15.75" hidden="1" customHeight="1">
      <c r="A64" s="324">
        <f>'Công trình'!A104</f>
        <v>26</v>
      </c>
      <c r="B64" s="325" t="str">
        <f>'Công trình'!F104</f>
        <v>Đào móng cống</v>
      </c>
      <c r="C64" s="341" t="str">
        <f>'Công trình'!G104</f>
        <v>100m3</v>
      </c>
      <c r="D64" s="342">
        <f>ROUND('Công trình'!P104,4)</f>
        <v>6.2493999999999996</v>
      </c>
      <c r="E64" s="343">
        <f>'Công trình'!Q104+'Công trình'!R104</f>
        <v>0</v>
      </c>
      <c r="F64" s="343">
        <f>'Chiết tính'!H$802</f>
        <v>863081.7</v>
      </c>
      <c r="G64" s="343">
        <f>'Chiết tính'!H$804</f>
        <v>1313771</v>
      </c>
      <c r="H64" s="344">
        <f>'Chiết tính'!H$815</f>
        <v>2802184</v>
      </c>
      <c r="I64" s="344"/>
    </row>
    <row r="65" spans="1:9" ht="15.75" hidden="1" customHeight="1">
      <c r="A65" s="324">
        <f>'Công trình'!A106</f>
        <v>44</v>
      </c>
      <c r="B65" s="325" t="str">
        <f>'Công trình'!F106</f>
        <v>Đào móng bằng thủ công 10%</v>
      </c>
      <c r="C65" s="341" t="str">
        <f>'Công trình'!G106</f>
        <v>m3</v>
      </c>
      <c r="D65" s="342">
        <f>ROUND('Công trình'!P106,4)</f>
        <v>62.494</v>
      </c>
      <c r="E65" s="343">
        <f>'Công trình'!Q106+'Công trình'!R106</f>
        <v>0</v>
      </c>
      <c r="F65" s="343">
        <f>'Chiết tính'!H$817</f>
        <v>181468.5</v>
      </c>
      <c r="G65" s="343">
        <f>'Công trình'!T106</f>
        <v>0</v>
      </c>
      <c r="H65" s="344">
        <f>'Chiết tính'!H$828</f>
        <v>233598</v>
      </c>
      <c r="I65" s="344"/>
    </row>
    <row r="66" spans="1:9">
      <c r="A66" s="328">
        <v>27</v>
      </c>
      <c r="B66" s="329" t="str">
        <f>'Công trình'!F108</f>
        <v>Đắp đất thân cống K95</v>
      </c>
      <c r="C66" s="330" t="str">
        <f>'Công trình'!G108</f>
        <v>100m3</v>
      </c>
      <c r="D66" s="331">
        <f>ROUND('Công trình'!P108,4)</f>
        <v>4.3194999999999997</v>
      </c>
      <c r="E66" s="332">
        <f>'Công trình'!Q108+'Công trình'!R108</f>
        <v>0</v>
      </c>
      <c r="F66" s="332">
        <f>'Chiết tính'!H$830</f>
        <v>287693.90000000002</v>
      </c>
      <c r="G66" s="332">
        <f>'Chiết tính'!H$832</f>
        <v>674685.4</v>
      </c>
      <c r="H66" s="333">
        <f>'Chiết tính'!H$846</f>
        <v>1238837</v>
      </c>
      <c r="I66" s="333">
        <f t="shared" ref="I66:I72" si="2">ROUND(IF(D$26=0,D66*H66,D$26*D66*H66),1)</f>
        <v>5351156.4000000004</v>
      </c>
    </row>
    <row r="67" spans="1:9" ht="31.5">
      <c r="A67" s="328">
        <v>28</v>
      </c>
      <c r="B67" s="329" t="str">
        <f>'Công trình'!F110</f>
        <v>Vận chuyển đất bằng ôtô tự đổ 5 tấn trong phạm vi &lt;= 1000m, đất cấp II</v>
      </c>
      <c r="C67" s="330" t="str">
        <f>'Công trình'!G110</f>
        <v>100m3</v>
      </c>
      <c r="D67" s="331">
        <f>ROUND('Công trình'!P110,4)</f>
        <v>1.9298999999999999</v>
      </c>
      <c r="E67" s="332">
        <f>'Công trình'!Q110+'Công trình'!R110</f>
        <v>0</v>
      </c>
      <c r="F67" s="332">
        <f>'Công trình'!S110</f>
        <v>0</v>
      </c>
      <c r="G67" s="332">
        <f>'Chiết tính'!H$848</f>
        <v>2313202.9</v>
      </c>
      <c r="H67" s="333">
        <f>'Chiết tính'!H$859</f>
        <v>2977703</v>
      </c>
      <c r="I67" s="333">
        <f t="shared" si="2"/>
        <v>5746669</v>
      </c>
    </row>
    <row r="68" spans="1:9">
      <c r="A68" s="328">
        <v>29</v>
      </c>
      <c r="B68" s="329" t="str">
        <f>'Công trình'!F112</f>
        <v>Đá dăm 2x4 lót móng, dày 10cm</v>
      </c>
      <c r="C68" s="330" t="str">
        <f>'Công trình'!G112</f>
        <v>m3</v>
      </c>
      <c r="D68" s="331">
        <f>ROUND('Công trình'!P112,4)</f>
        <v>56.1</v>
      </c>
      <c r="E68" s="332">
        <f>'Chiết tính'!H$861</f>
        <v>453000</v>
      </c>
      <c r="F68" s="332">
        <f>'Chiết tính'!H$865</f>
        <v>420923.8</v>
      </c>
      <c r="G68" s="332">
        <f>'Công trình'!T112</f>
        <v>0</v>
      </c>
      <c r="H68" s="333">
        <f>'Chiết tính'!H$876</f>
        <v>1124971</v>
      </c>
      <c r="I68" s="333">
        <f t="shared" si="2"/>
        <v>63110873.100000001</v>
      </c>
    </row>
    <row r="69" spans="1:9" ht="31.5">
      <c r="A69" s="328">
        <v>30</v>
      </c>
      <c r="B69" s="329" t="str">
        <f>'Công trình'!F114</f>
        <v>Lắp đặt ống bê tông bằng cần cẩu, đoạn ống dài 2m, D400mm</v>
      </c>
      <c r="C69" s="330" t="str">
        <f>'Công trình'!G114</f>
        <v>đoạn ống</v>
      </c>
      <c r="D69" s="331">
        <f>ROUND('Công trình'!P114,4)</f>
        <v>213</v>
      </c>
      <c r="E69" s="332">
        <f>'Chiết tính'!H$878</f>
        <v>890445</v>
      </c>
      <c r="F69" s="332">
        <f>'Chiết tính'!H$882</f>
        <v>91700</v>
      </c>
      <c r="G69" s="332">
        <f>'Chiết tính'!H$884</f>
        <v>103745</v>
      </c>
      <c r="H69" s="333">
        <f>'Chiết tính'!H$897</f>
        <v>1397827</v>
      </c>
      <c r="I69" s="333">
        <f t="shared" si="2"/>
        <v>297737151</v>
      </c>
    </row>
    <row r="70" spans="1:9">
      <c r="A70" s="328">
        <v>31</v>
      </c>
      <c r="B70" s="329" t="str">
        <f>'Công trình'!F116</f>
        <v>Lắp đặt đế cống D400</v>
      </c>
      <c r="C70" s="330" t="str">
        <f>'Công trình'!G116</f>
        <v>Cái</v>
      </c>
      <c r="D70" s="331">
        <f>ROUND('Công trình'!P116,4)</f>
        <v>639</v>
      </c>
      <c r="E70" s="332">
        <f>'Chiết tính'!H$899</f>
        <v>110000</v>
      </c>
      <c r="F70" s="332">
        <f>'Chiết tính'!H$901</f>
        <v>25000</v>
      </c>
      <c r="G70" s="332">
        <f>'Công trình'!T116</f>
        <v>0</v>
      </c>
      <c r="H70" s="333">
        <f>'Chiết tính'!H$912</f>
        <v>173780</v>
      </c>
      <c r="I70" s="333">
        <f t="shared" si="2"/>
        <v>111045420</v>
      </c>
    </row>
    <row r="71" spans="1:9">
      <c r="A71" s="328">
        <v>32</v>
      </c>
      <c r="B71" s="329" t="str">
        <f>'Công trình'!F118</f>
        <v>Nối ống bê tông bằng gioăng cao su, đường kính 400mm</v>
      </c>
      <c r="C71" s="330" t="str">
        <f>'Công trình'!G118</f>
        <v>mối nối</v>
      </c>
      <c r="D71" s="331">
        <f>ROUND('Công trình'!P118,4)</f>
        <v>210</v>
      </c>
      <c r="E71" s="332">
        <f>'Chiết tính'!H$914</f>
        <v>121320</v>
      </c>
      <c r="F71" s="332">
        <f>'Chiết tính'!H$918</f>
        <v>23580</v>
      </c>
      <c r="G71" s="332">
        <f>'Công trình'!T118</f>
        <v>0</v>
      </c>
      <c r="H71" s="333">
        <f>'Chiết tính'!H$929</f>
        <v>186525</v>
      </c>
      <c r="I71" s="333">
        <f t="shared" si="2"/>
        <v>39170250</v>
      </c>
    </row>
    <row r="72" spans="1:9">
      <c r="A72" s="328">
        <v>33</v>
      </c>
      <c r="B72" s="329" t="str">
        <f>'Công trình'!F120</f>
        <v>Nối ống bê tông bằng phương pháp xảm, đường kính 400mm</v>
      </c>
      <c r="C72" s="330" t="str">
        <f>'Công trình'!G120</f>
        <v>mối nối</v>
      </c>
      <c r="D72" s="331">
        <f>ROUND('Công trình'!P120,4)</f>
        <v>210</v>
      </c>
      <c r="E72" s="332">
        <f>'Chiết tính'!H$931</f>
        <v>7814.4</v>
      </c>
      <c r="F72" s="332">
        <f>'Chiết tính'!H$936</f>
        <v>23580</v>
      </c>
      <c r="G72" s="332">
        <f>'Công trình'!T120</f>
        <v>0</v>
      </c>
      <c r="H72" s="333">
        <f>'Chiết tính'!H$947</f>
        <v>40413</v>
      </c>
      <c r="I72" s="333">
        <f t="shared" si="2"/>
        <v>8486730</v>
      </c>
    </row>
    <row r="73" spans="1:9" ht="15.75" hidden="1" customHeight="1">
      <c r="A73" s="324"/>
      <c r="B73" s="325" t="str">
        <f>'Công trình'!F122</f>
        <v>BIỆN PHÁP BỜ QUÂY:</v>
      </c>
      <c r="C73" s="341"/>
      <c r="D73" s="342"/>
      <c r="E73" s="343"/>
      <c r="F73" s="343"/>
      <c r="G73" s="343"/>
      <c r="H73" s="344"/>
      <c r="I73" s="344"/>
    </row>
    <row r="74" spans="1:9">
      <c r="A74" s="328">
        <v>34</v>
      </c>
      <c r="B74" s="329" t="str">
        <f>'Công trình'!F123</f>
        <v>Đắp đất núi bờ quây, dụng trọng 1.5T/m3</v>
      </c>
      <c r="C74" s="330" t="str">
        <f>'Công trình'!G123</f>
        <v>100m3</v>
      </c>
      <c r="D74" s="331">
        <f>ROUND('Công trình'!P123,4)</f>
        <v>0.06</v>
      </c>
      <c r="E74" s="332">
        <f>'Công trình'!Q123+'Công trình'!R123</f>
        <v>0</v>
      </c>
      <c r="F74" s="332">
        <f>'Chiết tính'!H$949</f>
        <v>219090</v>
      </c>
      <c r="G74" s="332">
        <f>'Chiết tính'!H$951</f>
        <v>463189.1</v>
      </c>
      <c r="H74" s="333">
        <f>'Chiết tính'!H$964</f>
        <v>878273</v>
      </c>
      <c r="I74" s="333">
        <f t="shared" ref="I74:I81" si="3">ROUND(IF(D$26=0,D74*H74,D$26*D74*H74),1)</f>
        <v>52696.4</v>
      </c>
    </row>
    <row r="75" spans="1:9">
      <c r="A75" s="328">
        <v>35</v>
      </c>
      <c r="B75" s="329" t="str">
        <f>'Công trình'!F125</f>
        <v>Tiền đất núi đắp bờ quây</v>
      </c>
      <c r="C75" s="330" t="str">
        <f>'Công trình'!G125</f>
        <v>m3</v>
      </c>
      <c r="D75" s="331">
        <f>ROUND('Công trình'!P125,4)</f>
        <v>6.6</v>
      </c>
      <c r="E75" s="332">
        <f>'Chiết tính'!H$966</f>
        <v>190000</v>
      </c>
      <c r="F75" s="332">
        <f>'Công trình'!S125</f>
        <v>0</v>
      </c>
      <c r="G75" s="332">
        <f>'Công trình'!T125</f>
        <v>0</v>
      </c>
      <c r="H75" s="333">
        <f>'Chiết tính'!H$977</f>
        <v>244581</v>
      </c>
      <c r="I75" s="333">
        <f t="shared" si="3"/>
        <v>1614234.6</v>
      </c>
    </row>
    <row r="76" spans="1:9">
      <c r="A76" s="328">
        <v>36</v>
      </c>
      <c r="B76" s="329" t="str">
        <f>'Công trình'!F127</f>
        <v>Cọc tre D60-80; L=2.8m</v>
      </c>
      <c r="C76" s="330" t="str">
        <f>'Công trình'!G127</f>
        <v>100m</v>
      </c>
      <c r="D76" s="331">
        <f>ROUND('Công trình'!P127,4)</f>
        <v>2.2400000000000002</v>
      </c>
      <c r="E76" s="332">
        <f>'Chiết tính'!H$979</f>
        <v>546000</v>
      </c>
      <c r="F76" s="332">
        <f>'Chiết tính'!H$981</f>
        <v>79065.399999999994</v>
      </c>
      <c r="G76" s="332">
        <f>'Chiết tính'!H$983</f>
        <v>235886.2</v>
      </c>
      <c r="H76" s="333">
        <f>'Chiết tính'!H$994</f>
        <v>1108272</v>
      </c>
      <c r="I76" s="333">
        <f t="shared" si="3"/>
        <v>2482529.2999999998</v>
      </c>
    </row>
    <row r="77" spans="1:9">
      <c r="A77" s="328">
        <v>37</v>
      </c>
      <c r="B77" s="329" t="str">
        <f>'Công trình'!F129</f>
        <v>Phên nứa 2 lớp B=1,0m</v>
      </c>
      <c r="C77" s="330" t="str">
        <f>'Công trình'!G129</f>
        <v>m2</v>
      </c>
      <c r="D77" s="331">
        <f>ROUND('Công trình'!P129,4)</f>
        <v>12</v>
      </c>
      <c r="E77" s="332">
        <f>'Chiết tính'!H$996</f>
        <v>15000</v>
      </c>
      <c r="F77" s="332">
        <f>'Công trình'!S129</f>
        <v>0</v>
      </c>
      <c r="G77" s="332">
        <f>'Công trình'!T129</f>
        <v>0</v>
      </c>
      <c r="H77" s="333">
        <f>'Chiết tính'!H$1007</f>
        <v>19309</v>
      </c>
      <c r="I77" s="333">
        <f t="shared" si="3"/>
        <v>231708</v>
      </c>
    </row>
    <row r="78" spans="1:9">
      <c r="A78" s="328">
        <v>38</v>
      </c>
      <c r="B78" s="329" t="str">
        <f>'Công trình'!F131</f>
        <v>Đào phá bờ quây bằng máy</v>
      </c>
      <c r="C78" s="330" t="str">
        <f>'Công trình'!G131</f>
        <v>100m3</v>
      </c>
      <c r="D78" s="331">
        <f>ROUND('Công trình'!P131,4)</f>
        <v>0.06</v>
      </c>
      <c r="E78" s="332">
        <f>'Công trình'!Q131+'Công trình'!R131</f>
        <v>0</v>
      </c>
      <c r="F78" s="332">
        <f>'Chiết tính'!H$1009</f>
        <v>104012.4</v>
      </c>
      <c r="G78" s="332">
        <f>'Chiết tính'!H$1011</f>
        <v>854161.8</v>
      </c>
      <c r="H78" s="333">
        <f>'Chiết tính'!H$1024</f>
        <v>1233423</v>
      </c>
      <c r="I78" s="333">
        <f t="shared" si="3"/>
        <v>74005.399999999994</v>
      </c>
    </row>
    <row r="79" spans="1:9" ht="31.5">
      <c r="A79" s="328">
        <v>39</v>
      </c>
      <c r="B79" s="329" t="str">
        <f>'Công trình'!F133</f>
        <v>Nhổ cọc tre, phên nứa (vận dụng chi phí nhân công, máy đóng cọc tre)</v>
      </c>
      <c r="C79" s="330" t="str">
        <f>'Công trình'!G133</f>
        <v>100m</v>
      </c>
      <c r="D79" s="331">
        <f>ROUND('Công trình'!P133,4)</f>
        <v>2.2400000000000002</v>
      </c>
      <c r="E79" s="332">
        <f>'Chiết tính'!H$1026</f>
        <v>546000</v>
      </c>
      <c r="F79" s="332">
        <f>'Chiết tính'!H$1028</f>
        <v>79065.399999999994</v>
      </c>
      <c r="G79" s="332">
        <f>'Chiết tính'!H$1030</f>
        <v>235886.2</v>
      </c>
      <c r="H79" s="333">
        <f>'Chiết tính'!H$1041</f>
        <v>1108272</v>
      </c>
      <c r="I79" s="333">
        <f t="shared" si="3"/>
        <v>2482529.2999999998</v>
      </c>
    </row>
    <row r="80" spans="1:9" ht="31.5">
      <c r="A80" s="328">
        <v>40</v>
      </c>
      <c r="B80" s="329" t="str">
        <f>'Công trình'!F135</f>
        <v>Vận chuyển đất bằng ôtô tự đổ 5 tấn trong phạm vi &lt;= 1000m, đất cấp II</v>
      </c>
      <c r="C80" s="330" t="str">
        <f>'Công trình'!G135</f>
        <v>100m3</v>
      </c>
      <c r="D80" s="331">
        <f>ROUND('Công trình'!P135,4)</f>
        <v>0.06</v>
      </c>
      <c r="E80" s="332">
        <f>'Công trình'!Q135+'Công trình'!R135</f>
        <v>0</v>
      </c>
      <c r="F80" s="332">
        <f>'Công trình'!S135</f>
        <v>0</v>
      </c>
      <c r="G80" s="332">
        <f>'Chiết tính'!H$1043</f>
        <v>2313202.9</v>
      </c>
      <c r="H80" s="333">
        <f>'Chiết tính'!H$1054</f>
        <v>2977703</v>
      </c>
      <c r="I80" s="333">
        <f t="shared" si="3"/>
        <v>178662.2</v>
      </c>
    </row>
    <row r="81" spans="1:9">
      <c r="A81" s="328">
        <v>41</v>
      </c>
      <c r="B81" s="329" t="str">
        <f>'Công trình'!F137</f>
        <v>Bơm nước phục vụ thi công</v>
      </c>
      <c r="C81" s="330" t="str">
        <f>'Công trình'!G137</f>
        <v>ca</v>
      </c>
      <c r="D81" s="331">
        <f>ROUND('Công trình'!P137,4)</f>
        <v>1</v>
      </c>
      <c r="E81" s="332">
        <f>'Công trình'!Q137+'Công trình'!R137</f>
        <v>0</v>
      </c>
      <c r="F81" s="332">
        <f>'Chiết tính'!H$1056</f>
        <v>200000</v>
      </c>
      <c r="G81" s="332">
        <f>'Chiết tính'!H$1058</f>
        <v>300000</v>
      </c>
      <c r="H81" s="333">
        <f>'Chiết tính'!H$1069</f>
        <v>643632</v>
      </c>
      <c r="I81" s="333">
        <f t="shared" si="3"/>
        <v>643632</v>
      </c>
    </row>
    <row r="82" spans="1:9" ht="15.75" hidden="1" customHeight="1">
      <c r="A82" s="324"/>
      <c r="B82" s="325" t="str">
        <f>'Công trình'!F139</f>
        <v>TƯỜNG ĐẦU CỐNG:</v>
      </c>
      <c r="C82" s="341"/>
      <c r="D82" s="342"/>
      <c r="E82" s="343"/>
      <c r="F82" s="343"/>
      <c r="G82" s="343"/>
      <c r="H82" s="344"/>
      <c r="I82" s="344"/>
    </row>
    <row r="83" spans="1:9">
      <c r="A83" s="328">
        <v>42</v>
      </c>
      <c r="B83" s="329" t="str">
        <f>'Công trình'!F140</f>
        <v>Đào đất cấp II</v>
      </c>
      <c r="C83" s="330" t="str">
        <f>'Công trình'!G140</f>
        <v>100m3</v>
      </c>
      <c r="D83" s="331">
        <f>ROUND('Công trình'!P140,4)</f>
        <v>3.0200000000000001E-2</v>
      </c>
      <c r="E83" s="332">
        <f>'Công trình'!Q140+'Công trình'!R140</f>
        <v>0</v>
      </c>
      <c r="F83" s="332">
        <f>'Chiết tính'!H$1071</f>
        <v>863081.7</v>
      </c>
      <c r="G83" s="332">
        <f>'Chiết tính'!H$1073</f>
        <v>1313771</v>
      </c>
      <c r="H83" s="333">
        <f>'Chiết tính'!H$1084</f>
        <v>2802184</v>
      </c>
      <c r="I83" s="333">
        <f t="shared" ref="I83:I95" si="4">ROUND(IF(D$26=0,D83*H83,D$26*D83*H83),1)</f>
        <v>84626</v>
      </c>
    </row>
    <row r="84" spans="1:9">
      <c r="A84" s="328">
        <v>43</v>
      </c>
      <c r="B84" s="329" t="str">
        <f>'Công trình'!F142</f>
        <v>Đắp đất hoàn trả móng</v>
      </c>
      <c r="C84" s="330" t="str">
        <f>'Công trình'!G142</f>
        <v>m3</v>
      </c>
      <c r="D84" s="331">
        <f>ROUND('Công trình'!P142,4)</f>
        <v>1.66</v>
      </c>
      <c r="E84" s="332">
        <f>'Công trình'!Q142+'Công trình'!R142</f>
        <v>0</v>
      </c>
      <c r="F84" s="332">
        <f>'Chiết tính'!H$1086</f>
        <v>123929.7</v>
      </c>
      <c r="G84" s="332">
        <f>'Công trình'!T142</f>
        <v>0</v>
      </c>
      <c r="H84" s="333">
        <f>'Chiết tính'!H$1097</f>
        <v>159531</v>
      </c>
      <c r="I84" s="333">
        <f t="shared" si="4"/>
        <v>264821.5</v>
      </c>
    </row>
    <row r="85" spans="1:9">
      <c r="A85" s="328">
        <v>44</v>
      </c>
      <c r="B85" s="329" t="str">
        <f>'Công trình'!F144</f>
        <v>Đóng cọc tre D80-D1000, 25c/m2, L=2.5m</v>
      </c>
      <c r="C85" s="330" t="str">
        <f>'Công trình'!G144</f>
        <v>100m</v>
      </c>
      <c r="D85" s="331">
        <f>ROUND('Công trình'!P144,4)</f>
        <v>1.5</v>
      </c>
      <c r="E85" s="332">
        <f>'Chiết tính'!H$1099</f>
        <v>644246.30000000005</v>
      </c>
      <c r="F85" s="332">
        <f>'Chiết tính'!H$1105</f>
        <v>483975.8</v>
      </c>
      <c r="G85" s="332">
        <f>'Công trình'!T144</f>
        <v>0</v>
      </c>
      <c r="H85" s="333">
        <f>'Chiết tính'!H$1116</f>
        <v>1452320</v>
      </c>
      <c r="I85" s="333">
        <f t="shared" si="4"/>
        <v>2178480</v>
      </c>
    </row>
    <row r="86" spans="1:9">
      <c r="A86" s="328">
        <v>45</v>
      </c>
      <c r="B86" s="329" t="str">
        <f>'Công trình'!F146</f>
        <v>Vét bùn đầu cọc</v>
      </c>
      <c r="C86" s="330" t="str">
        <f>'Công trình'!G146</f>
        <v>m3</v>
      </c>
      <c r="D86" s="331">
        <f>ROUND('Công trình'!P146,4)</f>
        <v>0.24</v>
      </c>
      <c r="E86" s="332">
        <f>'Công trình'!Q146+'Công trình'!R146</f>
        <v>0</v>
      </c>
      <c r="F86" s="332">
        <f>'Chiết tính'!H$1118</f>
        <v>316463.3</v>
      </c>
      <c r="G86" s="332">
        <f>'Công trình'!T146</f>
        <v>0</v>
      </c>
      <c r="H86" s="333">
        <f>'Chiết tính'!H$1129</f>
        <v>407372</v>
      </c>
      <c r="I86" s="333">
        <f t="shared" si="4"/>
        <v>97769.3</v>
      </c>
    </row>
    <row r="87" spans="1:9">
      <c r="A87" s="328">
        <v>46</v>
      </c>
      <c r="B87" s="329" t="str">
        <f>'Công trình'!F148</f>
        <v>Cát đen đệm đầu cọc</v>
      </c>
      <c r="C87" s="330" t="str">
        <f>'Công trình'!G148</f>
        <v>m3</v>
      </c>
      <c r="D87" s="331">
        <f>ROUND('Công trình'!P148,4)</f>
        <v>0.24</v>
      </c>
      <c r="E87" s="332">
        <f>'Chiết tính'!H$1131</f>
        <v>186660</v>
      </c>
      <c r="F87" s="332">
        <f>'Chiết tính'!H$1135</f>
        <v>99586.4</v>
      </c>
      <c r="G87" s="332">
        <f>'Công trình'!T148</f>
        <v>0</v>
      </c>
      <c r="H87" s="333">
        <f>'Chiết tính'!H$1146</f>
        <v>368475</v>
      </c>
      <c r="I87" s="333">
        <f t="shared" si="4"/>
        <v>88434</v>
      </c>
    </row>
    <row r="88" spans="1:9">
      <c r="A88" s="328">
        <v>47</v>
      </c>
      <c r="B88" s="329" t="str">
        <f>'Công trình'!F150</f>
        <v>Đá dăm 2x4 lót móng, dày 10cm</v>
      </c>
      <c r="C88" s="330" t="str">
        <f>'Công trình'!G150</f>
        <v>m3</v>
      </c>
      <c r="D88" s="331">
        <f>ROUND('Công trình'!P150,4)</f>
        <v>0.24</v>
      </c>
      <c r="E88" s="332">
        <f>'Chiết tính'!H$1148</f>
        <v>453000</v>
      </c>
      <c r="F88" s="332">
        <f>'Chiết tính'!H$1152</f>
        <v>420923.8</v>
      </c>
      <c r="G88" s="332">
        <f>'Công trình'!T150</f>
        <v>0</v>
      </c>
      <c r="H88" s="333">
        <f>'Chiết tính'!H$1163</f>
        <v>1124971</v>
      </c>
      <c r="I88" s="333">
        <f t="shared" si="4"/>
        <v>269993</v>
      </c>
    </row>
    <row r="89" spans="1:9">
      <c r="A89" s="328">
        <v>48</v>
      </c>
      <c r="B89" s="329" t="str">
        <f>'Công trình'!F152</f>
        <v>Ván khuôn gỗ móng</v>
      </c>
      <c r="C89" s="330" t="str">
        <f>'Công trình'!G152</f>
        <v>100m2</v>
      </c>
      <c r="D89" s="331">
        <f>ROUND('Công trình'!P152,4)</f>
        <v>1.3599999999999999E-2</v>
      </c>
      <c r="E89" s="332">
        <f>'Chiết tính'!H$1165</f>
        <v>6188316.2000000002</v>
      </c>
      <c r="F89" s="332">
        <f>'Chiết tính'!H$1172</f>
        <v>7781400</v>
      </c>
      <c r="G89" s="332">
        <f>'Công trình'!T152</f>
        <v>0</v>
      </c>
      <c r="H89" s="333">
        <f>'Chiết tính'!H$1183</f>
        <v>17982713</v>
      </c>
      <c r="I89" s="333">
        <f t="shared" si="4"/>
        <v>244564.9</v>
      </c>
    </row>
    <row r="90" spans="1:9">
      <c r="A90" s="328">
        <v>49</v>
      </c>
      <c r="B90" s="329" t="str">
        <f>'Công trình'!F154</f>
        <v>Bê tông móng M200, đá 1x2 dày 20cm</v>
      </c>
      <c r="C90" s="330" t="str">
        <f>'Công trình'!G154</f>
        <v>m3</v>
      </c>
      <c r="D90" s="331">
        <f>ROUND('Công trình'!P154,4)</f>
        <v>0.48</v>
      </c>
      <c r="E90" s="332">
        <f>'Chiết tính'!H$1185</f>
        <v>1040813.5</v>
      </c>
      <c r="F90" s="332">
        <f>'Chiết tính'!H$1192</f>
        <v>294698.2</v>
      </c>
      <c r="G90" s="332">
        <f>'Chiết tính'!H$1194</f>
        <v>54795.9</v>
      </c>
      <c r="H90" s="333">
        <f>'Chiết tính'!H$1207</f>
        <v>1789693</v>
      </c>
      <c r="I90" s="333">
        <f t="shared" si="4"/>
        <v>859052.6</v>
      </c>
    </row>
    <row r="91" spans="1:9">
      <c r="A91" s="328">
        <v>50</v>
      </c>
      <c r="B91" s="329" t="str">
        <f>'Công trình'!F156</f>
        <v>Trát tường ngoài, chiều dày trát 2cm, vữa XM mác 75, PCB30</v>
      </c>
      <c r="C91" s="330" t="str">
        <f>'Công trình'!G156</f>
        <v>m2</v>
      </c>
      <c r="D91" s="331">
        <f>ROUND('Công trình'!P156,4)</f>
        <v>10.62</v>
      </c>
      <c r="E91" s="332">
        <f>'Chiết tính'!H$1209</f>
        <v>24806.9</v>
      </c>
      <c r="F91" s="332">
        <f>'Chiết tính'!H$1215</f>
        <v>83840</v>
      </c>
      <c r="G91" s="332">
        <f>'Chiết tính'!H$1217</f>
        <v>880.1</v>
      </c>
      <c r="H91" s="333">
        <f>'Chiết tính'!H$1228</f>
        <v>140990</v>
      </c>
      <c r="I91" s="333">
        <f t="shared" si="4"/>
        <v>1497313.8</v>
      </c>
    </row>
    <row r="92" spans="1:9">
      <c r="A92" s="328">
        <v>51</v>
      </c>
      <c r="B92" s="329" t="str">
        <f>'Công trình'!F158</f>
        <v>Ván khuôn gỗ. Ván khuôn cổ tường</v>
      </c>
      <c r="C92" s="330" t="str">
        <f>'Công trình'!G158</f>
        <v>100m2</v>
      </c>
      <c r="D92" s="331">
        <f>ROUND('Công trình'!P158,4)</f>
        <v>9.2999999999999992E-3</v>
      </c>
      <c r="E92" s="332">
        <f>'Chiết tính'!H$1230</f>
        <v>8793002.5</v>
      </c>
      <c r="F92" s="332">
        <f>'Chiết tính'!H$1237</f>
        <v>7205000</v>
      </c>
      <c r="G92" s="332">
        <f>'Công trình'!T158</f>
        <v>0</v>
      </c>
      <c r="H92" s="333">
        <f>'Chiết tính'!H$1248</f>
        <v>20593653</v>
      </c>
      <c r="I92" s="333">
        <f t="shared" si="4"/>
        <v>191521</v>
      </c>
    </row>
    <row r="93" spans="1:9">
      <c r="A93" s="328">
        <v>52</v>
      </c>
      <c r="B93" s="329" t="str">
        <f>'Công trình'!F160</f>
        <v>Bê tông cổ tường M250, đá 1x2</v>
      </c>
      <c r="C93" s="330" t="str">
        <f>'Công trình'!G160</f>
        <v>m3</v>
      </c>
      <c r="D93" s="331">
        <f>ROUND('Công trình'!P160,4)</f>
        <v>0.13</v>
      </c>
      <c r="E93" s="332">
        <f>'Chiết tính'!H$1250</f>
        <v>1099539</v>
      </c>
      <c r="F93" s="332">
        <f>'Chiết tính'!H$1257</f>
        <v>639710.6</v>
      </c>
      <c r="G93" s="332">
        <f>'Chiết tính'!H$1259</f>
        <v>79863</v>
      </c>
      <c r="H93" s="333">
        <f>'Chiết tính'!H$1272</f>
        <v>2341678</v>
      </c>
      <c r="I93" s="333">
        <f t="shared" si="4"/>
        <v>304418.09999999998</v>
      </c>
    </row>
    <row r="94" spans="1:9">
      <c r="A94" s="328">
        <v>53</v>
      </c>
      <c r="B94" s="329" t="str">
        <f>'Công trình'!F162</f>
        <v>Công tác gia công lắp dựng cốt thép. Cốt thép cổ tường</v>
      </c>
      <c r="C94" s="330" t="str">
        <f>'Công trình'!G162</f>
        <v>tấn</v>
      </c>
      <c r="D94" s="331">
        <f>ROUND('Công trình'!P162,4)</f>
        <v>3.0999999999999999E-3</v>
      </c>
      <c r="E94" s="332">
        <f>'Chiết tính'!H$1274</f>
        <v>16968180</v>
      </c>
      <c r="F94" s="332">
        <f>'Chiết tính'!H$1278</f>
        <v>4032180</v>
      </c>
      <c r="G94" s="332">
        <f>'Chiết tính'!H$1280</f>
        <v>111836.4</v>
      </c>
      <c r="H94" s="333">
        <f>'Chiết tính'!H$1291</f>
        <v>27176971</v>
      </c>
      <c r="I94" s="333">
        <f t="shared" si="4"/>
        <v>84248.6</v>
      </c>
    </row>
    <row r="95" spans="1:9" ht="31.5">
      <c r="A95" s="328">
        <v>54</v>
      </c>
      <c r="B95" s="329" t="str">
        <f>'Công trình'!F164</f>
        <v>Công tác gia công lắp dựng cốt thép. Cốt thép xà dầm, giằng, đường kính cốt thép &lt;= 18mm, chiều cao &lt;= 6m</v>
      </c>
      <c r="C95" s="330" t="str">
        <f>'Công trình'!G164</f>
        <v>tấn</v>
      </c>
      <c r="D95" s="331">
        <f>ROUND('Công trình'!P164,4)</f>
        <v>1.26E-2</v>
      </c>
      <c r="E95" s="332">
        <f>'Chiết tính'!H$1293</f>
        <v>17170220</v>
      </c>
      <c r="F95" s="332">
        <f>'Chiết tính'!H$1298</f>
        <v>2420880</v>
      </c>
      <c r="G95" s="332">
        <f>'Chiết tính'!H$1300</f>
        <v>545678.30000000005</v>
      </c>
      <c r="H95" s="333">
        <f>'Chiết tính'!H$1313</f>
        <v>25921350</v>
      </c>
      <c r="I95" s="333">
        <f t="shared" si="4"/>
        <v>326609</v>
      </c>
    </row>
    <row r="96" spans="1:9" s="340" customFormat="1">
      <c r="A96" s="334">
        <v>55</v>
      </c>
      <c r="B96" s="335" t="s">
        <v>1353</v>
      </c>
      <c r="C96" s="336" t="s">
        <v>52</v>
      </c>
      <c r="D96" s="337">
        <v>1.3599999999999999E-2</v>
      </c>
      <c r="E96" s="338"/>
      <c r="F96" s="338"/>
      <c r="G96" s="338"/>
      <c r="H96" s="339">
        <f>H97+H98</f>
        <v>7548443</v>
      </c>
      <c r="I96" s="339">
        <f>H96*D96</f>
        <v>102658.82479999999</v>
      </c>
    </row>
    <row r="97" spans="1:9" hidden="1">
      <c r="A97" s="351">
        <f>'Công trình'!A166</f>
        <v>55</v>
      </c>
      <c r="B97" s="352" t="str">
        <f>'Công trình'!F166</f>
        <v>Vận chuyển đất cấp II</v>
      </c>
      <c r="C97" s="352" t="str">
        <f>'Công trình'!G166</f>
        <v>100m3</v>
      </c>
      <c r="D97" s="353">
        <f>ROUND('Công trình'!P166,4)</f>
        <v>1.3599999999999999E-2</v>
      </c>
      <c r="E97" s="354">
        <f>'Công trình'!Q166+'Công trình'!R166</f>
        <v>0</v>
      </c>
      <c r="F97" s="354">
        <f>'Công trình'!S166</f>
        <v>0</v>
      </c>
      <c r="G97" s="354">
        <f>'Chiết tính'!H$1315</f>
        <v>2313202.9</v>
      </c>
      <c r="H97" s="354">
        <f>'Chiết tính'!H$1326</f>
        <v>2977703</v>
      </c>
      <c r="I97" s="354"/>
    </row>
    <row r="98" spans="1:9" ht="31.5" hidden="1">
      <c r="A98" s="351">
        <f>'Công trình'!A168</f>
        <v>56</v>
      </c>
      <c r="B98" s="352" t="str">
        <f>'Công trình'!F168</f>
        <v>Vận chuyển đất bằng ô tô tự đổ 5T 1km tiếp theo ngoài phạm vi 5km, đất cấp II</v>
      </c>
      <c r="C98" s="352" t="str">
        <f>'Công trình'!G168</f>
        <v>100m3</v>
      </c>
      <c r="D98" s="353">
        <f>ROUND('Công trình'!P168,4)</f>
        <v>1.3599999999999999E-2</v>
      </c>
      <c r="E98" s="354">
        <f>'Công trình'!Q168+'Công trình'!R168</f>
        <v>0</v>
      </c>
      <c r="F98" s="354">
        <f>'Công trình'!S168</f>
        <v>0</v>
      </c>
      <c r="G98" s="354">
        <f>'Chiết tính'!H$1328</f>
        <v>3550740.4</v>
      </c>
      <c r="H98" s="354">
        <f>'Chiết tính'!H$1339</f>
        <v>4570740</v>
      </c>
      <c r="I98" s="354"/>
    </row>
    <row r="99" spans="1:9" hidden="1">
      <c r="A99" s="355"/>
      <c r="B99" s="356" t="str">
        <f>"KẾT THÚC : "&amp;B26</f>
        <v>KẾT THÚC : HỆ THỐNG THOÁT NƯỚC</v>
      </c>
      <c r="C99" s="357"/>
      <c r="D99" s="358"/>
      <c r="E99" s="359"/>
      <c r="F99" s="359"/>
      <c r="G99" s="359"/>
      <c r="H99" s="359"/>
      <c r="I99" s="359"/>
    </row>
    <row r="100" spans="1:9">
      <c r="A100" s="360"/>
      <c r="B100" s="361" t="s">
        <v>1357</v>
      </c>
      <c r="C100" s="362"/>
      <c r="D100" s="363"/>
      <c r="E100" s="364"/>
      <c r="F100" s="364"/>
      <c r="G100" s="364"/>
      <c r="H100" s="364"/>
      <c r="I100" s="365">
        <f>ROUND(SUM(I7:I96),-3)</f>
        <v>2048507000</v>
      </c>
    </row>
    <row r="101" spans="1:9">
      <c r="A101" s="1058" t="s">
        <v>1366</v>
      </c>
      <c r="B101" s="1059"/>
      <c r="C101" s="1059"/>
      <c r="D101" s="1060"/>
      <c r="E101" s="1061"/>
      <c r="F101" s="1061"/>
      <c r="G101" s="1061"/>
      <c r="H101" s="1061"/>
      <c r="I101" s="1062"/>
    </row>
    <row r="103" spans="1:9" s="314" customFormat="1" ht="15" customHeight="1">
      <c r="B103" s="315" t="s">
        <v>1365</v>
      </c>
      <c r="D103" s="846" t="s">
        <v>1358</v>
      </c>
      <c r="E103" s="846"/>
      <c r="F103" s="846"/>
      <c r="G103" s="846"/>
      <c r="H103" s="846"/>
      <c r="I103" s="846"/>
    </row>
    <row r="111" spans="1:9">
      <c r="I111" s="365">
        <v>2048507000</v>
      </c>
    </row>
  </sheetData>
  <mergeCells count="5">
    <mergeCell ref="A1:I1"/>
    <mergeCell ref="A3:I3"/>
    <mergeCell ref="A101:I101"/>
    <mergeCell ref="A2:I2"/>
    <mergeCell ref="D103:I103"/>
  </mergeCells>
  <pageMargins left="0.98425196850393704" right="0.78740157480314965" top="0.78740157480314965" bottom="0.78740157480314965" header="0.39370078740157483" footer="0.39370078740157483"/>
  <pageSetup paperSize="9" scale="76" fitToHeight="0" orientation="portrait" blackAndWhite="1" useFirstPageNumber="1" r:id="rId1"/>
  <headerFooter alignWithMargins="0">
    <oddFooter>&amp;CTrang: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I16"/>
  <sheetViews>
    <sheetView workbookViewId="0"/>
  </sheetViews>
  <sheetFormatPr defaultColWidth="10" defaultRowHeight="15" customHeight="1"/>
  <cols>
    <col min="1" max="1" width="8.33203125" style="34" customWidth="1"/>
    <col min="2" max="2" width="15" style="34" customWidth="1"/>
    <col min="3" max="3" width="18.33203125" style="34" customWidth="1"/>
    <col min="4" max="5" width="18.33203125" style="34" hidden="1" customWidth="1"/>
    <col min="6" max="7" width="13.33203125" style="34" customWidth="1"/>
    <col min="8" max="8" width="18.33203125" style="34" customWidth="1"/>
    <col min="9" max="9" width="20" style="34" customWidth="1"/>
    <col min="10" max="16384" width="10" style="34"/>
  </cols>
  <sheetData>
    <row r="1" spans="1:9" ht="32.25" customHeight="1">
      <c r="A1" s="983" t="str">
        <f>'Công trình'!A2</f>
        <v>CÔNG TRÌNH : SỬA CHỮA TUYẾN ĐƯỜNG TỪ NHÀ BÀ TRƯỜNG, TỔ 5 PHƯỜNG VẠN HƯƠNG ĐẾN NHÀ BÀ KIM, TỔ DÂN PHỐ BẮC HẢI PHƯỜNG BÀNG LA</v>
      </c>
      <c r="B1" s="985"/>
      <c r="C1" s="985"/>
      <c r="D1" s="985"/>
      <c r="E1" s="985"/>
      <c r="F1" s="985"/>
      <c r="G1" s="985"/>
      <c r="H1" s="985"/>
      <c r="I1" s="985"/>
    </row>
    <row r="2" spans="1:9" ht="26.25" customHeight="1">
      <c r="A2" s="981" t="s">
        <v>845</v>
      </c>
      <c r="B2" s="985"/>
      <c r="C2" s="985"/>
      <c r="D2" s="985"/>
      <c r="E2" s="985"/>
      <c r="F2" s="985"/>
      <c r="G2" s="985"/>
    </row>
    <row r="3" spans="1:9" ht="45" customHeight="1">
      <c r="A3" s="190" t="s">
        <v>4</v>
      </c>
      <c r="B3" s="191" t="s">
        <v>846</v>
      </c>
      <c r="C3" s="191" t="s">
        <v>847</v>
      </c>
      <c r="D3" s="191"/>
      <c r="E3" s="191"/>
      <c r="F3" s="191" t="s">
        <v>848</v>
      </c>
      <c r="G3" s="191" t="s">
        <v>849</v>
      </c>
    </row>
    <row r="4" spans="1:9" ht="15" customHeight="1">
      <c r="A4" s="39">
        <v>1</v>
      </c>
      <c r="B4" s="18" t="s">
        <v>850</v>
      </c>
      <c r="C4" s="192">
        <v>1.05</v>
      </c>
      <c r="D4" s="19"/>
      <c r="E4" s="19"/>
      <c r="F4" s="193">
        <f>IF(C4&lt;&gt;0,ROUND(C5/C4,5),0)</f>
        <v>1</v>
      </c>
      <c r="G4" s="1040">
        <f>ROUND(SUM(F4:F8)/A8,5)</f>
        <v>1.00952</v>
      </c>
    </row>
    <row r="5" spans="1:9" ht="15" customHeight="1">
      <c r="A5" s="39">
        <v>2</v>
      </c>
      <c r="B5" s="18" t="s">
        <v>851</v>
      </c>
      <c r="C5" s="192">
        <v>1.05</v>
      </c>
      <c r="D5" s="19"/>
      <c r="E5" s="19"/>
      <c r="F5" s="193">
        <f>IF(C5&lt;&gt;0,ROUND(C6/C5,5),0)</f>
        <v>1</v>
      </c>
      <c r="G5" s="1041"/>
    </row>
    <row r="6" spans="1:9" ht="15" customHeight="1">
      <c r="A6" s="39">
        <v>3</v>
      </c>
      <c r="B6" s="18" t="s">
        <v>852</v>
      </c>
      <c r="C6" s="192">
        <v>1.05</v>
      </c>
      <c r="D6" s="19"/>
      <c r="E6" s="19"/>
      <c r="F6" s="193">
        <f>IF(C6&lt;&gt;0,ROUND(C7/C6,5),0)</f>
        <v>1</v>
      </c>
      <c r="G6" s="1041"/>
    </row>
    <row r="7" spans="1:9" ht="15" customHeight="1">
      <c r="A7" s="39">
        <v>4</v>
      </c>
      <c r="B7" s="18" t="s">
        <v>853</v>
      </c>
      <c r="C7" s="192">
        <v>1.05</v>
      </c>
      <c r="D7" s="19"/>
      <c r="E7" s="19"/>
      <c r="F7" s="193">
        <f>IF(C7&lt;&gt;0,ROUND(C8/C7,5),0)</f>
        <v>1.04762</v>
      </c>
      <c r="G7" s="1041"/>
    </row>
    <row r="8" spans="1:9" ht="15" customHeight="1">
      <c r="A8" s="41">
        <v>5</v>
      </c>
      <c r="B8" s="29" t="s">
        <v>854</v>
      </c>
      <c r="C8" s="194">
        <v>1.1000000000000001</v>
      </c>
      <c r="D8" s="30"/>
      <c r="E8" s="30"/>
      <c r="F8" s="195">
        <v>1</v>
      </c>
      <c r="G8" s="1042"/>
    </row>
    <row r="9" spans="1:9" ht="15" customHeight="1">
      <c r="A9" s="985"/>
      <c r="B9" s="985"/>
      <c r="C9" s="985"/>
      <c r="D9" s="985"/>
      <c r="E9" s="985"/>
      <c r="F9" s="985"/>
      <c r="G9" s="985"/>
      <c r="H9" s="985"/>
      <c r="I9" s="985"/>
    </row>
    <row r="10" spans="1:9" ht="26.25" customHeight="1">
      <c r="A10" s="981" t="s">
        <v>855</v>
      </c>
      <c r="B10" s="985"/>
      <c r="C10" s="985"/>
      <c r="D10" s="985"/>
      <c r="E10" s="985"/>
      <c r="F10" s="985"/>
      <c r="G10" s="985"/>
      <c r="H10" s="985"/>
      <c r="I10" s="985"/>
    </row>
    <row r="11" spans="1:9" ht="67.5" customHeight="1">
      <c r="A11" s="1043" t="s">
        <v>4</v>
      </c>
      <c r="B11" s="1036" t="s">
        <v>856</v>
      </c>
      <c r="C11" s="191" t="s">
        <v>857</v>
      </c>
      <c r="D11" s="191" t="s">
        <v>858</v>
      </c>
      <c r="E11" s="191" t="s">
        <v>859</v>
      </c>
      <c r="F11" s="1036" t="s">
        <v>849</v>
      </c>
      <c r="G11" s="1036" t="s">
        <v>860</v>
      </c>
      <c r="H11" s="191" t="s">
        <v>861</v>
      </c>
      <c r="I11" s="191" t="s">
        <v>862</v>
      </c>
    </row>
    <row r="12" spans="1:9" ht="15" customHeight="1">
      <c r="A12" s="1044"/>
      <c r="B12" s="1037"/>
      <c r="C12" s="196" t="str">
        <f>'Công trình'!AL1</f>
        <v>(đ)</v>
      </c>
      <c r="D12" s="196" t="str">
        <f>'Công trình'!AL1</f>
        <v>(đ)</v>
      </c>
      <c r="E12" s="196" t="str">
        <f>'Công trình'!AL1</f>
        <v>(đ)</v>
      </c>
      <c r="F12" s="1037"/>
      <c r="G12" s="1037"/>
      <c r="H12" s="196" t="str">
        <f>'Công trình'!AL1</f>
        <v>(đ)</v>
      </c>
      <c r="I12" s="196" t="str">
        <f>'Công trình'!AL1</f>
        <v>(đ)</v>
      </c>
    </row>
    <row r="13" spans="1:9" ht="15" customHeight="1">
      <c r="A13" s="39">
        <v>1</v>
      </c>
      <c r="B13" s="18" t="s">
        <v>863</v>
      </c>
      <c r="C13" s="15">
        <v>696831114</v>
      </c>
      <c r="D13" s="15">
        <v>0</v>
      </c>
      <c r="E13" s="15">
        <f>C13-D13</f>
        <v>696831114</v>
      </c>
      <c r="F13" s="197">
        <f>G4</f>
        <v>1.00952</v>
      </c>
      <c r="G13" s="197">
        <v>0.05</v>
      </c>
      <c r="H13" s="15">
        <f>C13*((F13+G13)^A13-1)</f>
        <v>41475387.905280009</v>
      </c>
      <c r="I13" s="15">
        <f>H13</f>
        <v>41475387.905280009</v>
      </c>
    </row>
    <row r="14" spans="1:9" ht="15" customHeight="1">
      <c r="A14" s="39">
        <v>2</v>
      </c>
      <c r="B14" s="18" t="s">
        <v>864</v>
      </c>
      <c r="C14" s="15">
        <v>696831114</v>
      </c>
      <c r="D14" s="15">
        <v>0</v>
      </c>
      <c r="E14" s="15">
        <f>C14-D14</f>
        <v>696831114</v>
      </c>
      <c r="F14" s="197">
        <f>G4</f>
        <v>1.00952</v>
      </c>
      <c r="G14" s="197">
        <v>0.05</v>
      </c>
      <c r="H14" s="15">
        <f>C14*((F14+G14)^A14-1)</f>
        <v>85419390.898682237</v>
      </c>
      <c r="I14" s="15">
        <f>H14+I13</f>
        <v>126894778.80396225</v>
      </c>
    </row>
    <row r="15" spans="1:9" ht="15" customHeight="1">
      <c r="A15" s="39">
        <v>3</v>
      </c>
      <c r="B15" s="18" t="s">
        <v>865</v>
      </c>
      <c r="C15" s="15" t="e">
        <f>'Dự toán gói thầu'!G16-SUM(C13:C14)</f>
        <v>#REF!</v>
      </c>
      <c r="D15" s="15">
        <v>0</v>
      </c>
      <c r="E15" s="15" t="e">
        <f>C15-D15</f>
        <v>#REF!</v>
      </c>
      <c r="F15" s="197">
        <f>G4</f>
        <v>1.00952</v>
      </c>
      <c r="G15" s="197">
        <v>0.05</v>
      </c>
      <c r="H15" s="15" t="e">
        <f>C15*((F15+G15)^A15-1)</f>
        <v>#REF!</v>
      </c>
      <c r="I15" s="15" t="e">
        <f>H15+I14</f>
        <v>#REF!</v>
      </c>
    </row>
    <row r="16" spans="1:9" ht="22.5" customHeight="1">
      <c r="A16" s="1038" t="s">
        <v>779</v>
      </c>
      <c r="B16" s="994"/>
      <c r="C16" s="198" t="e">
        <f>SUM(C13:C15)</f>
        <v>#REF!</v>
      </c>
      <c r="D16" s="198">
        <f>SUM(D13:D15)</f>
        <v>0</v>
      </c>
      <c r="E16" s="198" t="e">
        <f>SUM(E13:E15)</f>
        <v>#REF!</v>
      </c>
      <c r="F16" s="30"/>
      <c r="G16" s="30"/>
      <c r="H16" s="1039" t="e">
        <f>SUM(H13:H15)</f>
        <v>#REF!</v>
      </c>
      <c r="I16" s="994"/>
    </row>
  </sheetData>
  <mergeCells count="11">
    <mergeCell ref="G11:G12"/>
    <mergeCell ref="A16:B16"/>
    <mergeCell ref="H16:I16"/>
    <mergeCell ref="A2:G2"/>
    <mergeCell ref="A1:I1"/>
    <mergeCell ref="G4:G8"/>
    <mergeCell ref="A9:I9"/>
    <mergeCell ref="A10:I10"/>
    <mergeCell ref="A11:A12"/>
    <mergeCell ref="B11:B12"/>
    <mergeCell ref="F11:F12"/>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G19"/>
  <sheetViews>
    <sheetView workbookViewId="0"/>
  </sheetViews>
  <sheetFormatPr defaultColWidth="10" defaultRowHeight="15" customHeight="1"/>
  <cols>
    <col min="1" max="1" width="8.33203125" style="34" customWidth="1"/>
    <col min="2" max="2" width="80.83203125" style="34" customWidth="1"/>
    <col min="3" max="5" width="20" style="34" customWidth="1"/>
    <col min="6" max="6" width="11.6640625" style="34" customWidth="1"/>
    <col min="7" max="7" width="20" style="34" customWidth="1"/>
    <col min="8" max="16384" width="10" style="34"/>
  </cols>
  <sheetData>
    <row r="1" spans="1:7" ht="26.25" customHeight="1">
      <c r="A1" s="981" t="s">
        <v>1094</v>
      </c>
      <c r="B1" s="985"/>
      <c r="C1" s="985"/>
      <c r="D1" s="985"/>
      <c r="E1" s="985"/>
      <c r="F1" s="985"/>
    </row>
    <row r="2" spans="1:7" ht="18.75" customHeight="1">
      <c r="A2" s="1022" t="s">
        <v>1095</v>
      </c>
      <c r="B2" s="985"/>
      <c r="C2" s="985"/>
      <c r="D2" s="985"/>
      <c r="E2" s="985"/>
      <c r="F2" s="985"/>
    </row>
    <row r="3" spans="1:7" ht="32.25" customHeight="1">
      <c r="A3" s="1022" t="s">
        <v>1096</v>
      </c>
      <c r="B3" s="985"/>
      <c r="C3" s="985"/>
      <c r="D3" s="985"/>
      <c r="E3" s="985"/>
      <c r="F3" s="985"/>
    </row>
    <row r="4" spans="1:7" ht="18.75" customHeight="1">
      <c r="A4" s="1022" t="s">
        <v>1097</v>
      </c>
      <c r="B4" s="985"/>
      <c r="C4" s="985"/>
      <c r="D4" s="985"/>
      <c r="E4" s="985"/>
      <c r="F4" s="985"/>
    </row>
    <row r="5" spans="1:7" ht="18.75" customHeight="1">
      <c r="A5" s="1022" t="s">
        <v>1098</v>
      </c>
      <c r="B5" s="985"/>
      <c r="C5" s="985"/>
      <c r="D5" s="985"/>
      <c r="E5" s="985"/>
      <c r="F5" s="985"/>
    </row>
    <row r="6" spans="1:7" ht="22.5" customHeight="1">
      <c r="A6" s="998" t="str">
        <f>"Đơn vị tính:  "&amp;'Công trình'!AL1</f>
        <v>Đơn vị tính:  (đ)</v>
      </c>
      <c r="B6" s="985"/>
      <c r="C6" s="985"/>
      <c r="D6" s="985"/>
      <c r="E6" s="985"/>
      <c r="F6" s="985"/>
    </row>
    <row r="7" spans="1:7" ht="37.5" customHeight="1">
      <c r="A7" s="190" t="s">
        <v>4</v>
      </c>
      <c r="B7" s="191" t="s">
        <v>1099</v>
      </c>
      <c r="C7" s="191" t="s">
        <v>1100</v>
      </c>
      <c r="D7" s="191" t="s">
        <v>1101</v>
      </c>
      <c r="E7" s="191" t="s">
        <v>1102</v>
      </c>
      <c r="F7" s="191" t="s">
        <v>1103</v>
      </c>
    </row>
    <row r="8" spans="1:7" ht="22.5" customHeight="1">
      <c r="A8" s="190" t="s">
        <v>1104</v>
      </c>
      <c r="B8" s="196" t="s">
        <v>1105</v>
      </c>
      <c r="C8" s="196" t="s">
        <v>1106</v>
      </c>
      <c r="D8" s="196" t="s">
        <v>1107</v>
      </c>
      <c r="E8" s="196" t="s">
        <v>1108</v>
      </c>
      <c r="F8" s="196" t="s">
        <v>1109</v>
      </c>
    </row>
    <row r="9" spans="1:7" ht="16.5" customHeight="1">
      <c r="A9" s="254" t="s">
        <v>786</v>
      </c>
      <c r="B9" s="62" t="s">
        <v>1110</v>
      </c>
      <c r="C9" s="69" t="e">
        <f>ROUND(C10+C11,0)</f>
        <v>#REF!</v>
      </c>
      <c r="D9" s="69" t="e">
        <f>ROUND(D10+D11,0)</f>
        <v>#REF!</v>
      </c>
      <c r="E9" s="69" t="e">
        <f>ROUND(E10+E11,0)</f>
        <v>#REF!</v>
      </c>
      <c r="F9" s="61" t="s">
        <v>1111</v>
      </c>
    </row>
    <row r="10" spans="1:7" ht="16.5" hidden="1" customHeight="1">
      <c r="A10" s="254" t="s">
        <v>40</v>
      </c>
      <c r="B10" s="62" t="s">
        <v>1112</v>
      </c>
      <c r="C10" s="69"/>
      <c r="D10" s="69"/>
      <c r="E10" s="69"/>
      <c r="F10" s="61" t="s">
        <v>1113</v>
      </c>
    </row>
    <row r="11" spans="1:7" ht="16.5" hidden="1" customHeight="1">
      <c r="A11" s="254" t="s">
        <v>40</v>
      </c>
      <c r="B11" s="62" t="s">
        <v>1114</v>
      </c>
      <c r="C11" s="69" t="e">
        <f>ROUND(C12,0)</f>
        <v>#REF!</v>
      </c>
      <c r="D11" s="69" t="e">
        <f>ROUND(D12,0)</f>
        <v>#REF!</v>
      </c>
      <c r="E11" s="69" t="e">
        <f>ROUND(E12,0)</f>
        <v>#REF!</v>
      </c>
      <c r="F11" s="61" t="s">
        <v>1115</v>
      </c>
    </row>
    <row r="12" spans="1:7" ht="16.5" customHeight="1">
      <c r="A12" s="255" t="s">
        <v>880</v>
      </c>
      <c r="B12" s="20" t="str">
        <f>'Công trình'!F6</f>
        <v>SỬA CHỮA NỀN MẶT ĐƯỜNG, HỆ THỐNG THOÁT NƯỚC</v>
      </c>
      <c r="C12" s="15" t="e">
        <f>ROUND(E12/(1+HSXL!D17),0)</f>
        <v>#REF!</v>
      </c>
      <c r="D12" s="15" t="e">
        <f>ROUND(E12-C12,0)</f>
        <v>#REF!</v>
      </c>
      <c r="E12" s="15" t="e">
        <f>ROUND('Dự thầu'!J100,0)</f>
        <v>#REF!</v>
      </c>
      <c r="F12" s="51" t="s">
        <v>1116</v>
      </c>
    </row>
    <row r="13" spans="1:7" ht="16.5" customHeight="1">
      <c r="A13" s="254" t="s">
        <v>797</v>
      </c>
      <c r="B13" s="62" t="s">
        <v>1117</v>
      </c>
      <c r="C13" s="69"/>
      <c r="D13" s="69"/>
      <c r="E13" s="69"/>
      <c r="F13" s="61" t="s">
        <v>1118</v>
      </c>
    </row>
    <row r="14" spans="1:7" ht="16.5" customHeight="1">
      <c r="A14" s="254" t="s">
        <v>801</v>
      </c>
      <c r="B14" s="62" t="s">
        <v>1119</v>
      </c>
      <c r="C14" s="69" t="e">
        <f>ROUND(E14/(1+HSXL!D17),0)</f>
        <v>#REF!</v>
      </c>
      <c r="D14" s="69" t="e">
        <f>E14-C14</f>
        <v>#REF!</v>
      </c>
      <c r="E14" s="69" t="e">
        <f>ROUND(E15+E16,0)</f>
        <v>#REF!</v>
      </c>
      <c r="F14" s="61" t="s">
        <v>1120</v>
      </c>
    </row>
    <row r="15" spans="1:7" ht="16.5" customHeight="1">
      <c r="A15" s="255" t="s">
        <v>1121</v>
      </c>
      <c r="B15" s="20" t="str">
        <f>"Chi phí dự phòng cho yếu tố khối lượng phát sinh [ 0% x ("&amp;A9&amp;"+"&amp;A13&amp;") ]"</f>
        <v>Chi phí dự phòng cho yếu tố khối lượng phát sinh [ 0% x (1+2) ]</v>
      </c>
      <c r="C15" s="15"/>
      <c r="D15" s="15"/>
      <c r="E15" s="15" t="e">
        <f>ROUND(0%*(E9+E13),0)</f>
        <v>#REF!</v>
      </c>
      <c r="F15" s="51" t="s">
        <v>1122</v>
      </c>
    </row>
    <row r="16" spans="1:7" ht="16.5" customHeight="1">
      <c r="A16" s="255" t="s">
        <v>1123</v>
      </c>
      <c r="B16" s="20" t="s">
        <v>1063</v>
      </c>
      <c r="C16" s="15"/>
      <c r="D16" s="15"/>
      <c r="E16" s="15" t="e">
        <f>'Dự phòng thầu'!H16</f>
        <v>#REF!</v>
      </c>
      <c r="F16" s="51" t="s">
        <v>1124</v>
      </c>
      <c r="G16" s="256" t="e">
        <f>ROUND(E9+E13,0)</f>
        <v>#REF!</v>
      </c>
    </row>
    <row r="17" spans="1:6" ht="16.5" customHeight="1">
      <c r="A17" s="257"/>
      <c r="B17" s="258" t="str">
        <f>"TỔNG CỘNG   "&amp;A9&amp;" + "&amp;A13&amp;" + "&amp;A14</f>
        <v>TỔNG CỘNG   1 + 2 + 3</v>
      </c>
      <c r="C17" s="259" t="e">
        <f>ROUND(C9+C13+C14,0)</f>
        <v>#REF!</v>
      </c>
      <c r="D17" s="259" t="e">
        <f>ROUND(D9+D13+D14,0)</f>
        <v>#REF!</v>
      </c>
      <c r="E17" s="259" t="e">
        <f>ROUND(E9+E13+E14,0)</f>
        <v>#REF!</v>
      </c>
      <c r="F17" s="258" t="s">
        <v>1125</v>
      </c>
    </row>
    <row r="18" spans="1:6" ht="22.5" customHeight="1">
      <c r="A18" s="260"/>
      <c r="B18" s="261" t="s">
        <v>780</v>
      </c>
      <c r="C18" s="262"/>
      <c r="D18" s="262"/>
      <c r="E18" s="262" t="e">
        <f>ROUND(E17,-3)</f>
        <v>#REF!</v>
      </c>
      <c r="F18" s="261"/>
    </row>
    <row r="19" spans="1:6" ht="30" customHeight="1">
      <c r="A19" s="1065" t="s">
        <v>1126</v>
      </c>
      <c r="B19" s="985"/>
      <c r="C19" s="985"/>
      <c r="D19" s="985"/>
      <c r="E19" s="985"/>
      <c r="F19" s="985"/>
    </row>
  </sheetData>
  <mergeCells count="7">
    <mergeCell ref="A19:F19"/>
    <mergeCell ref="A1:F1"/>
    <mergeCell ref="A6:F6"/>
    <mergeCell ref="A2:F2"/>
    <mergeCell ref="A3:F3"/>
    <mergeCell ref="A4:F4"/>
    <mergeCell ref="A5:F5"/>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
  <sheetViews>
    <sheetView workbookViewId="0">
      <selection activeCell="I10" sqref="I10"/>
    </sheetView>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E1:Z1"/>
  <sheetViews>
    <sheetView workbookViewId="0"/>
  </sheetViews>
  <sheetFormatPr defaultColWidth="10" defaultRowHeight="15" customHeight="1"/>
  <cols>
    <col min="1" max="4" width="10" customWidth="1"/>
    <col min="5" max="7" width="10" hidden="1" customWidth="1"/>
    <col min="8" max="13" width="10" customWidth="1"/>
    <col min="14" max="14" width="10" hidden="1" customWidth="1"/>
    <col min="15" max="16" width="10" customWidth="1"/>
    <col min="17" max="17" width="10" hidden="1" customWidth="1"/>
    <col min="18" max="18" width="10" customWidth="1"/>
    <col min="19" max="20" width="10" hidden="1" customWidth="1"/>
    <col min="21" max="22" width="10" customWidth="1"/>
    <col min="23" max="26" width="10" hidden="1" customWidth="1"/>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
  <sheetViews>
    <sheetView workbookViewId="0"/>
  </sheetViews>
  <sheetFormatPr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
  <sheetViews>
    <sheetView workbookViewId="0"/>
  </sheetViews>
  <sheetFormatPr defaultColWidth="10" defaultRowHeight="15" customHeight="1"/>
  <sheetData/>
  <pageMargins left="1.1875" right="0" top="0.80208333333333337" bottom="0.80208333333333337" header="0.40625" footer="0.40625"/>
  <pageSetup paperSize="0" orientation="portrait" blackAndWhite="1" useFirstPageNumber="1" horizontalDpi="0" verticalDpi="0" copies="0"/>
  <headerFooter alignWithMargins="0">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D19"/>
  <sheetViews>
    <sheetView workbookViewId="0"/>
  </sheetViews>
  <sheetFormatPr defaultColWidth="10" defaultRowHeight="15" customHeight="1"/>
  <cols>
    <col min="1" max="1" width="10" customWidth="1"/>
    <col min="2" max="2" width="41.6640625" customWidth="1"/>
    <col min="3" max="4" width="20" customWidth="1"/>
  </cols>
  <sheetData>
    <row r="1" spans="1:4" ht="26.25" customHeight="1">
      <c r="A1" s="981" t="s">
        <v>1127</v>
      </c>
      <c r="B1" s="982"/>
      <c r="C1" s="982"/>
      <c r="D1" s="982"/>
    </row>
    <row r="2" spans="1:4" ht="45.75" customHeight="1">
      <c r="A2" s="983" t="str">
        <f>'Công trình'!A2</f>
        <v>CÔNG TRÌNH : SỬA CHỮA TUYẾN ĐƯỜNG TỪ NHÀ BÀ TRƯỜNG, TỔ 5 PHƯỜNG VẠN HƯƠNG ĐẾN NHÀ BÀ KIM, TỔ DÂN PHỐ BẮC HẢI PHƯỜNG BÀNG LA</v>
      </c>
      <c r="B2" s="982"/>
      <c r="C2" s="982"/>
      <c r="D2" s="982"/>
    </row>
    <row r="3" spans="1:4" ht="37.5" customHeight="1">
      <c r="A3" s="1007" t="str">
        <f>'Công trình'!F6</f>
        <v>SỬA CHỮA NỀN MẶT ĐƯỜNG, HỆ THỐNG THOÁT NƯỚC</v>
      </c>
      <c r="B3" s="982"/>
      <c r="C3" s="982"/>
      <c r="D3" s="982"/>
    </row>
    <row r="4" spans="1:4" ht="15" customHeight="1">
      <c r="A4" s="263" t="s">
        <v>4</v>
      </c>
      <c r="B4" s="263" t="s">
        <v>1128</v>
      </c>
      <c r="C4" s="263" t="s">
        <v>1129</v>
      </c>
      <c r="D4" s="263" t="s">
        <v>360</v>
      </c>
    </row>
    <row r="5" spans="1:4" ht="15" customHeight="1">
      <c r="A5" s="264">
        <v>1</v>
      </c>
      <c r="B5" s="265" t="s">
        <v>1130</v>
      </c>
      <c r="C5" s="266" t="s">
        <v>786</v>
      </c>
      <c r="D5" s="267">
        <v>1</v>
      </c>
    </row>
    <row r="6" spans="1:4" ht="15" customHeight="1">
      <c r="A6" s="264">
        <v>2</v>
      </c>
      <c r="B6" s="265" t="s">
        <v>1131</v>
      </c>
      <c r="C6" s="266" t="s">
        <v>1132</v>
      </c>
      <c r="D6" s="267">
        <v>0</v>
      </c>
    </row>
    <row r="7" spans="1:4" ht="15" customHeight="1">
      <c r="A7" s="264">
        <v>3</v>
      </c>
      <c r="B7" s="265" t="s">
        <v>1133</v>
      </c>
      <c r="C7" s="266" t="s">
        <v>786</v>
      </c>
      <c r="D7" s="267">
        <v>1</v>
      </c>
    </row>
    <row r="8" spans="1:4" ht="15" customHeight="1">
      <c r="A8" s="264">
        <v>4</v>
      </c>
      <c r="B8" s="265" t="s">
        <v>1134</v>
      </c>
      <c r="C8" s="266" t="s">
        <v>1132</v>
      </c>
      <c r="D8" s="267">
        <v>0</v>
      </c>
    </row>
    <row r="9" spans="1:4" ht="15" customHeight="1">
      <c r="A9" s="264">
        <v>5</v>
      </c>
      <c r="B9" s="265" t="s">
        <v>1135</v>
      </c>
      <c r="C9" s="266" t="s">
        <v>786</v>
      </c>
      <c r="D9" s="267">
        <v>1</v>
      </c>
    </row>
    <row r="10" spans="1:4" ht="15" customHeight="1">
      <c r="A10" s="264">
        <v>6</v>
      </c>
      <c r="B10" s="265" t="s">
        <v>1136</v>
      </c>
      <c r="C10" s="266" t="s">
        <v>1132</v>
      </c>
      <c r="D10" s="267">
        <v>0</v>
      </c>
    </row>
    <row r="11" spans="1:4" ht="15" customHeight="1">
      <c r="A11" s="264">
        <v>7</v>
      </c>
      <c r="B11" s="265" t="s">
        <v>1137</v>
      </c>
      <c r="C11" s="266" t="s">
        <v>786</v>
      </c>
      <c r="D11" s="267">
        <v>1</v>
      </c>
    </row>
    <row r="12" spans="1:4" ht="15" customHeight="1">
      <c r="A12" s="264">
        <v>8</v>
      </c>
      <c r="B12" s="265" t="s">
        <v>1138</v>
      </c>
      <c r="C12" s="266" t="s">
        <v>1132</v>
      </c>
      <c r="D12" s="267">
        <v>0</v>
      </c>
    </row>
    <row r="13" spans="1:4" ht="15" customHeight="1">
      <c r="A13" s="264">
        <v>9</v>
      </c>
      <c r="B13" s="265" t="s">
        <v>1139</v>
      </c>
      <c r="C13" s="266" t="str">
        <f t="shared" ref="C13:C19" si="0">D13*100&amp;"%"</f>
        <v>2%</v>
      </c>
      <c r="D13" s="267">
        <v>0.02</v>
      </c>
    </row>
    <row r="14" spans="1:4" ht="15" customHeight="1">
      <c r="A14" s="264">
        <v>10</v>
      </c>
      <c r="B14" s="265" t="s">
        <v>813</v>
      </c>
      <c r="C14" s="266" t="str">
        <f t="shared" si="0"/>
        <v>6,2%</v>
      </c>
      <c r="D14" s="267">
        <v>6.2E-2</v>
      </c>
    </row>
    <row r="15" spans="1:4" ht="15" customHeight="1">
      <c r="A15" s="264">
        <v>11</v>
      </c>
      <c r="B15" s="265" t="s">
        <v>1140</v>
      </c>
      <c r="C15" s="266" t="str">
        <f t="shared" si="0"/>
        <v>0%</v>
      </c>
      <c r="D15" s="267">
        <v>0</v>
      </c>
    </row>
    <row r="16" spans="1:4" ht="15" customHeight="1">
      <c r="A16" s="264">
        <v>12</v>
      </c>
      <c r="B16" s="265" t="s">
        <v>1141</v>
      </c>
      <c r="C16" s="266" t="str">
        <f t="shared" si="0"/>
        <v>6%</v>
      </c>
      <c r="D16" s="267">
        <v>0.06</v>
      </c>
    </row>
    <row r="17" spans="1:4" ht="15" customHeight="1">
      <c r="A17" s="264">
        <v>13</v>
      </c>
      <c r="B17" s="265" t="s">
        <v>842</v>
      </c>
      <c r="C17" s="266" t="str">
        <f t="shared" si="0"/>
        <v>10%</v>
      </c>
      <c r="D17" s="267">
        <v>0.1</v>
      </c>
    </row>
    <row r="18" spans="1:4" ht="15" customHeight="1">
      <c r="A18" s="264">
        <v>14</v>
      </c>
      <c r="B18" s="265" t="s">
        <v>1142</v>
      </c>
      <c r="C18" s="266" t="str">
        <f t="shared" si="0"/>
        <v>2,2%</v>
      </c>
      <c r="D18" s="267">
        <v>2.1999999999999999E-2</v>
      </c>
    </row>
    <row r="19" spans="1:4" ht="15" customHeight="1">
      <c r="A19" s="264">
        <v>15</v>
      </c>
      <c r="B19" s="265" t="s">
        <v>1143</v>
      </c>
      <c r="C19" s="266" t="str">
        <f t="shared" si="0"/>
        <v>0%</v>
      </c>
      <c r="D19" s="267">
        <v>0</v>
      </c>
    </row>
  </sheetData>
  <mergeCells count="3">
    <mergeCell ref="A1:D1"/>
    <mergeCell ref="A2:D2"/>
    <mergeCell ref="A3:D3"/>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F9"/>
  <sheetViews>
    <sheetView workbookViewId="0"/>
  </sheetViews>
  <sheetFormatPr defaultColWidth="10" defaultRowHeight="15" customHeight="1"/>
  <cols>
    <col min="1" max="1" width="10" style="269" customWidth="1"/>
    <col min="2" max="2" width="50" style="34" customWidth="1"/>
    <col min="3" max="5" width="20" style="269" customWidth="1"/>
    <col min="6" max="6" width="10" style="269" customWidth="1"/>
    <col min="7" max="16384" width="10" style="34"/>
  </cols>
  <sheetData>
    <row r="1" spans="1:6" ht="37.5" customHeight="1">
      <c r="A1" s="981" t="s">
        <v>1144</v>
      </c>
      <c r="B1" s="985"/>
      <c r="C1" s="1066"/>
      <c r="D1" s="1066"/>
      <c r="E1" s="1066"/>
    </row>
    <row r="2" spans="1:6" ht="26.25" customHeight="1">
      <c r="A2" s="37" t="s">
        <v>4</v>
      </c>
      <c r="B2" s="38" t="s">
        <v>1145</v>
      </c>
      <c r="C2" s="38" t="s">
        <v>1146</v>
      </c>
      <c r="D2" s="38" t="s">
        <v>649</v>
      </c>
      <c r="E2" s="38" t="s">
        <v>1147</v>
      </c>
      <c r="F2" s="38" t="s">
        <v>1148</v>
      </c>
    </row>
    <row r="3" spans="1:6" ht="16.5" customHeight="1">
      <c r="A3" s="255" t="s">
        <v>801</v>
      </c>
      <c r="B3" s="20" t="s">
        <v>901</v>
      </c>
      <c r="C3" s="79">
        <v>10</v>
      </c>
      <c r="D3" s="192">
        <v>3.024E-2</v>
      </c>
      <c r="E3" s="192">
        <f>ROUND(D3,7)</f>
        <v>3.024E-2</v>
      </c>
      <c r="F3" s="18"/>
    </row>
    <row r="4" spans="1:6" ht="16.5" customHeight="1">
      <c r="A4" s="255" t="s">
        <v>1002</v>
      </c>
      <c r="B4" s="20" t="s">
        <v>933</v>
      </c>
      <c r="C4" s="79">
        <v>1</v>
      </c>
      <c r="D4" s="192">
        <v>5.4000000000000006E-2</v>
      </c>
      <c r="E4" s="192" t="e">
        <f>ROUND(D4+(('TH kinh phí'!N7+'TH kinh phí'!N10)/10^9-C4)*(D5-D4)/(C5-C4),7)</f>
        <v>#REF!</v>
      </c>
      <c r="F4" s="18"/>
    </row>
    <row r="5" spans="1:6" ht="15" customHeight="1">
      <c r="A5" s="12"/>
      <c r="B5" s="19"/>
      <c r="C5" s="79">
        <v>3</v>
      </c>
      <c r="D5" s="192">
        <v>3.6000000000000004E-2</v>
      </c>
      <c r="E5" s="18"/>
      <c r="F5" s="18"/>
    </row>
    <row r="6" spans="1:6" ht="27.75" customHeight="1">
      <c r="A6" s="255" t="s">
        <v>1149</v>
      </c>
      <c r="B6" s="20" t="s">
        <v>945</v>
      </c>
      <c r="C6" s="79">
        <v>10</v>
      </c>
      <c r="D6" s="192">
        <v>1.7000000000000001E-3</v>
      </c>
      <c r="E6" s="192">
        <f>ROUND(D6,7)</f>
        <v>1.6999999999999999E-3</v>
      </c>
      <c r="F6" s="18"/>
    </row>
    <row r="7" spans="1:6" ht="27.75" customHeight="1">
      <c r="A7" s="255" t="s">
        <v>1150</v>
      </c>
      <c r="B7" s="20" t="s">
        <v>947</v>
      </c>
      <c r="C7" s="79">
        <v>10</v>
      </c>
      <c r="D7" s="192">
        <v>1.66E-3</v>
      </c>
      <c r="E7" s="192">
        <f>ROUND(D7,7)</f>
        <v>1.66E-3</v>
      </c>
      <c r="F7" s="18"/>
    </row>
    <row r="8" spans="1:6" ht="27.75" customHeight="1">
      <c r="A8" s="255" t="s">
        <v>1151</v>
      </c>
      <c r="B8" s="20" t="s">
        <v>973</v>
      </c>
      <c r="C8" s="79">
        <v>10</v>
      </c>
      <c r="D8" s="192">
        <v>3.46E-3</v>
      </c>
      <c r="E8" s="192">
        <f>ROUND(D8,7)</f>
        <v>3.46E-3</v>
      </c>
      <c r="F8" s="18"/>
    </row>
    <row r="9" spans="1:6" ht="16.5" customHeight="1">
      <c r="A9" s="268" t="s">
        <v>1152</v>
      </c>
      <c r="B9" s="31" t="s">
        <v>1003</v>
      </c>
      <c r="C9" s="83">
        <v>10</v>
      </c>
      <c r="D9" s="194">
        <v>3.2029999999999996E-2</v>
      </c>
      <c r="E9" s="194">
        <f>ROUND(D9,7)</f>
        <v>3.2030000000000003E-2</v>
      </c>
      <c r="F9" s="29"/>
    </row>
  </sheetData>
  <mergeCells count="1">
    <mergeCell ref="A1:E1"/>
  </mergeCells>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
  <sheetViews>
    <sheetView workbookViewId="0"/>
  </sheetViews>
  <sheetFormatPr defaultColWidth="10" defaultRowHeight="15" customHeight="1"/>
  <sheetData/>
  <pageMargins left="1.0208333333333333"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
  <sheetViews>
    <sheetView workbookViewId="0"/>
  </sheetViews>
  <sheetFormatPr defaultColWidth="10" defaultRowHeight="15" customHeight="1"/>
  <sheetData/>
  <pageMargins left="0.6562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E1:Z1"/>
  <sheetViews>
    <sheetView workbookViewId="0"/>
  </sheetViews>
  <sheetFormatPr defaultColWidth="10" defaultRowHeight="15" customHeight="1"/>
  <cols>
    <col min="1" max="4" width="10" customWidth="1"/>
    <col min="5" max="7" width="10" hidden="1" customWidth="1"/>
    <col min="8" max="13" width="10" customWidth="1"/>
    <col min="14" max="14" width="10" hidden="1" customWidth="1"/>
    <col min="15" max="16" width="10" customWidth="1"/>
    <col min="17" max="17" width="10" hidden="1" customWidth="1"/>
    <col min="18" max="18" width="10" customWidth="1"/>
    <col min="19" max="20" width="10" hidden="1" customWidth="1"/>
    <col min="21" max="22" width="10" customWidth="1"/>
    <col min="23" max="26" width="10" hidden="1" customWidth="1"/>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F1:L1"/>
  <sheetViews>
    <sheetView workbookViewId="0"/>
  </sheetViews>
  <sheetFormatPr defaultColWidth="10" defaultRowHeight="15" customHeight="1"/>
  <cols>
    <col min="1" max="5" width="10" customWidth="1"/>
    <col min="6" max="8" width="10" hidden="1" customWidth="1"/>
    <col min="9" max="10" width="10" customWidth="1"/>
    <col min="11" max="12" width="10" hidden="1" customWidth="1"/>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
  <sheetViews>
    <sheetView workbookViewId="0"/>
  </sheetViews>
  <sheetFormatPr defaultColWidth="10"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
  <sheetViews>
    <sheetView workbookViewId="0"/>
  </sheetViews>
  <sheetFormatPr defaultColWidth="10" defaultRowHeight="15" customHeight="1"/>
  <sheetData/>
  <pageMargins left="0.20833333333333334"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
  <sheetViews>
    <sheetView workbookViewId="0"/>
  </sheetViews>
  <sheetFormatPr defaultColWidth="10" defaultRowHeight="15" customHeight="1"/>
  <sheetData/>
  <pageMargins left="0.20833333333333334"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
  <sheetViews>
    <sheetView workbookViewId="0"/>
  </sheetViews>
  <sheetFormatPr defaultRowHeight="15" customHeight="1"/>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
  <sheetViews>
    <sheetView workbookViewId="0"/>
  </sheetViews>
  <sheetFormatPr defaultColWidth="10" defaultRowHeight="15" customHeight="1"/>
  <cols>
    <col min="1" max="16384" width="10" style="270"/>
  </cols>
  <sheetData/>
  <pageMargins left="1.1875" right="0" top="0.80208333333333337" bottom="0.80208333333333337" header="0.40625" footer="0.40625"/>
  <pageSetup paperSize="0" orientation="landscape" blackAndWhite="1" useFirstPageNumber="1" horizontalDpi="0" verticalDpi="0" copies="0"/>
  <headerFooter alignWithMargins="0">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X79"/>
  <sheetViews>
    <sheetView workbookViewId="0"/>
  </sheetViews>
  <sheetFormatPr defaultColWidth="10" defaultRowHeight="15" customHeight="1"/>
  <cols>
    <col min="1" max="1" width="24.6640625" customWidth="1"/>
    <col min="2" max="3" width="29" customWidth="1"/>
    <col min="4" max="4" width="26.6640625" customWidth="1"/>
    <col min="5" max="5" width="22.83203125" customWidth="1"/>
    <col min="6" max="6" width="27.83203125" customWidth="1"/>
    <col min="7" max="7" width="26" customWidth="1"/>
    <col min="8" max="8" width="26.33203125" customWidth="1"/>
    <col min="9" max="9" width="20.33203125" customWidth="1"/>
    <col min="10" max="10" width="33.83203125" customWidth="1"/>
    <col min="11" max="11" width="18" customWidth="1"/>
    <col min="12" max="12" width="14.83203125" customWidth="1"/>
    <col min="13" max="13" width="11.6640625" customWidth="1"/>
    <col min="14" max="14" width="16.33203125" customWidth="1"/>
    <col min="15" max="15" width="17" customWidth="1"/>
    <col min="16" max="16" width="21.5" customWidth="1"/>
    <col min="17" max="17" width="12.6640625" customWidth="1"/>
    <col min="18" max="18" width="12.5" customWidth="1"/>
    <col min="19" max="19" width="20" customWidth="1"/>
    <col min="20" max="20" width="20.83203125" customWidth="1"/>
    <col min="21" max="21" width="13.83203125" customWidth="1"/>
    <col min="22" max="22" width="14.6640625" customWidth="1"/>
  </cols>
  <sheetData>
    <row r="1" spans="1:23" ht="15" customHeight="1">
      <c r="A1" s="1067" t="s">
        <v>1153</v>
      </c>
      <c r="B1" s="982"/>
      <c r="C1" s="982"/>
      <c r="D1" s="982"/>
      <c r="E1" s="982"/>
      <c r="F1" s="982"/>
    </row>
    <row r="2" spans="1:23" ht="15" customHeight="1">
      <c r="A2" s="271" t="s">
        <v>1132</v>
      </c>
      <c r="B2" t="s">
        <v>786</v>
      </c>
      <c r="C2" t="s">
        <v>797</v>
      </c>
      <c r="D2" t="s">
        <v>801</v>
      </c>
      <c r="E2" t="s">
        <v>905</v>
      </c>
      <c r="F2" t="s">
        <v>1021</v>
      </c>
      <c r="G2" t="s">
        <v>1056</v>
      </c>
      <c r="H2" t="s">
        <v>1154</v>
      </c>
      <c r="I2" t="s">
        <v>1155</v>
      </c>
      <c r="J2" t="s">
        <v>1156</v>
      </c>
      <c r="K2" t="s">
        <v>1157</v>
      </c>
      <c r="L2" t="s">
        <v>1158</v>
      </c>
      <c r="M2" t="s">
        <v>1159</v>
      </c>
      <c r="N2" t="s">
        <v>1160</v>
      </c>
      <c r="O2" t="s">
        <v>1161</v>
      </c>
      <c r="P2" t="s">
        <v>1162</v>
      </c>
      <c r="Q2" t="s">
        <v>1163</v>
      </c>
      <c r="R2" t="s">
        <v>1164</v>
      </c>
      <c r="S2" t="s">
        <v>1165</v>
      </c>
      <c r="T2" t="s">
        <v>1166</v>
      </c>
      <c r="U2" t="s">
        <v>1167</v>
      </c>
      <c r="V2" t="s">
        <v>1168</v>
      </c>
      <c r="W2" t="s">
        <v>1169</v>
      </c>
    </row>
    <row r="3" spans="1:23" ht="15" customHeight="1">
      <c r="A3" t="s">
        <v>1170</v>
      </c>
      <c r="B3" t="s">
        <v>1171</v>
      </c>
      <c r="C3" t="s">
        <v>1172</v>
      </c>
      <c r="D3" t="s">
        <v>1173</v>
      </c>
      <c r="E3" t="s">
        <v>1174</v>
      </c>
      <c r="F3" t="s">
        <v>1175</v>
      </c>
      <c r="G3" t="s">
        <v>1176</v>
      </c>
      <c r="H3" t="s">
        <v>1177</v>
      </c>
      <c r="I3" t="s">
        <v>1178</v>
      </c>
      <c r="J3" t="s">
        <v>1179</v>
      </c>
      <c r="K3" t="s">
        <v>834</v>
      </c>
      <c r="L3" t="s">
        <v>1180</v>
      </c>
      <c r="M3" t="s">
        <v>1181</v>
      </c>
      <c r="N3" t="s">
        <v>1182</v>
      </c>
    </row>
    <row r="4" spans="1:23" ht="15" customHeight="1">
      <c r="A4" t="s">
        <v>1056</v>
      </c>
      <c r="B4" t="s">
        <v>1156</v>
      </c>
      <c r="C4" t="s">
        <v>1159</v>
      </c>
      <c r="D4" t="s">
        <v>1162</v>
      </c>
      <c r="E4" t="s">
        <v>1165</v>
      </c>
      <c r="F4" t="s">
        <v>1183</v>
      </c>
      <c r="G4" t="s">
        <v>1184</v>
      </c>
      <c r="H4" t="s">
        <v>1185</v>
      </c>
      <c r="I4" t="s">
        <v>1186</v>
      </c>
      <c r="J4" t="s">
        <v>1187</v>
      </c>
      <c r="K4" t="s">
        <v>1188</v>
      </c>
      <c r="L4" t="s">
        <v>1189</v>
      </c>
    </row>
    <row r="5" spans="1:23" ht="15" customHeight="1">
      <c r="A5" s="982" t="s">
        <v>1190</v>
      </c>
      <c r="B5" s="982"/>
      <c r="C5" s="982"/>
      <c r="D5" s="982"/>
      <c r="E5" s="982"/>
      <c r="F5" s="982"/>
    </row>
    <row r="6" spans="1:23" ht="15" customHeight="1">
      <c r="A6" t="s">
        <v>1191</v>
      </c>
      <c r="B6" t="s">
        <v>1192</v>
      </c>
      <c r="C6" t="s">
        <v>1193</v>
      </c>
      <c r="D6" t="s">
        <v>1194</v>
      </c>
      <c r="E6" t="s">
        <v>1195</v>
      </c>
      <c r="F6" t="s">
        <v>1196</v>
      </c>
      <c r="G6" t="s">
        <v>1197</v>
      </c>
      <c r="H6" t="s">
        <v>1198</v>
      </c>
      <c r="I6" t="s">
        <v>1199</v>
      </c>
      <c r="J6" t="s">
        <v>1200</v>
      </c>
      <c r="K6" t="s">
        <v>1201</v>
      </c>
    </row>
    <row r="7" spans="1:23" ht="17.25" customHeight="1">
      <c r="A7" t="s">
        <v>1202</v>
      </c>
      <c r="C7" t="s">
        <v>1203</v>
      </c>
      <c r="E7" s="272" t="s">
        <v>786</v>
      </c>
      <c r="F7" t="s">
        <v>786</v>
      </c>
      <c r="G7" t="s">
        <v>801</v>
      </c>
      <c r="H7" t="s">
        <v>797</v>
      </c>
      <c r="I7" t="s">
        <v>1204</v>
      </c>
      <c r="J7" s="273" t="s">
        <v>1167</v>
      </c>
      <c r="K7" t="s">
        <v>1205</v>
      </c>
      <c r="L7" t="s">
        <v>786</v>
      </c>
      <c r="M7" t="s">
        <v>797</v>
      </c>
      <c r="N7" t="s">
        <v>797</v>
      </c>
      <c r="O7" t="s">
        <v>1206</v>
      </c>
    </row>
    <row r="8" spans="1:23" ht="15" customHeight="1">
      <c r="A8" s="1067" t="s">
        <v>1207</v>
      </c>
      <c r="B8" s="982"/>
      <c r="C8" s="982"/>
      <c r="D8" s="982"/>
      <c r="E8" s="982"/>
      <c r="F8" s="982"/>
    </row>
    <row r="9" spans="1:23" ht="15" customHeight="1">
      <c r="A9" t="s">
        <v>1208</v>
      </c>
      <c r="B9" t="s">
        <v>35</v>
      </c>
      <c r="C9" t="s">
        <v>1209</v>
      </c>
      <c r="D9" t="s">
        <v>1210</v>
      </c>
      <c r="E9" t="s">
        <v>1211</v>
      </c>
    </row>
    <row r="10" spans="1:23" ht="15" customHeight="1">
      <c r="A10" t="s">
        <v>48</v>
      </c>
      <c r="B10" t="s">
        <v>44</v>
      </c>
      <c r="C10" t="s">
        <v>1212</v>
      </c>
      <c r="D10" t="s">
        <v>1213</v>
      </c>
    </row>
    <row r="11" spans="1:23" ht="15" customHeight="1">
      <c r="A11" s="982" t="s">
        <v>1172</v>
      </c>
      <c r="B11" s="982"/>
      <c r="C11" s="982"/>
      <c r="D11" s="982"/>
      <c r="E11" s="982"/>
      <c r="F11" s="982"/>
    </row>
    <row r="12" spans="1:23" ht="15" customHeight="1">
      <c r="A12" t="s">
        <v>1214</v>
      </c>
      <c r="B12" t="s">
        <v>1215</v>
      </c>
      <c r="C12" t="s">
        <v>1216</v>
      </c>
    </row>
    <row r="14" spans="1:23" ht="15" customHeight="1">
      <c r="A14" s="982" t="s">
        <v>1173</v>
      </c>
      <c r="B14" s="982"/>
      <c r="C14" s="982"/>
      <c r="D14" s="982"/>
      <c r="E14" s="982"/>
      <c r="F14" s="982"/>
    </row>
    <row r="15" spans="1:23" ht="15" customHeight="1">
      <c r="A15" t="s">
        <v>1196</v>
      </c>
      <c r="B15" t="s">
        <v>1217</v>
      </c>
      <c r="C15" t="s">
        <v>1218</v>
      </c>
    </row>
    <row r="17" spans="1:6" ht="15" customHeight="1">
      <c r="A17" s="982" t="s">
        <v>1174</v>
      </c>
      <c r="B17" s="982"/>
      <c r="C17" s="982"/>
      <c r="D17" s="982"/>
      <c r="E17" s="982"/>
      <c r="F17" s="982"/>
    </row>
    <row r="18" spans="1:6" ht="15" customHeight="1">
      <c r="A18" t="s">
        <v>1219</v>
      </c>
      <c r="B18" t="s">
        <v>1220</v>
      </c>
    </row>
    <row r="19" spans="1:6" ht="15" customHeight="1">
      <c r="A19" t="s">
        <v>1221</v>
      </c>
      <c r="B19" t="s">
        <v>0</v>
      </c>
    </row>
    <row r="20" spans="1:6" ht="15" customHeight="1">
      <c r="A20" t="s">
        <v>1222</v>
      </c>
      <c r="B20" t="s">
        <v>356</v>
      </c>
    </row>
    <row r="21" spans="1:6" ht="15" customHeight="1">
      <c r="A21" t="s">
        <v>1223</v>
      </c>
      <c r="B21" t="s">
        <v>1224</v>
      </c>
    </row>
    <row r="22" spans="1:6" ht="15" customHeight="1">
      <c r="A22" t="s">
        <v>1225</v>
      </c>
      <c r="B22" t="s">
        <v>687</v>
      </c>
    </row>
    <row r="23" spans="1:6" ht="15" customHeight="1">
      <c r="A23" t="s">
        <v>1226</v>
      </c>
      <c r="B23" t="s">
        <v>692</v>
      </c>
    </row>
    <row r="24" spans="1:6" ht="15" customHeight="1">
      <c r="A24" t="s">
        <v>1227</v>
      </c>
      <c r="B24" t="s">
        <v>1228</v>
      </c>
    </row>
    <row r="25" spans="1:6" ht="15" customHeight="1">
      <c r="A25" t="s">
        <v>1229</v>
      </c>
      <c r="B25" t="s">
        <v>781</v>
      </c>
    </row>
    <row r="26" spans="1:6" ht="15" customHeight="1">
      <c r="A26" t="s">
        <v>1230</v>
      </c>
      <c r="B26" t="s">
        <v>840</v>
      </c>
    </row>
    <row r="27" spans="1:6" ht="15" customHeight="1">
      <c r="A27" t="s">
        <v>1231</v>
      </c>
      <c r="B27" t="s">
        <v>833</v>
      </c>
    </row>
    <row r="28" spans="1:6" ht="15" customHeight="1">
      <c r="A28" t="s">
        <v>1232</v>
      </c>
      <c r="B28" t="s">
        <v>866</v>
      </c>
    </row>
    <row r="29" spans="1:6" ht="15" customHeight="1">
      <c r="A29" t="s">
        <v>1214</v>
      </c>
      <c r="B29" t="s">
        <v>1084</v>
      </c>
    </row>
    <row r="30" spans="1:6" ht="15" customHeight="1">
      <c r="A30" t="s">
        <v>1233</v>
      </c>
      <c r="B30" t="s">
        <v>1092</v>
      </c>
    </row>
    <row r="31" spans="1:6" ht="15" customHeight="1">
      <c r="A31" t="s">
        <v>1234</v>
      </c>
      <c r="B31" t="s">
        <v>1235</v>
      </c>
    </row>
    <row r="32" spans="1:6" ht="15" customHeight="1">
      <c r="A32" t="s">
        <v>1236</v>
      </c>
      <c r="B32" t="s">
        <v>1237</v>
      </c>
    </row>
    <row r="33" spans="1:7" ht="15" customHeight="1">
      <c r="A33" s="982" t="s">
        <v>1175</v>
      </c>
      <c r="B33" s="982"/>
      <c r="C33" s="982"/>
      <c r="D33" s="982"/>
      <c r="E33" s="982"/>
      <c r="F33" s="982"/>
    </row>
    <row r="34" spans="1:7" ht="15" customHeight="1">
      <c r="A34" t="s">
        <v>1238</v>
      </c>
      <c r="B34" t="s">
        <v>1239</v>
      </c>
      <c r="C34" t="s">
        <v>1240</v>
      </c>
      <c r="D34" t="s">
        <v>1241</v>
      </c>
      <c r="E34" t="s">
        <v>1242</v>
      </c>
      <c r="F34" t="s">
        <v>1243</v>
      </c>
      <c r="G34" t="s">
        <v>1244</v>
      </c>
    </row>
    <row r="35" spans="1:7" ht="15" customHeight="1">
      <c r="A35" t="s">
        <v>1245</v>
      </c>
      <c r="B35" t="s">
        <v>1246</v>
      </c>
      <c r="C35" t="s">
        <v>1157</v>
      </c>
      <c r="D35" t="s">
        <v>1132</v>
      </c>
      <c r="E35" t="s">
        <v>1132</v>
      </c>
      <c r="F35" t="s">
        <v>1132</v>
      </c>
      <c r="G35" t="s">
        <v>1132</v>
      </c>
    </row>
    <row r="36" spans="1:7" ht="15" customHeight="1">
      <c r="A36" t="s">
        <v>1247</v>
      </c>
      <c r="B36" t="s">
        <v>1246</v>
      </c>
      <c r="C36" t="s">
        <v>1157</v>
      </c>
      <c r="D36" t="s">
        <v>1132</v>
      </c>
      <c r="E36" t="s">
        <v>786</v>
      </c>
      <c r="F36" t="s">
        <v>1132</v>
      </c>
      <c r="G36" t="s">
        <v>1132</v>
      </c>
    </row>
    <row r="37" spans="1:7" ht="15" customHeight="1">
      <c r="A37" t="s">
        <v>1248</v>
      </c>
      <c r="B37" t="s">
        <v>1246</v>
      </c>
      <c r="C37" t="s">
        <v>1157</v>
      </c>
      <c r="D37" t="s">
        <v>786</v>
      </c>
      <c r="E37" t="s">
        <v>1132</v>
      </c>
      <c r="F37" t="s">
        <v>1132</v>
      </c>
      <c r="G37" t="s">
        <v>1132</v>
      </c>
    </row>
    <row r="38" spans="1:7" ht="15" customHeight="1">
      <c r="A38" t="s">
        <v>834</v>
      </c>
      <c r="B38" t="s">
        <v>1249</v>
      </c>
      <c r="C38" t="s">
        <v>1157</v>
      </c>
      <c r="D38" t="s">
        <v>786</v>
      </c>
      <c r="E38" t="s">
        <v>1132</v>
      </c>
      <c r="F38" t="s">
        <v>1132</v>
      </c>
      <c r="G38" t="s">
        <v>1132</v>
      </c>
    </row>
    <row r="39" spans="1:7" ht="15" customHeight="1">
      <c r="A39" t="s">
        <v>1250</v>
      </c>
      <c r="B39" t="s">
        <v>1249</v>
      </c>
      <c r="C39" t="s">
        <v>1158</v>
      </c>
      <c r="D39" t="s">
        <v>786</v>
      </c>
      <c r="E39" t="s">
        <v>1132</v>
      </c>
      <c r="F39" t="s">
        <v>1132</v>
      </c>
      <c r="G39" t="s">
        <v>1132</v>
      </c>
    </row>
    <row r="40" spans="1:7" ht="15" customHeight="1">
      <c r="A40" t="s">
        <v>1251</v>
      </c>
      <c r="B40" t="s">
        <v>1249</v>
      </c>
      <c r="C40" t="s">
        <v>1158</v>
      </c>
      <c r="D40" t="s">
        <v>786</v>
      </c>
      <c r="E40" t="s">
        <v>1132</v>
      </c>
      <c r="F40" t="s">
        <v>1132</v>
      </c>
      <c r="G40" t="s">
        <v>1132</v>
      </c>
    </row>
    <row r="41" spans="1:7" ht="15" customHeight="1">
      <c r="A41" t="s">
        <v>1191</v>
      </c>
      <c r="B41" t="s">
        <v>1249</v>
      </c>
      <c r="C41" t="s">
        <v>1159</v>
      </c>
      <c r="D41" t="s">
        <v>786</v>
      </c>
      <c r="E41" t="s">
        <v>1132</v>
      </c>
      <c r="F41" t="s">
        <v>1132</v>
      </c>
      <c r="G41" t="s">
        <v>1132</v>
      </c>
    </row>
    <row r="42" spans="1:7" ht="15" customHeight="1">
      <c r="A42" t="s">
        <v>1252</v>
      </c>
      <c r="B42" t="s">
        <v>1249</v>
      </c>
      <c r="C42" t="s">
        <v>1162</v>
      </c>
      <c r="D42" t="s">
        <v>786</v>
      </c>
      <c r="E42" t="s">
        <v>1132</v>
      </c>
      <c r="F42" t="s">
        <v>1132</v>
      </c>
      <c r="G42" t="s">
        <v>1132</v>
      </c>
    </row>
    <row r="43" spans="1:7" ht="15" customHeight="1">
      <c r="A43" s="982" t="s">
        <v>1176</v>
      </c>
      <c r="B43" s="982"/>
      <c r="C43" s="982"/>
      <c r="D43" s="982"/>
      <c r="E43" s="982"/>
      <c r="F43" s="982"/>
    </row>
    <row r="44" spans="1:7" ht="15" customHeight="1">
      <c r="A44" t="s">
        <v>1238</v>
      </c>
      <c r="B44" t="s">
        <v>795</v>
      </c>
      <c r="C44" t="s">
        <v>1253</v>
      </c>
      <c r="D44" t="s">
        <v>823</v>
      </c>
      <c r="E44" t="s">
        <v>1254</v>
      </c>
    </row>
    <row r="45" spans="1:7" ht="15" customHeight="1">
      <c r="A45" t="s">
        <v>1245</v>
      </c>
      <c r="B45" t="s">
        <v>1255</v>
      </c>
      <c r="C45" t="s">
        <v>1132</v>
      </c>
      <c r="D45" t="s">
        <v>1132</v>
      </c>
      <c r="E45" t="s">
        <v>1132</v>
      </c>
    </row>
    <row r="46" spans="1:7" ht="15" customHeight="1">
      <c r="A46" t="s">
        <v>1247</v>
      </c>
      <c r="B46" t="s">
        <v>1255</v>
      </c>
      <c r="C46" t="s">
        <v>1132</v>
      </c>
      <c r="D46" t="s">
        <v>1132</v>
      </c>
      <c r="E46" t="s">
        <v>1255</v>
      </c>
    </row>
    <row r="47" spans="1:7" ht="15" customHeight="1">
      <c r="A47" t="s">
        <v>1256</v>
      </c>
      <c r="B47" t="s">
        <v>1255</v>
      </c>
      <c r="C47" t="s">
        <v>1255</v>
      </c>
      <c r="D47" t="s">
        <v>1132</v>
      </c>
      <c r="E47" t="s">
        <v>1132</v>
      </c>
    </row>
    <row r="48" spans="1:7" ht="15" customHeight="1">
      <c r="A48" t="s">
        <v>17</v>
      </c>
      <c r="B48" t="s">
        <v>1255</v>
      </c>
      <c r="C48" t="s">
        <v>1132</v>
      </c>
      <c r="D48" t="s">
        <v>1132</v>
      </c>
      <c r="E48" t="s">
        <v>1255</v>
      </c>
    </row>
    <row r="49" spans="1:9" ht="15" customHeight="1">
      <c r="A49" t="s">
        <v>1257</v>
      </c>
      <c r="B49" t="s">
        <v>1255</v>
      </c>
      <c r="C49" t="s">
        <v>1258</v>
      </c>
      <c r="D49" t="s">
        <v>1259</v>
      </c>
      <c r="E49" t="s">
        <v>1259</v>
      </c>
    </row>
    <row r="50" spans="1:9" ht="15" customHeight="1">
      <c r="A50" t="s">
        <v>1248</v>
      </c>
      <c r="B50" t="s">
        <v>1255</v>
      </c>
      <c r="C50" t="s">
        <v>1260</v>
      </c>
      <c r="D50" t="s">
        <v>1132</v>
      </c>
      <c r="E50" t="s">
        <v>1132</v>
      </c>
    </row>
    <row r="51" spans="1:9" ht="15" customHeight="1">
      <c r="A51" t="s">
        <v>834</v>
      </c>
      <c r="B51" t="s">
        <v>1255</v>
      </c>
      <c r="C51" t="s">
        <v>1132</v>
      </c>
      <c r="D51" t="s">
        <v>1132</v>
      </c>
      <c r="E51" t="s">
        <v>1261</v>
      </c>
    </row>
    <row r="52" spans="1:9" ht="15" customHeight="1">
      <c r="A52" s="982" t="s">
        <v>1177</v>
      </c>
      <c r="B52" s="982"/>
      <c r="C52" s="982"/>
      <c r="D52" s="982"/>
      <c r="E52" s="982"/>
      <c r="F52" s="982"/>
    </row>
    <row r="53" spans="1:9" ht="15" customHeight="1">
      <c r="A53" t="s">
        <v>1252</v>
      </c>
      <c r="B53" t="s">
        <v>1239</v>
      </c>
      <c r="C53" t="s">
        <v>1240</v>
      </c>
      <c r="D53" t="s">
        <v>1241</v>
      </c>
      <c r="E53" t="s">
        <v>1242</v>
      </c>
      <c r="F53" t="s">
        <v>1243</v>
      </c>
      <c r="G53" t="s">
        <v>1244</v>
      </c>
      <c r="H53" t="s">
        <v>1262</v>
      </c>
      <c r="I53" t="s">
        <v>1263</v>
      </c>
    </row>
    <row r="54" spans="1:9" ht="15" customHeight="1">
      <c r="A54" t="s">
        <v>1222</v>
      </c>
      <c r="B54" t="s">
        <v>1264</v>
      </c>
      <c r="C54" t="s">
        <v>1158</v>
      </c>
      <c r="D54" t="s">
        <v>1132</v>
      </c>
      <c r="E54" t="s">
        <v>1132</v>
      </c>
      <c r="F54" t="s">
        <v>1132</v>
      </c>
      <c r="G54" t="s">
        <v>1132</v>
      </c>
      <c r="H54" t="s">
        <v>1249</v>
      </c>
      <c r="I54" t="s">
        <v>1158</v>
      </c>
    </row>
    <row r="55" spans="1:9" ht="15" customHeight="1">
      <c r="A55" t="s">
        <v>1223</v>
      </c>
      <c r="B55" t="s">
        <v>1264</v>
      </c>
      <c r="C55" t="s">
        <v>1158</v>
      </c>
      <c r="D55" t="s">
        <v>1132</v>
      </c>
      <c r="E55" t="s">
        <v>1132</v>
      </c>
      <c r="F55" t="s">
        <v>1132</v>
      </c>
      <c r="G55" t="s">
        <v>1132</v>
      </c>
      <c r="H55" t="s">
        <v>1249</v>
      </c>
      <c r="I55" t="s">
        <v>1158</v>
      </c>
    </row>
    <row r="56" spans="1:9" ht="15" customHeight="1">
      <c r="A56" t="s">
        <v>1225</v>
      </c>
      <c r="B56" t="s">
        <v>1264</v>
      </c>
      <c r="C56" t="s">
        <v>1158</v>
      </c>
      <c r="D56" t="s">
        <v>1132</v>
      </c>
      <c r="E56" t="s">
        <v>1132</v>
      </c>
      <c r="F56" t="s">
        <v>1132</v>
      </c>
      <c r="G56" t="s">
        <v>1132</v>
      </c>
      <c r="H56" t="s">
        <v>1249</v>
      </c>
      <c r="I56" t="s">
        <v>1158</v>
      </c>
    </row>
    <row r="57" spans="1:9" ht="15" customHeight="1">
      <c r="A57" t="s">
        <v>1226</v>
      </c>
      <c r="B57" t="s">
        <v>1264</v>
      </c>
      <c r="C57" t="s">
        <v>1158</v>
      </c>
      <c r="D57" t="s">
        <v>1132</v>
      </c>
      <c r="E57" t="s">
        <v>1132</v>
      </c>
      <c r="F57" t="s">
        <v>1132</v>
      </c>
      <c r="G57" t="s">
        <v>1132</v>
      </c>
      <c r="H57" t="s">
        <v>1249</v>
      </c>
      <c r="I57" t="s">
        <v>1158</v>
      </c>
    </row>
    <row r="58" spans="1:9" ht="15" customHeight="1">
      <c r="A58" t="s">
        <v>1227</v>
      </c>
      <c r="B58" t="s">
        <v>1264</v>
      </c>
      <c r="C58" t="s">
        <v>1158</v>
      </c>
      <c r="D58" t="s">
        <v>1132</v>
      </c>
      <c r="E58" t="s">
        <v>1132</v>
      </c>
      <c r="F58" t="s">
        <v>1132</v>
      </c>
      <c r="G58" t="s">
        <v>1132</v>
      </c>
      <c r="H58" t="s">
        <v>1249</v>
      </c>
      <c r="I58" t="s">
        <v>1158</v>
      </c>
    </row>
    <row r="59" spans="1:9" ht="15" customHeight="1">
      <c r="A59" t="s">
        <v>1229</v>
      </c>
      <c r="B59" t="s">
        <v>1264</v>
      </c>
      <c r="C59" t="s">
        <v>1158</v>
      </c>
      <c r="D59" t="s">
        <v>1132</v>
      </c>
      <c r="E59" t="s">
        <v>1132</v>
      </c>
      <c r="F59" t="s">
        <v>1132</v>
      </c>
      <c r="G59" t="s">
        <v>1132</v>
      </c>
      <c r="H59" t="s">
        <v>1249</v>
      </c>
      <c r="I59" t="s">
        <v>1158</v>
      </c>
    </row>
    <row r="60" spans="1:9" ht="15" customHeight="1">
      <c r="A60" t="s">
        <v>1230</v>
      </c>
      <c r="B60" t="s">
        <v>1264</v>
      </c>
      <c r="C60" t="s">
        <v>1158</v>
      </c>
      <c r="D60" t="s">
        <v>1132</v>
      </c>
      <c r="E60" t="s">
        <v>1132</v>
      </c>
      <c r="F60" t="s">
        <v>1132</v>
      </c>
      <c r="G60" t="s">
        <v>1132</v>
      </c>
      <c r="H60" t="s">
        <v>1249</v>
      </c>
      <c r="I60" t="s">
        <v>1158</v>
      </c>
    </row>
    <row r="61" spans="1:9" ht="15" customHeight="1">
      <c r="A61" t="s">
        <v>1231</v>
      </c>
      <c r="B61" t="s">
        <v>1264</v>
      </c>
      <c r="C61" t="s">
        <v>1158</v>
      </c>
      <c r="D61" t="s">
        <v>1132</v>
      </c>
      <c r="E61" t="s">
        <v>1132</v>
      </c>
      <c r="F61" t="s">
        <v>1132</v>
      </c>
      <c r="G61" t="s">
        <v>1132</v>
      </c>
      <c r="H61" t="s">
        <v>1249</v>
      </c>
      <c r="I61" t="s">
        <v>1158</v>
      </c>
    </row>
    <row r="62" spans="1:9" ht="15" customHeight="1">
      <c r="A62" t="s">
        <v>1232</v>
      </c>
      <c r="B62" t="s">
        <v>1264</v>
      </c>
      <c r="C62" t="s">
        <v>1158</v>
      </c>
      <c r="D62" t="s">
        <v>1132</v>
      </c>
      <c r="E62" t="s">
        <v>1132</v>
      </c>
      <c r="F62" t="s">
        <v>1132</v>
      </c>
      <c r="G62" t="s">
        <v>1132</v>
      </c>
      <c r="H62" t="s">
        <v>1249</v>
      </c>
      <c r="I62" t="s">
        <v>1158</v>
      </c>
    </row>
    <row r="63" spans="1:9" ht="15" customHeight="1">
      <c r="A63" t="s">
        <v>1214</v>
      </c>
      <c r="B63" t="s">
        <v>1264</v>
      </c>
      <c r="C63" t="s">
        <v>1158</v>
      </c>
      <c r="D63" t="s">
        <v>1132</v>
      </c>
      <c r="E63" t="s">
        <v>1132</v>
      </c>
      <c r="F63" t="s">
        <v>1132</v>
      </c>
      <c r="G63" t="s">
        <v>1132</v>
      </c>
      <c r="H63" t="s">
        <v>1249</v>
      </c>
      <c r="I63" t="s">
        <v>1158</v>
      </c>
    </row>
    <row r="64" spans="1:9" ht="15" customHeight="1">
      <c r="A64" t="s">
        <v>1233</v>
      </c>
      <c r="B64" t="s">
        <v>1264</v>
      </c>
      <c r="C64" t="s">
        <v>1158</v>
      </c>
      <c r="D64" t="s">
        <v>1132</v>
      </c>
      <c r="E64" t="s">
        <v>1132</v>
      </c>
      <c r="F64" t="s">
        <v>1132</v>
      </c>
      <c r="G64" t="s">
        <v>1132</v>
      </c>
      <c r="H64" t="s">
        <v>1249</v>
      </c>
      <c r="I64" t="s">
        <v>1158</v>
      </c>
    </row>
    <row r="65" spans="1:24" ht="15" customHeight="1">
      <c r="A65" t="s">
        <v>1234</v>
      </c>
      <c r="B65" t="s">
        <v>1264</v>
      </c>
      <c r="C65" t="s">
        <v>1158</v>
      </c>
      <c r="D65" t="s">
        <v>1132</v>
      </c>
      <c r="E65" t="s">
        <v>1132</v>
      </c>
      <c r="F65" t="s">
        <v>1132</v>
      </c>
      <c r="G65" t="s">
        <v>1132</v>
      </c>
      <c r="H65" t="s">
        <v>1249</v>
      </c>
      <c r="I65" t="s">
        <v>1158</v>
      </c>
    </row>
    <row r="66" spans="1:24" ht="15" customHeight="1">
      <c r="A66" t="s">
        <v>1236</v>
      </c>
      <c r="B66" t="s">
        <v>1264</v>
      </c>
      <c r="C66" t="s">
        <v>1158</v>
      </c>
      <c r="D66" t="s">
        <v>1132</v>
      </c>
      <c r="E66" t="s">
        <v>1132</v>
      </c>
      <c r="F66" t="s">
        <v>1132</v>
      </c>
      <c r="G66" t="s">
        <v>1132</v>
      </c>
      <c r="H66" t="s">
        <v>1249</v>
      </c>
      <c r="I66" t="s">
        <v>1158</v>
      </c>
    </row>
    <row r="67" spans="1:24" ht="15" customHeight="1">
      <c r="A67" s="982" t="s">
        <v>1265</v>
      </c>
      <c r="B67" s="982"/>
      <c r="C67" s="982"/>
      <c r="D67" s="982"/>
      <c r="E67" s="982"/>
      <c r="F67" s="982"/>
    </row>
    <row r="68" spans="1:24" ht="15" customHeight="1">
      <c r="A68" t="s">
        <v>1266</v>
      </c>
      <c r="B68" t="s">
        <v>1267</v>
      </c>
    </row>
    <row r="69" spans="1:24" ht="15" customHeight="1">
      <c r="A69" t="s">
        <v>1268</v>
      </c>
    </row>
    <row r="70" spans="1:24" ht="15" customHeight="1">
      <c r="A70" s="982" t="s">
        <v>1179</v>
      </c>
      <c r="B70" s="982"/>
      <c r="C70" s="982"/>
      <c r="D70" s="982"/>
      <c r="E70" s="982"/>
      <c r="F70" s="982"/>
    </row>
    <row r="71" spans="1:24" ht="15" customHeight="1">
      <c r="A71" t="s">
        <v>1269</v>
      </c>
      <c r="B71" t="s">
        <v>1270</v>
      </c>
      <c r="C71" t="s">
        <v>1271</v>
      </c>
      <c r="D71" t="s">
        <v>1272</v>
      </c>
      <c r="E71" t="s">
        <v>1273</v>
      </c>
      <c r="F71" t="s">
        <v>1274</v>
      </c>
      <c r="G71" t="s">
        <v>1275</v>
      </c>
    </row>
    <row r="72" spans="1:24" ht="15" customHeight="1">
      <c r="A72" t="s">
        <v>1056</v>
      </c>
      <c r="B72" t="s">
        <v>905</v>
      </c>
      <c r="C72" t="s">
        <v>786</v>
      </c>
      <c r="D72" t="s">
        <v>786</v>
      </c>
      <c r="E72" t="s">
        <v>786</v>
      </c>
      <c r="F72" t="s">
        <v>1132</v>
      </c>
      <c r="G72" t="s">
        <v>1021</v>
      </c>
    </row>
    <row r="73" spans="1:24" ht="15" customHeight="1">
      <c r="A73" s="982" t="s">
        <v>1276</v>
      </c>
      <c r="B73" s="982"/>
      <c r="C73" s="982"/>
      <c r="D73" s="982"/>
      <c r="E73" s="982"/>
      <c r="F73" s="982"/>
    </row>
    <row r="74" spans="1:24" ht="15" customHeight="1">
      <c r="A74" t="s">
        <v>1277</v>
      </c>
    </row>
    <row r="75" spans="1:24" ht="15" customHeight="1">
      <c r="A75">
        <v>0</v>
      </c>
    </row>
    <row r="76" spans="1:24" ht="15" customHeight="1">
      <c r="A76" s="982" t="s">
        <v>1278</v>
      </c>
      <c r="B76" s="982"/>
      <c r="C76" s="982"/>
      <c r="D76" s="982"/>
      <c r="E76" s="982"/>
      <c r="F76" s="982"/>
    </row>
    <row r="77" spans="1:24" ht="15" customHeight="1">
      <c r="A77" t="s">
        <v>4</v>
      </c>
      <c r="B77" s="982" t="s">
        <v>1251</v>
      </c>
      <c r="C77" t="s">
        <v>1279</v>
      </c>
      <c r="D77" t="s">
        <v>1280</v>
      </c>
      <c r="E77" t="s">
        <v>1281</v>
      </c>
      <c r="F77" t="s">
        <v>1282</v>
      </c>
      <c r="G77" t="s">
        <v>1283</v>
      </c>
      <c r="H77" t="s">
        <v>1284</v>
      </c>
      <c r="I77" t="s">
        <v>1285</v>
      </c>
      <c r="J77" t="s">
        <v>1286</v>
      </c>
      <c r="K77" t="s">
        <v>1287</v>
      </c>
      <c r="L77" t="s">
        <v>1288</v>
      </c>
      <c r="M77" t="s">
        <v>1289</v>
      </c>
      <c r="N77" t="s">
        <v>1290</v>
      </c>
      <c r="O77" t="s">
        <v>1291</v>
      </c>
      <c r="P77" t="s">
        <v>1292</v>
      </c>
      <c r="Q77" t="s">
        <v>1293</v>
      </c>
      <c r="R77" t="s">
        <v>1294</v>
      </c>
      <c r="S77" t="s">
        <v>1295</v>
      </c>
      <c r="T77" t="s">
        <v>1296</v>
      </c>
      <c r="U77" t="s">
        <v>1297</v>
      </c>
      <c r="V77" t="s">
        <v>1298</v>
      </c>
      <c r="W77" t="s">
        <v>1299</v>
      </c>
    </row>
    <row r="78" spans="1:24" ht="15" customHeight="1">
      <c r="A78" t="s">
        <v>628</v>
      </c>
      <c r="B78" s="982"/>
      <c r="C78" t="s">
        <v>1300</v>
      </c>
      <c r="D78" t="s">
        <v>1301</v>
      </c>
      <c r="E78" t="s">
        <v>1302</v>
      </c>
      <c r="F78" t="s">
        <v>1303</v>
      </c>
      <c r="G78" t="s">
        <v>1304</v>
      </c>
      <c r="H78" t="s">
        <v>1305</v>
      </c>
      <c r="I78" t="s">
        <v>1306</v>
      </c>
      <c r="J78" t="s">
        <v>1307</v>
      </c>
      <c r="K78" t="s">
        <v>1308</v>
      </c>
      <c r="L78" t="s">
        <v>1309</v>
      </c>
      <c r="M78" t="s">
        <v>1310</v>
      </c>
      <c r="N78" t="s">
        <v>1311</v>
      </c>
      <c r="O78" t="s">
        <v>1312</v>
      </c>
      <c r="P78" t="s">
        <v>1313</v>
      </c>
      <c r="S78" t="s">
        <v>1314</v>
      </c>
      <c r="T78" t="s">
        <v>1315</v>
      </c>
      <c r="U78" t="s">
        <v>1316</v>
      </c>
      <c r="V78" t="s">
        <v>1317</v>
      </c>
    </row>
    <row r="79" spans="1:24" ht="15" customHeight="1">
      <c r="A79">
        <v>0</v>
      </c>
      <c r="B79" t="s">
        <v>3</v>
      </c>
      <c r="C79" t="s">
        <v>1318</v>
      </c>
      <c r="D79" t="s">
        <v>1319</v>
      </c>
      <c r="E79" t="s">
        <v>1320</v>
      </c>
      <c r="F79" t="s">
        <v>1321</v>
      </c>
      <c r="G79" t="s">
        <v>1320</v>
      </c>
      <c r="H79" t="s">
        <v>1321</v>
      </c>
      <c r="I79" t="s">
        <v>1320</v>
      </c>
      <c r="J79" t="s">
        <v>1321</v>
      </c>
      <c r="K79" t="s">
        <v>1320</v>
      </c>
      <c r="L79" t="s">
        <v>1321</v>
      </c>
      <c r="M79" t="s">
        <v>1322</v>
      </c>
      <c r="N79" t="s">
        <v>1323</v>
      </c>
      <c r="O79" t="s">
        <v>1324</v>
      </c>
      <c r="P79" t="s">
        <v>810</v>
      </c>
      <c r="Q79" t="s">
        <v>810</v>
      </c>
      <c r="R79">
        <v>2</v>
      </c>
      <c r="S79" t="s">
        <v>810</v>
      </c>
      <c r="T79" t="s">
        <v>810</v>
      </c>
      <c r="U79" t="str">
        <f>""</f>
        <v/>
      </c>
      <c r="V79" t="str">
        <f>""</f>
        <v/>
      </c>
      <c r="W79">
        <v>1</v>
      </c>
      <c r="X79" t="s">
        <v>1325</v>
      </c>
    </row>
  </sheetData>
  <mergeCells count="14">
    <mergeCell ref="A1:F1"/>
    <mergeCell ref="A5:F5"/>
    <mergeCell ref="A8:F8"/>
    <mergeCell ref="A11:F11"/>
    <mergeCell ref="A14:F14"/>
    <mergeCell ref="A17:F17"/>
    <mergeCell ref="A76:F76"/>
    <mergeCell ref="B77:B78"/>
    <mergeCell ref="A33:F33"/>
    <mergeCell ref="A43:F43"/>
    <mergeCell ref="A52:F52"/>
    <mergeCell ref="A67:F67"/>
    <mergeCell ref="A70:F70"/>
    <mergeCell ref="A73:F73"/>
  </mergeCells>
  <printOptions headings="1" gridLines="1"/>
  <pageMargins left="0" right="0" top="0" bottom="0" header="0" footer="0"/>
  <pageSetup paperSize="0" blackAndWhite="1" useFirstPageNumber="1"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70</vt:i4>
      </vt:variant>
      <vt:variant>
        <vt:lpstr>Named Ranges</vt:lpstr>
      </vt:variant>
      <vt:variant>
        <vt:i4>89</vt:i4>
      </vt:variant>
    </vt:vector>
  </HeadingPairs>
  <TitlesOfParts>
    <vt:vector size="159" baseType="lpstr">
      <vt:lpstr>SGV</vt:lpstr>
      <vt:lpstr>THQY</vt:lpstr>
      <vt:lpstr>CTQT</vt:lpstr>
      <vt:lpstr>KL QLDA</vt:lpstr>
      <vt:lpstr>2a</vt:lpstr>
      <vt:lpstr>3a XL</vt:lpstr>
      <vt:lpstr>ĐNTT</vt:lpstr>
      <vt:lpstr>GTQT</vt:lpstr>
      <vt:lpstr>dght</vt:lpstr>
      <vt:lpstr>dgctht</vt:lpstr>
      <vt:lpstr>dien giai</vt:lpstr>
      <vt:lpstr>dg2</vt:lpstr>
      <vt:lpstr>Diễn giai</vt:lpstr>
      <vt:lpstr>Công trình</vt:lpstr>
      <vt:lpstr>Giá tháng</vt:lpstr>
      <vt:lpstr>Đầu vào</vt:lpstr>
      <vt:lpstr>Nhân công</vt:lpstr>
      <vt:lpstr>Máy</vt:lpstr>
      <vt:lpstr>HaoPhiVatTu</vt:lpstr>
      <vt:lpstr>Tổng hợp VT</vt:lpstr>
      <vt:lpstr>THVT gộp</vt:lpstr>
      <vt:lpstr>Cước VC</vt:lpstr>
      <vt:lpstr>Cước bộ</vt:lpstr>
      <vt:lpstr>Đơn giá chi tiết</vt:lpstr>
      <vt:lpstr>Giá tổng hợp</vt:lpstr>
      <vt:lpstr>THKP hạng mục</vt:lpstr>
      <vt:lpstr>TH chi phí XD</vt:lpstr>
      <vt:lpstr>TH chi phí TB</vt:lpstr>
      <vt:lpstr>HM chung</vt:lpstr>
      <vt:lpstr>Dự phòng</vt:lpstr>
      <vt:lpstr>TH kinh phí</vt:lpstr>
      <vt:lpstr>Chi tiết KL</vt:lpstr>
      <vt:lpstr>Luật XD</vt:lpstr>
      <vt:lpstr>Công trình TL</vt:lpstr>
      <vt:lpstr>Chiết tính</vt:lpstr>
      <vt:lpstr>Hệ số</vt:lpstr>
      <vt:lpstr>Đơn giá TH</vt:lpstr>
      <vt:lpstr>TTHD</vt:lpstr>
      <vt:lpstr>Dự thầu</vt:lpstr>
      <vt:lpstr>plhd</vt:lpstr>
      <vt:lpstr>HM chung thầu</vt:lpstr>
      <vt:lpstr>Dự phòng thầu</vt:lpstr>
      <vt:lpstr>Dự toán gói thầu</vt:lpstr>
      <vt:lpstr>Phân tích VT</vt:lpstr>
      <vt:lpstr>Bìa</vt:lpstr>
      <vt:lpstr>NhiênLiệu</vt:lpstr>
      <vt:lpstr>Thẩm định</vt:lpstr>
      <vt:lpstr>TH chi phí tư vấn</vt:lpstr>
      <vt:lpstr>Thép</vt:lpstr>
      <vt:lpstr>HSXL</vt:lpstr>
      <vt:lpstr>Định mức tư vấn</vt:lpstr>
      <vt:lpstr>Quyết toán</vt:lpstr>
      <vt:lpstr>Giá tháng QT</vt:lpstr>
      <vt:lpstr>Đầu vào QT</vt:lpstr>
      <vt:lpstr>Nhân công QT</vt:lpstr>
      <vt:lpstr>Máy QT</vt:lpstr>
      <vt:lpstr>HaoPhiVatTu QT</vt:lpstr>
      <vt:lpstr>Tổng hợp VT QT</vt:lpstr>
      <vt:lpstr>Cước VC QT</vt:lpstr>
      <vt:lpstr>Cước bộ QT</vt:lpstr>
      <vt:lpstr>NhiênLiệu QT</vt:lpstr>
      <vt:lpstr>Chiết tính QT</vt:lpstr>
      <vt:lpstr>Dự thầu QT</vt:lpstr>
      <vt:lpstr>Hệ số QT</vt:lpstr>
      <vt:lpstr>HSXLQT</vt:lpstr>
      <vt:lpstr>KL hoàn thành</vt:lpstr>
      <vt:lpstr>KL phát sinh</vt:lpstr>
      <vt:lpstr>Hệ số Pn</vt:lpstr>
      <vt:lpstr>Tổng hợp QT</vt:lpstr>
      <vt:lpstr>Cấu hình</vt:lpstr>
      <vt:lpstr>'2a'!Print_Area</vt:lpstr>
      <vt:lpstr>'3a XL'!Print_Area</vt:lpstr>
      <vt:lpstr>Bìa!Print_Area</vt:lpstr>
      <vt:lpstr>'Chi tiết KL'!Print_Area</vt:lpstr>
      <vt:lpstr>'Chiết tính'!Print_Area</vt:lpstr>
      <vt:lpstr>'Chiết tính QT'!Print_Area</vt:lpstr>
      <vt:lpstr>'Công trình'!Print_Area</vt:lpstr>
      <vt:lpstr>'Công trình TL'!Print_Area</vt:lpstr>
      <vt:lpstr>CTQT!Print_Area</vt:lpstr>
      <vt:lpstr>'Cước bộ'!Print_Area</vt:lpstr>
      <vt:lpstr>'Cước bộ QT'!Print_Area</vt:lpstr>
      <vt:lpstr>'Cước VC'!Print_Area</vt:lpstr>
      <vt:lpstr>'Cước VC QT'!Print_Area</vt:lpstr>
      <vt:lpstr>'Đầu vào'!Print_Area</vt:lpstr>
      <vt:lpstr>'Đầu vào QT'!Print_Area</vt:lpstr>
      <vt:lpstr>'dg2'!Print_Area</vt:lpstr>
      <vt:lpstr>dght!Print_Area</vt:lpstr>
      <vt:lpstr>'Diễn giai'!Print_Area</vt:lpstr>
      <vt:lpstr>'Định mức tư vấn'!Print_Area</vt:lpstr>
      <vt:lpstr>ĐNTT!Print_Area</vt:lpstr>
      <vt:lpstr>'Đơn giá chi tiết'!Print_Area</vt:lpstr>
      <vt:lpstr>'Đơn giá TH'!Print_Area</vt:lpstr>
      <vt:lpstr>'Dự phòng'!Print_Area</vt:lpstr>
      <vt:lpstr>'Dự phòng thầu'!Print_Area</vt:lpstr>
      <vt:lpstr>'Dự thầu'!Print_Area</vt:lpstr>
      <vt:lpstr>'Dự thầu QT'!Print_Area</vt:lpstr>
      <vt:lpstr>'Dự toán gói thầu'!Print_Area</vt:lpstr>
      <vt:lpstr>'Giá tháng'!Print_Area</vt:lpstr>
      <vt:lpstr>'Giá tháng QT'!Print_Area</vt:lpstr>
      <vt:lpstr>'Giá tổng hợp'!Print_Area</vt:lpstr>
      <vt:lpstr>GTQT!Print_Area</vt:lpstr>
      <vt:lpstr>HaoPhiVatTu!Print_Area</vt:lpstr>
      <vt:lpstr>'HaoPhiVatTu QT'!Print_Area</vt:lpstr>
      <vt:lpstr>'Hệ số'!Print_Area</vt:lpstr>
      <vt:lpstr>'Hệ số Pn'!Print_Area</vt:lpstr>
      <vt:lpstr>'Hệ số QT'!Print_Area</vt:lpstr>
      <vt:lpstr>'HM chung'!Print_Area</vt:lpstr>
      <vt:lpstr>'HM chung thầu'!Print_Area</vt:lpstr>
      <vt:lpstr>HSXL!Print_Area</vt:lpstr>
      <vt:lpstr>HSXLQT!Print_Area</vt:lpstr>
      <vt:lpstr>'KL hoàn thành'!Print_Area</vt:lpstr>
      <vt:lpstr>'KL phát sinh'!Print_Area</vt:lpstr>
      <vt:lpstr>'KL QLDA'!Print_Area</vt:lpstr>
      <vt:lpstr>'Luật XD'!Print_Area</vt:lpstr>
      <vt:lpstr>Máy!Print_Area</vt:lpstr>
      <vt:lpstr>'Máy QT'!Print_Area</vt:lpstr>
      <vt:lpstr>'Nhân công'!Print_Area</vt:lpstr>
      <vt:lpstr>'Nhân công QT'!Print_Area</vt:lpstr>
      <vt:lpstr>NhiênLiệu!Print_Area</vt:lpstr>
      <vt:lpstr>'NhiênLiệu QT'!Print_Area</vt:lpstr>
      <vt:lpstr>'Phân tích VT'!Print_Area</vt:lpstr>
      <vt:lpstr>plhd!Print_Area</vt:lpstr>
      <vt:lpstr>'Quyết toán'!Print_Area</vt:lpstr>
      <vt:lpstr>'TH chi phí TB'!Print_Area</vt:lpstr>
      <vt:lpstr>'TH chi phí tư vấn'!Print_Area</vt:lpstr>
      <vt:lpstr>'TH chi phí XD'!Print_Area</vt:lpstr>
      <vt:lpstr>'TH kinh phí'!Print_Area</vt:lpstr>
      <vt:lpstr>'Thẩm định'!Print_Area</vt:lpstr>
      <vt:lpstr>Thép!Print_Area</vt:lpstr>
      <vt:lpstr>'THKP hạng mục'!Print_Area</vt:lpstr>
      <vt:lpstr>'THVT gộp'!Print_Area</vt:lpstr>
      <vt:lpstr>'Tổng hợp QT'!Print_Area</vt:lpstr>
      <vt:lpstr>'Tổng hợp VT'!Print_Area</vt:lpstr>
      <vt:lpstr>'Tổng hợp VT QT'!Print_Area</vt:lpstr>
      <vt:lpstr>TTHD!Print_Area</vt:lpstr>
      <vt:lpstr>'2a'!Print_Titles</vt:lpstr>
      <vt:lpstr>'Chiết tính'!Print_Titles</vt:lpstr>
      <vt:lpstr>'Công trình'!Print_Titles</vt:lpstr>
      <vt:lpstr>CTQT!Print_Titles</vt:lpstr>
      <vt:lpstr>'Cước bộ'!Print_Titles</vt:lpstr>
      <vt:lpstr>'Cước VC'!Print_Titles</vt:lpstr>
      <vt:lpstr>'dg2'!Print_Titles</vt:lpstr>
      <vt:lpstr>dgctht!Print_Titles</vt:lpstr>
      <vt:lpstr>'Diễn giai'!Print_Titles</vt:lpstr>
      <vt:lpstr>'Đơn giá chi tiết'!Print_Titles</vt:lpstr>
      <vt:lpstr>'Dự thầu'!Print_Titles</vt:lpstr>
      <vt:lpstr>'Dự toán gói thầu'!Print_Titles</vt:lpstr>
      <vt:lpstr>'Giá tháng'!Print_Titles</vt:lpstr>
      <vt:lpstr>'Giá tổng hợp'!Print_Titles</vt:lpstr>
      <vt:lpstr>GTQT!Print_Titles</vt:lpstr>
      <vt:lpstr>HaoPhiVatTu!Print_Titles</vt:lpstr>
      <vt:lpstr>'Hệ số'!Print_Titles</vt:lpstr>
      <vt:lpstr>'KL QLDA'!Print_Titles</vt:lpstr>
      <vt:lpstr>plhd!Print_Titles</vt:lpstr>
      <vt:lpstr>'TH chi phí TB'!Print_Titles</vt:lpstr>
      <vt:lpstr>'TH chi phí XD'!Print_Titles</vt:lpstr>
      <vt:lpstr>'THKP hạng mục'!Print_Titles</vt:lpstr>
      <vt:lpstr>'Tổng hợp VT'!Print_Titles</vt:lpstr>
      <vt:lpstr>TTHD!Print_Titles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 Hoàng</dc:creator>
  <cp:lastModifiedBy>PCLTC</cp:lastModifiedBy>
  <cp:lastPrinted>2026-07-02T08:21:01Z</cp:lastPrinted>
  <dcterms:created xsi:type="dcterms:W3CDTF">2024-12-10T14:49:21Z</dcterms:created>
  <dcterms:modified xsi:type="dcterms:W3CDTF">2026-07-02T08:21:13Z</dcterms:modified>
</cp:coreProperties>
</file>