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CÔNG VIỆC\4. NĂM 2026\16. THIẾT KẾ DVHP\3. TRƯỜNG THCS ĐẠI ĐỒNG\HỒ SƠ IN ẤN\2. Dtoan TD\"/>
    </mc:Choice>
  </mc:AlternateContent>
  <xr:revisionPtr revIDLastSave="0" documentId="13_ncr:1_{0AC28546-A79A-45E9-B46A-3C2AE0B87A88}" xr6:coauthVersionLast="47" xr6:coauthVersionMax="47" xr10:uidLastSave="{00000000-0000-0000-0000-000000000000}"/>
  <bookViews>
    <workbookView xWindow="-108" yWindow="-108" windowWidth="23256" windowHeight="12576" firstSheet="5" activeTab="5" xr2:uid="{00000000-000D-0000-FFFF-FFFF00000000}"/>
  </bookViews>
  <sheets>
    <sheet name="SGV" sheetId="2" state="veryHidden" r:id="rId1"/>
    <sheet name="foxz" sheetId="3" state="hidden" r:id="rId2"/>
    <sheet name="foxz_2" sheetId="4" state="veryHidden" r:id="rId3"/>
    <sheet name="foxz_3" sheetId="5" state="veryHidden" r:id="rId4"/>
    <sheet name="foxz_4" sheetId="6" state="veryHidden" r:id="rId5"/>
    <sheet name="TH kinh phí" sheetId="1" r:id="rId6"/>
  </sheets>
  <externalReferences>
    <externalReference r:id="rId7"/>
  </externalReferences>
  <definedNames>
    <definedName name="_xlnm.Print_Area" localSheetId="5">'TH kinh phí'!$A$1:$I$102</definedName>
    <definedName name="_xlnm.Print_Titles" localSheetId="5">'TH kinh phí'!$4:$4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6" i="1" l="1"/>
  <c r="F90" i="1"/>
  <c r="F89" i="1"/>
  <c r="H88" i="1"/>
  <c r="I88" i="1" s="1"/>
  <c r="F88" i="1"/>
  <c r="H87" i="1"/>
  <c r="I87" i="1" s="1"/>
  <c r="F87" i="1"/>
  <c r="H86" i="1"/>
  <c r="I86" i="1" s="1"/>
  <c r="F86" i="1"/>
  <c r="H85" i="1"/>
  <c r="I85" i="1" s="1"/>
  <c r="F85" i="1"/>
  <c r="F83" i="1"/>
  <c r="H78" i="1"/>
  <c r="I78" i="1" s="1"/>
  <c r="F78" i="1"/>
  <c r="H77" i="1"/>
  <c r="I77" i="1" s="1"/>
  <c r="F77" i="1"/>
  <c r="D76" i="1"/>
  <c r="D75" i="1"/>
  <c r="I74" i="1"/>
  <c r="F74" i="1"/>
  <c r="I73" i="1"/>
  <c r="F73" i="1"/>
  <c r="H72" i="1"/>
  <c r="I72" i="1" s="1"/>
  <c r="F72" i="1"/>
  <c r="H71" i="1"/>
  <c r="I71" i="1" s="1"/>
  <c r="F71" i="1"/>
  <c r="H69" i="1"/>
  <c r="I69" i="1" s="1"/>
  <c r="F69" i="1"/>
  <c r="H68" i="1"/>
  <c r="I68" i="1" s="1"/>
  <c r="F68" i="1"/>
  <c r="F67" i="1"/>
  <c r="H66" i="1"/>
  <c r="I66" i="1" s="1"/>
  <c r="F66" i="1"/>
  <c r="F64" i="1"/>
  <c r="H63" i="1"/>
  <c r="I63" i="1" s="1"/>
  <c r="F63" i="1"/>
  <c r="H62" i="1"/>
  <c r="I62" i="1" s="1"/>
  <c r="F62" i="1"/>
  <c r="H61" i="1"/>
  <c r="I61" i="1" s="1"/>
  <c r="F61" i="1"/>
  <c r="H60" i="1"/>
  <c r="I60" i="1" s="1"/>
  <c r="F60" i="1"/>
  <c r="H59" i="1"/>
  <c r="I59" i="1" s="1"/>
  <c r="F59" i="1"/>
  <c r="H58" i="1"/>
  <c r="I58" i="1" s="1"/>
  <c r="F58" i="1"/>
  <c r="D57" i="1"/>
  <c r="F57" i="1" s="1"/>
  <c r="H56" i="1"/>
  <c r="I56" i="1" s="1"/>
  <c r="H50" i="1"/>
  <c r="I50" i="1" s="1"/>
  <c r="H49" i="1"/>
  <c r="I49" i="1" s="1"/>
  <c r="H48" i="1"/>
  <c r="I48" i="1" s="1"/>
  <c r="F48" i="1"/>
  <c r="H47" i="1"/>
  <c r="I47" i="1" s="1"/>
  <c r="F47" i="1"/>
  <c r="H46" i="1"/>
  <c r="I46" i="1" s="1"/>
  <c r="F46" i="1"/>
  <c r="H45" i="1"/>
  <c r="I45" i="1" s="1"/>
  <c r="F45" i="1"/>
  <c r="H44" i="1"/>
  <c r="I44" i="1" s="1"/>
  <c r="F44" i="1"/>
  <c r="H43" i="1"/>
  <c r="I43" i="1" s="1"/>
  <c r="F43" i="1"/>
  <c r="H42" i="1"/>
  <c r="I42" i="1" s="1"/>
  <c r="F42" i="1"/>
  <c r="H41" i="1"/>
  <c r="I41" i="1" s="1"/>
  <c r="F41" i="1"/>
  <c r="H40" i="1"/>
  <c r="I40" i="1" s="1"/>
  <c r="F40" i="1"/>
  <c r="H39" i="1"/>
  <c r="I39" i="1" s="1"/>
  <c r="F39" i="1"/>
  <c r="H38" i="1"/>
  <c r="I38" i="1" s="1"/>
  <c r="F38" i="1"/>
  <c r="H35" i="1"/>
  <c r="I35" i="1" s="1"/>
  <c r="F35" i="1"/>
  <c r="H34" i="1"/>
  <c r="I34" i="1" s="1"/>
  <c r="F34" i="1"/>
  <c r="H33" i="1"/>
  <c r="I33" i="1" s="1"/>
  <c r="F33" i="1"/>
  <c r="H32" i="1"/>
  <c r="I32" i="1" s="1"/>
  <c r="F32" i="1"/>
  <c r="H30" i="1"/>
  <c r="I30" i="1" s="1"/>
  <c r="F30" i="1"/>
  <c r="H29" i="1"/>
  <c r="I29" i="1" s="1"/>
  <c r="F29" i="1"/>
  <c r="H28" i="1"/>
  <c r="I28" i="1" s="1"/>
  <c r="F28" i="1"/>
  <c r="H27" i="1"/>
  <c r="I27" i="1" s="1"/>
  <c r="F27" i="1"/>
  <c r="H26" i="1"/>
  <c r="I26" i="1" s="1"/>
  <c r="F26" i="1"/>
  <c r="H25" i="1"/>
  <c r="F25" i="1"/>
  <c r="H24" i="1"/>
  <c r="F24" i="1"/>
  <c r="H23" i="1"/>
  <c r="I23" i="1" s="1"/>
  <c r="F23" i="1"/>
  <c r="H22" i="1"/>
  <c r="F22" i="1"/>
  <c r="H19" i="1"/>
  <c r="I19" i="1" s="1"/>
  <c r="F19" i="1"/>
  <c r="D18" i="1"/>
  <c r="F18" i="1" s="1"/>
  <c r="N17" i="1"/>
  <c r="M17" i="1"/>
  <c r="L17" i="1"/>
  <c r="H17" i="1"/>
  <c r="I17" i="1" s="1"/>
  <c r="B17" i="1"/>
  <c r="N16" i="1"/>
  <c r="M16" i="1"/>
  <c r="L16" i="1"/>
  <c r="H16" i="1"/>
  <c r="I16" i="1" s="1"/>
  <c r="B16" i="1"/>
  <c r="F15" i="1"/>
  <c r="F14" i="1"/>
  <c r="I13" i="1"/>
  <c r="F13" i="1"/>
  <c r="F12" i="1"/>
  <c r="I11" i="1"/>
  <c r="F11" i="1"/>
  <c r="G10" i="1"/>
  <c r="H10" i="1" s="1"/>
  <c r="F10" i="1"/>
  <c r="G9" i="1"/>
  <c r="B9" i="1"/>
  <c r="G8" i="1"/>
  <c r="B8" i="1"/>
  <c r="F7" i="1"/>
  <c r="F6" i="1"/>
  <c r="F5" i="1"/>
  <c r="A3" i="1"/>
  <c r="M11" i="1" l="1"/>
  <c r="N11" i="1"/>
  <c r="L11" i="1"/>
  <c r="M8" i="1"/>
  <c r="N9" i="1"/>
  <c r="N8" i="1"/>
  <c r="H8" i="1"/>
  <c r="I8" i="1" s="1"/>
  <c r="L8" i="1"/>
  <c r="I84" i="1"/>
  <c r="H84" i="1"/>
  <c r="L9" i="1"/>
  <c r="I22" i="1"/>
  <c r="M9" i="1"/>
  <c r="G7" i="1"/>
  <c r="H9" i="1"/>
  <c r="I9" i="1" s="1"/>
  <c r="L7" i="1" l="1"/>
  <c r="M7" i="1"/>
  <c r="M6" i="1" s="1"/>
  <c r="G57" i="1"/>
  <c r="H57" i="1" s="1"/>
  <c r="G31" i="1"/>
  <c r="N7" i="1"/>
  <c r="N6" i="1" s="1"/>
  <c r="H7" i="1"/>
  <c r="H6" i="1" s="1"/>
  <c r="L6" i="1"/>
  <c r="G18" i="1"/>
  <c r="K7" i="1"/>
  <c r="G6" i="1"/>
  <c r="P36" i="1" l="1"/>
  <c r="P31" i="1"/>
  <c r="H31" i="1"/>
  <c r="I31" i="1" s="1"/>
  <c r="G36" i="1"/>
  <c r="G37" i="1"/>
  <c r="I7" i="1"/>
  <c r="I6" i="1" s="1"/>
  <c r="G79" i="1"/>
  <c r="I79" i="1" s="1"/>
  <c r="I57" i="1"/>
  <c r="G20" i="1"/>
  <c r="H18" i="1"/>
  <c r="I18" i="1" s="1"/>
  <c r="H36" i="1" l="1"/>
  <c r="I36" i="1" s="1"/>
  <c r="H37" i="1"/>
  <c r="I37" i="1" s="1"/>
  <c r="H20" i="1"/>
  <c r="I20" i="1" l="1"/>
  <c r="G75" i="1" s="1"/>
  <c r="I75" i="1" s="1"/>
  <c r="G76" i="1" l="1"/>
  <c r="H76" i="1"/>
  <c r="H65" i="1" s="1"/>
  <c r="G65" i="1"/>
  <c r="I76" i="1" l="1"/>
  <c r="I65" i="1"/>
  <c r="I81" i="1" s="1"/>
  <c r="K82" i="1" l="1"/>
  <c r="L90" i="1" l="1"/>
  <c r="I80" i="1"/>
  <c r="I83" i="1" s="1"/>
  <c r="H89" i="1" l="1"/>
  <c r="L83" i="1"/>
  <c r="M83" i="1" s="1"/>
  <c r="I89" i="1"/>
  <c r="I90" i="1" s="1"/>
</calcChain>
</file>

<file path=xl/sharedStrings.xml><?xml version="1.0" encoding="utf-8"?>
<sst xmlns="http://schemas.openxmlformats.org/spreadsheetml/2006/main" count="296" uniqueCount="269">
  <si>
    <t>Tổng mức đầu tư</t>
  </si>
  <si>
    <t>STT</t>
  </si>
  <si>
    <t>Khoản mục chi phí</t>
  </si>
  <si>
    <t>Ký hiệu</t>
  </si>
  <si>
    <t>Định mức</t>
  </si>
  <si>
    <t>Hệ số</t>
  </si>
  <si>
    <t>Cách tính</t>
  </si>
  <si>
    <t>Chi phí trước thuế</t>
  </si>
  <si>
    <t>Chi phí sau thuế</t>
  </si>
  <si>
    <t>Dự kiến</t>
  </si>
  <si>
    <t>Tiền khả thi</t>
  </si>
  <si>
    <t>Được duyệt</t>
  </si>
  <si>
    <t>Ghi chú/ Hướng dẫn</t>
  </si>
  <si>
    <t>1</t>
  </si>
  <si>
    <t>Chi phí bồi thường, hỗ trợ và tái định cư</t>
  </si>
  <si>
    <t>Gbt,tđc</t>
  </si>
  <si>
    <t>Gbttdc</t>
  </si>
  <si>
    <t>Chi phí xây dựng</t>
  </si>
  <si>
    <t>Gcpxd</t>
  </si>
  <si>
    <t>Gxd</t>
  </si>
  <si>
    <t>1.1</t>
  </si>
  <si>
    <t>Chi phí xây dựng công trình chính, phụ trợ tạm phục vụ thi công</t>
  </si>
  <si>
    <t>Gxdcpt</t>
  </si>
  <si>
    <t>Gxd.1</t>
  </si>
  <si>
    <t>Gxd.2</t>
  </si>
  <si>
    <t>1.2</t>
  </si>
  <si>
    <t>Chi phí xây dựng nhà tạm tại hiện trường để ở và điều hành thi công</t>
  </si>
  <si>
    <t>Gnt</t>
  </si>
  <si>
    <t>Gxdnt</t>
  </si>
  <si>
    <t>2</t>
  </si>
  <si>
    <t>Chi phí thiết bị</t>
  </si>
  <si>
    <t>Gtb</t>
  </si>
  <si>
    <t>2.1</t>
  </si>
  <si>
    <t>Trong đó :</t>
  </si>
  <si>
    <t>Gtb_CT</t>
  </si>
  <si>
    <t>+ Chi phí Mua sắm thiết bị</t>
  </si>
  <si>
    <t>Gtb_MS</t>
  </si>
  <si>
    <t>+ Chi phí lắp đặt, thí nghiệm, hiệu chỉnh, đào tạo và chuyển giao thiết bị</t>
  </si>
  <si>
    <t>Gtb_LD</t>
  </si>
  <si>
    <t>2.2</t>
  </si>
  <si>
    <t>Phân bổ chi phí thiết bị cho các hạng mục, công trình</t>
  </si>
  <si>
    <t>Gtb_PB</t>
  </si>
  <si>
    <t>Gtb.1</t>
  </si>
  <si>
    <t>Gtb.2</t>
  </si>
  <si>
    <t>3</t>
  </si>
  <si>
    <t>Chi phí quản lý dự án</t>
  </si>
  <si>
    <t>Gqlda</t>
  </si>
  <si>
    <t>Thông tư 12/2021/TT-BXD</t>
  </si>
  <si>
    <t>Chi phí hoạt động của đơn vị quản lý dự án thuộc cơ quan nhà nước có thẩm quyền thực hiện dự án theo hình thức đối tác công tư (PPP)</t>
  </si>
  <si>
    <t>GqldaPPP</t>
  </si>
  <si>
    <t>Chi phí tư vấn đầu tư xây dựng</t>
  </si>
  <si>
    <t>Gtv</t>
  </si>
  <si>
    <t>Chi phí lập nhiệm vụ khảo sát xây dựng</t>
  </si>
  <si>
    <t>Gtv2</t>
  </si>
  <si>
    <t>Glnvks</t>
  </si>
  <si>
    <t>Chi phí giám sát công tác khảo sát xây dựng</t>
  </si>
  <si>
    <t>Gtv3</t>
  </si>
  <si>
    <t>Ggsks</t>
  </si>
  <si>
    <t>Chi phí lập dự án</t>
  </si>
  <si>
    <t>Gtv4</t>
  </si>
  <si>
    <t>Glapda</t>
  </si>
  <si>
    <t>Chi phí thẩm tra tính hiệu quả và tính khả thi của dự án đầu tư</t>
  </si>
  <si>
    <t>Gtv5</t>
  </si>
  <si>
    <t>Ghqkt</t>
  </si>
  <si>
    <t>Chi phí Lập báo cáo đánh giá tác động môi trường</t>
  </si>
  <si>
    <t>Gtv6</t>
  </si>
  <si>
    <t>Gltdmt</t>
  </si>
  <si>
    <t>Chi phí Thẩm định báo cáo đánh giá tác động môi trường (Thông tư 195/2016/TT-BTC)</t>
  </si>
  <si>
    <t>Gtv7</t>
  </si>
  <si>
    <t>Gdgtdmt</t>
  </si>
  <si>
    <t>Chi phí lập báo cáo đề xuất chủ trương đầu tư</t>
  </si>
  <si>
    <t>Gtv8</t>
  </si>
  <si>
    <t>Gbcdxctdt</t>
  </si>
  <si>
    <t>Chi phí lập báo cáo nghiên cứu tiền khả thi</t>
  </si>
  <si>
    <t>Gtv9</t>
  </si>
  <si>
    <t>Gbcnctkt</t>
  </si>
  <si>
    <t>Chi phí lập báo cáo nghiên cứu khả thi</t>
  </si>
  <si>
    <t>Gtv10</t>
  </si>
  <si>
    <t>Gbcnckt</t>
  </si>
  <si>
    <t>4.2</t>
  </si>
  <si>
    <t>Chi phí lập báo cáo kinh tế - kỹ thuật</t>
  </si>
  <si>
    <t>Gbcktkt</t>
  </si>
  <si>
    <t>Chi phí thẩm tra báo cáo đề xuất chủ trương đầu tư</t>
  </si>
  <si>
    <t>Gtv12</t>
  </si>
  <si>
    <t>Gttbcdxctdt</t>
  </si>
  <si>
    <t>Chi phí thẩm tra báo cáo nghiên cứu tiền khả thi</t>
  </si>
  <si>
    <t>Gtv13</t>
  </si>
  <si>
    <t>Gttbcnctkt</t>
  </si>
  <si>
    <t>Chi phí thẩm tra báo cáo nghiên cứu khả thi</t>
  </si>
  <si>
    <t>Gtv14</t>
  </si>
  <si>
    <t>Gttbcnckt</t>
  </si>
  <si>
    <t>Chi phí thẩm tra thiết kế công nghệ</t>
  </si>
  <si>
    <t>Gtv15</t>
  </si>
  <si>
    <t>Gtttkcn</t>
  </si>
  <si>
    <t>4.3</t>
  </si>
  <si>
    <t>Chi phí thẩm tra Báo cáo kinh tế - kỹ thuật, phần thiết kế</t>
  </si>
  <si>
    <t>Gttbcktkt_tk</t>
  </si>
  <si>
    <t>4.4</t>
  </si>
  <si>
    <t>Chi phí thẩm tra Báo cáo kinh tế - kỹ thuật, phần dự toán</t>
  </si>
  <si>
    <t>Gttbcktkt_dt</t>
  </si>
  <si>
    <t>Chi phí thẩm định Báo cáo nghiên cứu khả thi</t>
  </si>
  <si>
    <t>Gtv18</t>
  </si>
  <si>
    <t>Gtdbcnckt</t>
  </si>
  <si>
    <t>Chi phí thẩm định Báo cáo kinh tế - kỹ thuật</t>
  </si>
  <si>
    <t>Gtv19</t>
  </si>
  <si>
    <t>Gtdbcktkt</t>
  </si>
  <si>
    <t>Chi phí thi tuyển thiết kế kiến trúc</t>
  </si>
  <si>
    <t>Gtv20</t>
  </si>
  <si>
    <t>Gkt</t>
  </si>
  <si>
    <t>Chi phí thiết kế kỹ thuật</t>
  </si>
  <si>
    <t>Gtv21</t>
  </si>
  <si>
    <t>Gtk</t>
  </si>
  <si>
    <t>Chi phí thiết kế bản vẽ thi công</t>
  </si>
  <si>
    <t>Gtv22</t>
  </si>
  <si>
    <t>Gtkbv</t>
  </si>
  <si>
    <t>Chi phí thiết kế - Phần thiết bị (khi Chi phí thiết bị ≥ 50% Tổng chi phí xây dựng và chi phí thiết bị)</t>
  </si>
  <si>
    <t>Gtv23</t>
  </si>
  <si>
    <t>GtkThietBi</t>
  </si>
  <si>
    <t>Chi phí thẩm tra thiết kế xây dựng</t>
  </si>
  <si>
    <t>Gtv24</t>
  </si>
  <si>
    <t>Gtttkkt</t>
  </si>
  <si>
    <t>Chi phí thẩm tra thiết kế bản vẽ thi công</t>
  </si>
  <si>
    <t>Gtv25</t>
  </si>
  <si>
    <t>Gtttktc</t>
  </si>
  <si>
    <t>Chi phí thẩm tra dự toán công trình</t>
  </si>
  <si>
    <t>Gtv26</t>
  </si>
  <si>
    <t>Gttdt</t>
  </si>
  <si>
    <t>Chi phí Lập hồ sơ mời thầu, đánh giá hồ sơ dự thầu thi công xây dựng</t>
  </si>
  <si>
    <t>Gtv27</t>
  </si>
  <si>
    <t>Glcnt</t>
  </si>
  <si>
    <t>Chi phí lập hoặc thẩm định kế hoạch tổng thể lựa chọn nhà thầu (Nghị định 214/2025/NĐ-CP)</t>
  </si>
  <si>
    <t>Gtv28</t>
  </si>
  <si>
    <t>Gltdkhttlcnt</t>
  </si>
  <si>
    <t>Chi phí lập hồ sơ mời quan tâm, hồ sơ mời sơ tuyển (Nghị định 214/2025/NĐ-CP)</t>
  </si>
  <si>
    <t>Gtv29</t>
  </si>
  <si>
    <t>0,1%*Gcpxd</t>
  </si>
  <si>
    <t>Glhsmqt</t>
  </si>
  <si>
    <t>Chi phí thẩm định hồ sơ mời quan tâm, hồ sơ mời sơ tuyển (Nghị định 214/2025/NĐ-CP)</t>
  </si>
  <si>
    <t>Gtv30</t>
  </si>
  <si>
    <t>0,06%*Gcpxd</t>
  </si>
  <si>
    <t>Gtdhsmqt</t>
  </si>
  <si>
    <t>Chi phí cho Hội đồng tư vấn giải quyết kiến nghị của nhà thầu (Nghị định 214/2025/NĐ-CP)</t>
  </si>
  <si>
    <t>Gtv36</t>
  </si>
  <si>
    <t>0,015%-0,03%*Gcpxd</t>
  </si>
  <si>
    <t>Ghdtvgqkn</t>
  </si>
  <si>
    <t>Chi phí giám sát thi công xây dựng</t>
  </si>
  <si>
    <t>Ggstcxd</t>
  </si>
  <si>
    <t>Chi phí lập hồ sơ mời thầu, đánh giá hồ sơ dự thầu mua sắm thiết bị</t>
  </si>
  <si>
    <t>Gtv38</t>
  </si>
  <si>
    <t>Glcldtb</t>
  </si>
  <si>
    <t>Chi phí lập hồ sơ mời quan tâm, đánh giá hồ sơ quan tâm</t>
  </si>
  <si>
    <t>Gtv39</t>
  </si>
  <si>
    <t>Glhsmqt79</t>
  </si>
  <si>
    <t>Chi phí lập hồ sơ yêu cầu, đánh giá hồ sơ đề xuất</t>
  </si>
  <si>
    <t>Gtv40</t>
  </si>
  <si>
    <t>Glhsyc79</t>
  </si>
  <si>
    <t>Chi phí giám sát lắp đặt thiết bị</t>
  </si>
  <si>
    <t>Gtv41</t>
  </si>
  <si>
    <t>Ggsldtb</t>
  </si>
  <si>
    <t>Chi phí Lập hồ sơ mời thầu, đánh giá hồ sơ dự thầu tư vấn</t>
  </si>
  <si>
    <t>Gtv42</t>
  </si>
  <si>
    <t>Gthautv</t>
  </si>
  <si>
    <t>Chi phí lập mô hình thủy lực và thí nghiệm mô hình</t>
  </si>
  <si>
    <t>Gtv43</t>
  </si>
  <si>
    <t>Glmhtl</t>
  </si>
  <si>
    <t>Chi phí tư vấn khác</t>
  </si>
  <si>
    <t>Gtv44</t>
  </si>
  <si>
    <t>Gtuvankhac</t>
  </si>
  <si>
    <t>Chi phí khác</t>
  </si>
  <si>
    <t>Gk</t>
  </si>
  <si>
    <t>Chi phí rà phá bom mìn, vật nổ</t>
  </si>
  <si>
    <t>Gk1</t>
  </si>
  <si>
    <t>Gbommin</t>
  </si>
  <si>
    <t>Chi phí hạng mục chung, phụ trợ khác</t>
  </si>
  <si>
    <t>Gk2</t>
  </si>
  <si>
    <t>Ghmc</t>
  </si>
  <si>
    <t>Phí thẩm định thiết kế xây dựng triển khai sau thiết kế cơ sở (Thông tư 27/2023/TT-BTC)</t>
  </si>
  <si>
    <t>Gk3</t>
  </si>
  <si>
    <t>Gtttk_BTC</t>
  </si>
  <si>
    <t>Phí thẩm định dự toán xây dựng (Thông tư 27/2023/TT-BTC)</t>
  </si>
  <si>
    <t>Gk4</t>
  </si>
  <si>
    <t>Gttdt_BTC</t>
  </si>
  <si>
    <t>5.1</t>
  </si>
  <si>
    <t>Phí thẩm định dự án đầu tư xây dựng (Thông tư 28/2023/TT-BTC)</t>
  </si>
  <si>
    <t>Gthamdinh</t>
  </si>
  <si>
    <t>Thông tư 28/2023/TT-BTC</t>
  </si>
  <si>
    <t>Phí thẩm định dự án đầu tư xây dựng đã được phê duyệt trong Tổng mức đầu tư</t>
  </si>
  <si>
    <t>Gk6</t>
  </si>
  <si>
    <t>Gthamdinh1</t>
  </si>
  <si>
    <t>Nếu là Tổng dự toán thì người dùng nhập ở cột Chi phí trước thuế giá trị của Phí thẩm định dự án ĐTXD đã được phê duyệt trong Tổng mức đầu tư trước đó</t>
  </si>
  <si>
    <t>Phí thẩm định thiết kế cơ sở (Thông tư 28/2023/TT-BTC)</t>
  </si>
  <si>
    <t>Gk7</t>
  </si>
  <si>
    <t>GthamdinhTKCSTruoc</t>
  </si>
  <si>
    <t>Phí thẩm định phê duyệt thiết kế phòng cháy và chữa cháy</t>
  </si>
  <si>
    <t>Gk8</t>
  </si>
  <si>
    <t>GthamdinhPCCC</t>
  </si>
  <si>
    <t>Phí thẩm định phê duyệt thiết kế về phòng cháy và chữa cháy đã được duyệt trong Tổng mức đầu tư</t>
  </si>
  <si>
    <t>Gk9</t>
  </si>
  <si>
    <t>GthamdinhPCCC1</t>
  </si>
  <si>
    <t>Nếu là Tổng dự toán thì người dùng nhập ở cột Chi phí trước thuế giá trị của Phí thẩm định phê duyệt thiết kế về PCCC đã được phê duyệt trong Tổng mức đầu tư trước đó</t>
  </si>
  <si>
    <t>Chi phí thẩm tra, phê duyệt quyết toán</t>
  </si>
  <si>
    <t>Gthamtra</t>
  </si>
  <si>
    <t>Nghị định 254/2025/NĐ-CP</t>
  </si>
  <si>
    <t>Chi phí kiểm toán độc lập</t>
  </si>
  <si>
    <t>Gkiemtoan</t>
  </si>
  <si>
    <t>Phí bảo hiểm công trình (Phụ lục III - Nghị định 67/2023/NĐ-CP)</t>
  </si>
  <si>
    <t>Gk12</t>
  </si>
  <si>
    <t>Gbaohiem</t>
  </si>
  <si>
    <t>Phí bảo hiểm trách nhiệm nghề nghiệp Tư vấn đầu tư xây dựng (Phụ lục IV - Nghị định 67/2023/NĐ-CP)</t>
  </si>
  <si>
    <t>Gk13</t>
  </si>
  <si>
    <t>Gbaohiemtuvan</t>
  </si>
  <si>
    <t>Chi phí kiểm tra công tác nghiệm thu công trình xây dựng (Thông tư 10/2021/TT-BXD)</t>
  </si>
  <si>
    <t>Gkiemtranghiemthu</t>
  </si>
  <si>
    <t>Thông tư 10/2021/TT-BXD</t>
  </si>
  <si>
    <t>Chi phí dự phòng</t>
  </si>
  <si>
    <t>Gdp</t>
  </si>
  <si>
    <t>Chi phí dự phòng cho yếu tố khối lượng phát sinh</t>
  </si>
  <si>
    <t>Gdp1</t>
  </si>
  <si>
    <t>Người dùng khai báo tỷ lệ % cho Hệ số CP dự phòng của hạng mục xây dựng đầu tiên trong menu: "Công trình/ Hệ số chi phí xây lắp"</t>
  </si>
  <si>
    <t>Chi phí dự phòng cho yếu tố trượt giá</t>
  </si>
  <si>
    <t>Gdp2</t>
  </si>
  <si>
    <t>TỔNG CỘNG</t>
  </si>
  <si>
    <t>Gtmdt</t>
  </si>
  <si>
    <t>Nội suy theo Tổng mức đầu tư: OK</t>
  </si>
  <si>
    <t>Chi phí thẩm định, thẩm tra, kiểm toán</t>
  </si>
  <si>
    <t>Gkt1 : Gkt4</t>
  </si>
  <si>
    <t>Gthamdinhkiemtoan</t>
  </si>
  <si>
    <t>Phí thẩm định dự án đầu tư xây dựng (Thông tư 209/2016/TT-BTC)</t>
  </si>
  <si>
    <t>Gkt1</t>
  </si>
  <si>
    <t>GthamdinhSau</t>
  </si>
  <si>
    <t>Phí thẩm định thiết kế cơ sở (Thông tư 209/2016/TT-BTC)</t>
  </si>
  <si>
    <t>Gkt2</t>
  </si>
  <si>
    <t>GthamdinhTKCS</t>
  </si>
  <si>
    <t>Gkt3</t>
  </si>
  <si>
    <t>GthamtraSau</t>
  </si>
  <si>
    <t>Gkt4</t>
  </si>
  <si>
    <t>GkiemtoanSau</t>
  </si>
  <si>
    <t>TỔNG CỘNG (SAU KIỂM TOÁN)</t>
  </si>
  <si>
    <t>GtmdtSau</t>
  </si>
  <si>
    <t>LÀM TRÒN</t>
  </si>
  <si>
    <t>Glamtron</t>
  </si>
  <si>
    <t>Bằng chữ: Hai tỷ chín trăm hai mươi tám triệu một trăm bốn mươi lăm nghìn đồng chẵn./.</t>
  </si>
  <si>
    <t>TÊN CÔNG TRÌNH: NÂNG CẤP CẢI TẠO SÂN TRƯỜNG, HỆ THỐNG THOÁT NƯỚC VÀ CÔNG TRÌNH PHỤ TRỢ TRƯỜNG THCS ĐẠI ĐỒNG - ĐÔNG PHƯƠNG, XÃ KIẾN MINH</t>
  </si>
  <si>
    <t>Tối thiểu</t>
  </si>
  <si>
    <t>0,57%*0,5*
(Gxd+Gqlda+Gtv+Gk)</t>
  </si>
  <si>
    <t>0,96%*
(Gxd+Gqlda+Gtv+Gk)</t>
  </si>
  <si>
    <t>5% x (Gxd+Gqlda+Gtv+Gk)</t>
  </si>
  <si>
    <t>Gk1 : Gk4</t>
  </si>
  <si>
    <t>0,258% x Gxd</t>
  </si>
  <si>
    <t>0,25% x Gxd</t>
  </si>
  <si>
    <t>5,8998% x Gxd</t>
  </si>
  <si>
    <t>Bằng chữ: Hai tỷ, một trăm bảy mươi ba triệu, một trăm sáu mươi bốn nghìn đồng./.</t>
  </si>
  <si>
    <t>BẢNG TỔNG HỢP DỰ TOÁN XÂY DỰNG</t>
  </si>
  <si>
    <t>4.1</t>
  </si>
  <si>
    <t>Gtv1 : Gtv4</t>
  </si>
  <si>
    <t>10%*Gtv4</t>
  </si>
  <si>
    <t>CÔNG TRÌNH : CẢI TẠO, SỬA CHỮA CÔNG TRÌNH PHỤ TRỢ TRƯỜNG THCS ĐẠI ĐỒNG - ĐÔNG PHƯƠNG, XÃ KIẾN MINH</t>
  </si>
  <si>
    <t>3.1</t>
  </si>
  <si>
    <t>3.2</t>
  </si>
  <si>
    <t>3.3</t>
  </si>
  <si>
    <t>3.4</t>
  </si>
  <si>
    <t>Gtv1</t>
  </si>
  <si>
    <t>NGƯỜI LẬP</t>
  </si>
  <si>
    <t>Hải Phòng, ngày 23 tháng 04 năm 2026</t>
  </si>
  <si>
    <t>ĐẠI DIỆN ĐƠN VỊ THIẾT KẾ</t>
  </si>
  <si>
    <t>ĐẠI DIỆN CHỦ ĐẦU TƯ</t>
  </si>
  <si>
    <t>Đỗ Thanh Tâm</t>
  </si>
  <si>
    <t>(Chứng chỉ hành nghề số THX-00193561 ngày 12/03/2026)</t>
  </si>
  <si>
    <t>Thuế giá trị gia tăng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</si>
</sst>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0.0000\ %"/>
    <numFmt numFmtId="165" formatCode="#,##0.0000;\-#,##0.0000"/>
    <numFmt numFmtId="166" formatCode="0.000\ %;\-0.000\ %"/>
  </numFmts>
  <fonts count="15" x14ac:knownFonts="1">
    <font>
      <sz val="8.25"/>
      <name val="Microsoft Sans Serif"/>
    </font>
    <font>
      <i/>
      <sz val="12"/>
      <name val="Times New Roman"/>
      <family val="1"/>
    </font>
    <font>
      <b/>
      <sz val="12"/>
      <name val="Times New Roman"/>
      <family val="1"/>
    </font>
    <font>
      <sz val="8.25"/>
      <name val="Microsoft Sans Serif"/>
      <family val="2"/>
    </font>
    <font>
      <sz val="11"/>
      <name val="Times New Roman"/>
      <family val="1"/>
    </font>
    <font>
      <b/>
      <sz val="15"/>
      <name val="Times New Roman"/>
      <family val="1"/>
    </font>
    <font>
      <b/>
      <sz val="11"/>
      <name val="Times New Roman"/>
      <family val="1"/>
    </font>
    <font>
      <i/>
      <sz val="12"/>
      <name val="Times New Roman"/>
      <family val="1"/>
      <charset val="163"/>
    </font>
    <font>
      <b/>
      <sz val="12"/>
      <name val="Times New Roman"/>
      <family val="1"/>
      <charset val="163"/>
    </font>
    <font>
      <sz val="8.25"/>
      <name val="Microsoft Sans Serif"/>
      <family val="2"/>
      <charset val="163"/>
    </font>
    <font>
      <i/>
      <sz val="13"/>
      <name val="Times New Roman"/>
      <family val="1"/>
      <charset val="163"/>
    </font>
    <font>
      <sz val="12"/>
      <name val="Times New Roman"/>
      <family val="1"/>
      <charset val="163"/>
    </font>
    <font>
      <sz val="12"/>
      <name val="Microsoft Sans Serif"/>
      <family val="2"/>
      <charset val="163"/>
    </font>
    <font>
      <b/>
      <i/>
      <sz val="12"/>
      <name val="Times New Roman"/>
      <family val="1"/>
      <charset val="163"/>
    </font>
    <font>
      <sz val="9"/>
      <name val="Times New Roman"/>
      <family val="1"/>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top/>
      <bottom/>
      <diagonal/>
    </border>
  </borders>
  <cellStyleXfs count="2">
    <xf numFmtId="0" fontId="0" fillId="0" borderId="0">
      <protection locked="0"/>
    </xf>
    <xf numFmtId="0" fontId="4" fillId="0" borderId="0"/>
  </cellStyleXfs>
  <cellXfs count="90">
    <xf numFmtId="0" fontId="0" fillId="0" borderId="0" xfId="0">
      <protection locked="0"/>
    </xf>
    <xf numFmtId="0" fontId="5" fillId="0" borderId="0" xfId="0" applyFont="1" applyFill="1" applyAlignment="1">
      <alignment horizontal="center" vertical="center" wrapText="1"/>
      <protection locked="0"/>
    </xf>
    <xf numFmtId="0" fontId="3" fillId="0" borderId="0" xfId="0" applyFont="1" applyFill="1" applyAlignment="1">
      <alignment vertical="center" wrapText="1"/>
      <protection locked="0"/>
    </xf>
    <xf numFmtId="0" fontId="3" fillId="0" borderId="0" xfId="0" applyFont="1" applyFill="1" applyAlignment="1" applyProtection="1">
      <alignment vertical="center" wrapText="1"/>
    </xf>
    <xf numFmtId="0" fontId="3" fillId="0" borderId="0" xfId="0" applyFont="1" applyFill="1" applyAlignment="1" applyProtection="1">
      <alignment horizontal="right" vertical="center" wrapText="1"/>
    </xf>
    <xf numFmtId="0" fontId="3" fillId="0" borderId="0" xfId="0" applyFont="1" applyFill="1" applyAlignment="1">
      <alignment vertical="center" wrapText="1"/>
      <protection locked="0"/>
    </xf>
    <xf numFmtId="0" fontId="2" fillId="0" borderId="0" xfId="0" applyFont="1" applyFill="1" applyAlignment="1">
      <alignment horizontal="center" vertical="center" wrapText="1"/>
      <protection locked="0"/>
    </xf>
    <xf numFmtId="0" fontId="3" fillId="0" borderId="0" xfId="0" applyFont="1" applyFill="1" applyAlignment="1">
      <alignment horizontal="center" vertical="center" wrapText="1"/>
      <protection locked="0"/>
    </xf>
    <xf numFmtId="0" fontId="1" fillId="0" borderId="0" xfId="0" applyFont="1" applyFill="1" applyAlignment="1">
      <alignment horizontal="right" wrapText="1"/>
      <protection locked="0"/>
    </xf>
    <xf numFmtId="0" fontId="3" fillId="0" borderId="0" xfId="0" applyFont="1" applyFill="1" applyAlignment="1" applyProtection="1">
      <alignment horizontal="center" vertical="center" wrapText="1"/>
    </xf>
    <xf numFmtId="0" fontId="3" fillId="0" borderId="0" xfId="0" applyFont="1" applyFill="1" applyAlignment="1">
      <alignment horizontal="center" vertical="center" wrapText="1"/>
      <protection locked="0"/>
    </xf>
    <xf numFmtId="164" fontId="3" fillId="0" borderId="0" xfId="0" applyNumberFormat="1" applyFont="1" applyFill="1" applyAlignment="1" applyProtection="1">
      <alignment horizontal="right" vertical="center" wrapText="1"/>
    </xf>
    <xf numFmtId="0" fontId="3" fillId="0" borderId="0" xfId="0" applyFont="1" applyFill="1" applyAlignment="1" applyProtection="1">
      <alignment horizontal="center" vertical="center" wrapText="1"/>
    </xf>
    <xf numFmtId="3" fontId="3" fillId="0" borderId="0" xfId="0" applyNumberFormat="1" applyFont="1" applyFill="1" applyAlignment="1" applyProtection="1">
      <alignment vertical="center" wrapText="1"/>
    </xf>
    <xf numFmtId="3" fontId="3" fillId="0" borderId="0" xfId="0" applyNumberFormat="1" applyFont="1" applyFill="1" applyAlignment="1" applyProtection="1">
      <alignment horizontal="right" vertical="center" wrapText="1"/>
    </xf>
    <xf numFmtId="164" fontId="7" fillId="0" borderId="7" xfId="0" applyNumberFormat="1" applyFont="1" applyFill="1" applyBorder="1" applyAlignment="1">
      <alignment horizontal="center" vertical="top" wrapText="1"/>
      <protection locked="0"/>
    </xf>
    <xf numFmtId="3" fontId="1" fillId="0" borderId="7" xfId="0" applyNumberFormat="1" applyFont="1" applyFill="1" applyBorder="1" applyAlignment="1">
      <alignment horizontal="right" vertical="center" wrapText="1"/>
      <protection locked="0"/>
    </xf>
    <xf numFmtId="0" fontId="7" fillId="0" borderId="7" xfId="0" applyFont="1" applyFill="1" applyBorder="1" applyAlignment="1">
      <alignment horizontal="center" vertical="center" wrapText="1"/>
      <protection locked="0"/>
    </xf>
    <xf numFmtId="0" fontId="8" fillId="0" borderId="7" xfId="0" applyFont="1" applyFill="1" applyBorder="1" applyAlignment="1">
      <alignment horizontal="center" vertical="center" wrapText="1"/>
      <protection locked="0"/>
    </xf>
    <xf numFmtId="164" fontId="7" fillId="0" borderId="7" xfId="0" applyNumberFormat="1" applyFont="1" applyFill="1" applyBorder="1" applyAlignment="1">
      <alignment horizontal="center" vertical="center" wrapText="1"/>
      <protection locked="0"/>
    </xf>
    <xf numFmtId="0" fontId="10" fillId="0" borderId="0" xfId="0" applyFont="1" applyFill="1" applyAlignment="1">
      <alignment horizontal="center" vertical="center"/>
      <protection locked="0"/>
    </xf>
    <xf numFmtId="0" fontId="10" fillId="0" borderId="0" xfId="0" applyFont="1" applyFill="1" applyAlignment="1">
      <alignment horizontal="center" vertical="center"/>
      <protection locked="0"/>
    </xf>
    <xf numFmtId="0" fontId="9" fillId="0" borderId="0" xfId="0" applyFont="1" applyFill="1" applyAlignment="1" applyProtection="1">
      <alignment horizontal="right" vertical="center"/>
    </xf>
    <xf numFmtId="0" fontId="3" fillId="0" borderId="0" xfId="0" applyFont="1" applyFill="1" applyAlignment="1" applyProtection="1">
      <alignment vertical="top"/>
    </xf>
    <xf numFmtId="0" fontId="3" fillId="0" borderId="0" xfId="0" applyFont="1" applyFill="1" applyAlignment="1">
      <alignment vertical="top"/>
      <protection locked="0"/>
    </xf>
    <xf numFmtId="0" fontId="9" fillId="0" borderId="0" xfId="0" applyFont="1" applyFill="1" applyAlignment="1">
      <alignment horizontal="center" vertical="top"/>
      <protection locked="0"/>
    </xf>
    <xf numFmtId="0" fontId="6" fillId="0" borderId="0" xfId="0" applyFont="1" applyFill="1" applyAlignment="1">
      <alignment horizontal="center" vertical="top"/>
      <protection locked="0"/>
    </xf>
    <xf numFmtId="0" fontId="6" fillId="0" borderId="0" xfId="0" applyFont="1" applyFill="1" applyAlignment="1">
      <alignment horizontal="center" vertical="center"/>
      <protection locked="0"/>
    </xf>
    <xf numFmtId="0" fontId="6" fillId="0" borderId="0" xfId="0" applyFont="1" applyFill="1" applyAlignment="1">
      <alignment horizontal="center" vertical="center"/>
      <protection locked="0"/>
    </xf>
    <xf numFmtId="0" fontId="6" fillId="0" borderId="0" xfId="0" applyFont="1" applyFill="1" applyAlignment="1" applyProtection="1">
      <alignment horizontal="right" vertical="center"/>
    </xf>
    <xf numFmtId="0" fontId="6" fillId="0" borderId="0" xfId="0" applyFont="1" applyFill="1" applyAlignment="1" applyProtection="1">
      <alignment vertical="top"/>
    </xf>
    <xf numFmtId="0" fontId="6" fillId="0" borderId="0" xfId="0" applyFont="1" applyFill="1" applyAlignment="1">
      <alignment vertical="top"/>
      <protection locked="0"/>
    </xf>
    <xf numFmtId="0" fontId="8" fillId="0" borderId="1" xfId="0" applyFont="1" applyFill="1" applyBorder="1" applyAlignment="1">
      <alignment horizontal="center" vertical="center" wrapText="1"/>
      <protection locked="0"/>
    </xf>
    <xf numFmtId="0" fontId="8" fillId="0" borderId="2" xfId="0" applyFont="1" applyFill="1" applyBorder="1" applyAlignment="1">
      <alignment horizontal="center" vertical="center" wrapText="1"/>
      <protection locked="0"/>
    </xf>
    <xf numFmtId="0" fontId="8" fillId="0" borderId="4" xfId="0" applyFont="1" applyFill="1" applyBorder="1" applyAlignment="1">
      <alignment horizontal="center" vertical="center" wrapText="1"/>
      <protection locked="0"/>
    </xf>
    <xf numFmtId="0" fontId="8" fillId="0" borderId="5" xfId="0" applyFont="1" applyFill="1" applyBorder="1" applyAlignment="1">
      <alignment vertical="center" wrapText="1"/>
      <protection locked="0"/>
    </xf>
    <xf numFmtId="0" fontId="8" fillId="0" borderId="5" xfId="0" applyFont="1" applyFill="1" applyBorder="1" applyAlignment="1">
      <alignment horizontal="center" vertical="center" wrapText="1"/>
      <protection locked="0"/>
    </xf>
    <xf numFmtId="164" fontId="8" fillId="0" borderId="5" xfId="0" applyNumberFormat="1" applyFont="1" applyFill="1" applyBorder="1" applyAlignment="1">
      <alignment horizontal="center" vertical="center" wrapText="1"/>
      <protection locked="0"/>
    </xf>
    <xf numFmtId="165" fontId="8" fillId="0" borderId="5" xfId="0" applyNumberFormat="1" applyFont="1" applyFill="1" applyBorder="1" applyAlignment="1">
      <alignment horizontal="center" vertical="center" wrapText="1"/>
      <protection locked="0"/>
    </xf>
    <xf numFmtId="3" fontId="8" fillId="0" borderId="5" xfId="0" applyNumberFormat="1" applyFont="1" applyFill="1" applyBorder="1" applyAlignment="1">
      <alignment vertical="center" wrapText="1"/>
      <protection locked="0"/>
    </xf>
    <xf numFmtId="0" fontId="8" fillId="0" borderId="6" xfId="0" applyFont="1" applyFill="1" applyBorder="1" applyAlignment="1">
      <alignment horizontal="center" vertical="center" wrapText="1"/>
      <protection locked="0"/>
    </xf>
    <xf numFmtId="0" fontId="8" fillId="0" borderId="6" xfId="0" applyFont="1" applyFill="1" applyBorder="1" applyAlignment="1">
      <alignment vertical="center" wrapText="1"/>
      <protection locked="0"/>
    </xf>
    <xf numFmtId="164" fontId="8" fillId="0" borderId="6" xfId="0" applyNumberFormat="1" applyFont="1" applyFill="1" applyBorder="1" applyAlignment="1">
      <alignment horizontal="center" vertical="center" wrapText="1"/>
      <protection locked="0"/>
    </xf>
    <xf numFmtId="165" fontId="8" fillId="0" borderId="6" xfId="0" applyNumberFormat="1" applyFont="1" applyFill="1" applyBorder="1" applyAlignment="1">
      <alignment horizontal="center" vertical="center" wrapText="1"/>
      <protection locked="0"/>
    </xf>
    <xf numFmtId="3" fontId="8" fillId="0" borderId="6" xfId="0" applyNumberFormat="1" applyFont="1" applyFill="1" applyBorder="1" applyAlignment="1">
      <alignment vertical="center" wrapText="1"/>
      <protection locked="0"/>
    </xf>
    <xf numFmtId="0" fontId="7" fillId="0" borderId="7" xfId="0" applyFont="1" applyFill="1" applyBorder="1" applyAlignment="1">
      <alignment vertical="center" wrapText="1"/>
      <protection locked="0"/>
    </xf>
    <xf numFmtId="165" fontId="7" fillId="0" borderId="7" xfId="0" applyNumberFormat="1" applyFont="1" applyFill="1" applyBorder="1" applyAlignment="1">
      <alignment horizontal="center" vertical="center" wrapText="1"/>
      <protection locked="0"/>
    </xf>
    <xf numFmtId="3" fontId="7" fillId="0" borderId="7" xfId="0" applyNumberFormat="1" applyFont="1" applyFill="1" applyBorder="1" applyAlignment="1">
      <alignment vertical="center" wrapText="1"/>
      <protection locked="0"/>
    </xf>
    <xf numFmtId="0" fontId="11" fillId="0" borderId="7" xfId="0" applyFont="1" applyFill="1" applyBorder="1" applyAlignment="1">
      <alignment horizontal="center" vertical="center" wrapText="1"/>
      <protection locked="0"/>
    </xf>
    <xf numFmtId="0" fontId="11" fillId="0" borderId="7" xfId="0" applyFont="1" applyFill="1" applyBorder="1" applyAlignment="1">
      <alignment vertical="center" wrapText="1"/>
      <protection locked="0"/>
    </xf>
    <xf numFmtId="164" fontId="12" fillId="0" borderId="7" xfId="0" applyNumberFormat="1" applyFont="1" applyFill="1" applyBorder="1" applyAlignment="1">
      <alignment horizontal="center" vertical="center" wrapText="1"/>
      <protection locked="0"/>
    </xf>
    <xf numFmtId="165" fontId="12" fillId="0" borderId="7" xfId="0" applyNumberFormat="1" applyFont="1" applyFill="1" applyBorder="1" applyAlignment="1">
      <alignment horizontal="center" vertical="center" wrapText="1"/>
      <protection locked="0"/>
    </xf>
    <xf numFmtId="0" fontId="12" fillId="0" borderId="7" xfId="0" applyFont="1" applyFill="1" applyBorder="1" applyAlignment="1">
      <alignment horizontal="center" vertical="center" wrapText="1"/>
      <protection locked="0"/>
    </xf>
    <xf numFmtId="3" fontId="11" fillId="0" borderId="7" xfId="0" applyNumberFormat="1" applyFont="1" applyFill="1" applyBorder="1" applyAlignment="1">
      <alignment vertical="center" wrapText="1"/>
      <protection locked="0"/>
    </xf>
    <xf numFmtId="0" fontId="8" fillId="0" borderId="7" xfId="0" applyFont="1" applyFill="1" applyBorder="1" applyAlignment="1">
      <alignment vertical="center" wrapText="1"/>
      <protection locked="0"/>
    </xf>
    <xf numFmtId="164" fontId="8" fillId="0" borderId="7" xfId="0" applyNumberFormat="1" applyFont="1" applyFill="1" applyBorder="1" applyAlignment="1">
      <alignment horizontal="center" vertical="center" wrapText="1"/>
      <protection locked="0"/>
    </xf>
    <xf numFmtId="165" fontId="8" fillId="0" borderId="7" xfId="0" applyNumberFormat="1" applyFont="1" applyFill="1" applyBorder="1" applyAlignment="1">
      <alignment horizontal="center" vertical="center" wrapText="1"/>
      <protection locked="0"/>
    </xf>
    <xf numFmtId="3" fontId="8" fillId="0" borderId="7" xfId="0" applyNumberFormat="1" applyFont="1" applyFill="1" applyBorder="1" applyAlignment="1">
      <alignment vertical="center" wrapText="1"/>
      <protection locked="0"/>
    </xf>
    <xf numFmtId="166" fontId="8" fillId="0" borderId="7" xfId="0" applyNumberFormat="1" applyFont="1" applyFill="1" applyBorder="1" applyAlignment="1">
      <alignment horizontal="center" vertical="center" wrapText="1"/>
      <protection locked="0"/>
    </xf>
    <xf numFmtId="0" fontId="7" fillId="0" borderId="7" xfId="0" applyFont="1" applyFill="1" applyBorder="1" applyAlignment="1">
      <alignment horizontal="left" vertical="center" wrapText="1"/>
      <protection locked="0"/>
    </xf>
    <xf numFmtId="166" fontId="7" fillId="0" borderId="7" xfId="0" applyNumberFormat="1" applyFont="1" applyFill="1" applyBorder="1" applyAlignment="1">
      <alignment horizontal="center" vertical="center" wrapText="1"/>
      <protection locked="0"/>
    </xf>
    <xf numFmtId="3" fontId="7" fillId="0" borderId="7" xfId="0" applyNumberFormat="1" applyFont="1" applyFill="1" applyBorder="1" applyAlignment="1">
      <alignment horizontal="right" vertical="center" wrapText="1"/>
      <protection locked="0"/>
    </xf>
    <xf numFmtId="39" fontId="7" fillId="0" borderId="7" xfId="0" applyNumberFormat="1" applyFont="1" applyFill="1" applyBorder="1" applyAlignment="1">
      <alignment horizontal="center" vertical="center" wrapText="1"/>
      <protection locked="0"/>
    </xf>
    <xf numFmtId="0" fontId="7" fillId="0" borderId="8" xfId="0" applyFont="1" applyFill="1" applyBorder="1" applyAlignment="1">
      <alignment horizontal="center" vertical="center" wrapText="1"/>
      <protection locked="0"/>
    </xf>
    <xf numFmtId="0" fontId="7" fillId="0" borderId="8" xfId="0" applyFont="1" applyFill="1" applyBorder="1" applyAlignment="1">
      <alignment vertical="center" wrapText="1"/>
      <protection locked="0"/>
    </xf>
    <xf numFmtId="166" fontId="7" fillId="0" borderId="8" xfId="0" applyNumberFormat="1" applyFont="1" applyFill="1" applyBorder="1" applyAlignment="1">
      <alignment horizontal="center" vertical="center" wrapText="1"/>
      <protection locked="0"/>
    </xf>
    <xf numFmtId="165" fontId="7" fillId="0" borderId="8" xfId="0" applyNumberFormat="1" applyFont="1" applyFill="1" applyBorder="1" applyAlignment="1">
      <alignment horizontal="center" vertical="center" wrapText="1"/>
      <protection locked="0"/>
    </xf>
    <xf numFmtId="3" fontId="7" fillId="0" borderId="8" xfId="0" applyNumberFormat="1" applyFont="1" applyFill="1" applyBorder="1" applyAlignment="1">
      <alignment vertical="center" wrapText="1"/>
      <protection locked="0"/>
    </xf>
    <xf numFmtId="0" fontId="7" fillId="0" borderId="4" xfId="0" applyFont="1" applyFill="1" applyBorder="1" applyAlignment="1">
      <alignment horizontal="center" vertical="center" wrapText="1"/>
      <protection locked="0"/>
    </xf>
    <xf numFmtId="0" fontId="7" fillId="0" borderId="5" xfId="0" applyFont="1" applyFill="1" applyBorder="1" applyAlignment="1">
      <alignment vertical="center" wrapText="1"/>
      <protection locked="0"/>
    </xf>
    <xf numFmtId="0" fontId="7" fillId="0" borderId="5" xfId="0" applyFont="1" applyFill="1" applyBorder="1" applyAlignment="1">
      <alignment horizontal="center" vertical="center" wrapText="1"/>
      <protection locked="0"/>
    </xf>
    <xf numFmtId="164" fontId="7" fillId="0" borderId="5" xfId="0" applyNumberFormat="1" applyFont="1" applyFill="1" applyBorder="1" applyAlignment="1">
      <alignment horizontal="center" vertical="center" wrapText="1"/>
      <protection locked="0"/>
    </xf>
    <xf numFmtId="165" fontId="7" fillId="0" borderId="5" xfId="0" applyNumberFormat="1" applyFont="1" applyFill="1" applyBorder="1" applyAlignment="1">
      <alignment horizontal="center" vertical="center" wrapText="1"/>
      <protection locked="0"/>
    </xf>
    <xf numFmtId="3" fontId="7" fillId="0" borderId="5" xfId="0" applyNumberFormat="1" applyFont="1" applyFill="1" applyBorder="1" applyAlignment="1">
      <alignment vertical="center" wrapText="1"/>
      <protection locked="0"/>
    </xf>
    <xf numFmtId="0" fontId="8" fillId="0" borderId="3" xfId="0" applyFont="1" applyFill="1" applyBorder="1" applyAlignment="1">
      <alignment horizontal="center" vertical="center" wrapText="1"/>
      <protection locked="0"/>
    </xf>
    <xf numFmtId="0" fontId="8" fillId="0" borderId="3" xfId="0" applyFont="1" applyFill="1" applyBorder="1" applyAlignment="1">
      <alignment vertical="center" wrapText="1"/>
      <protection locked="0"/>
    </xf>
    <xf numFmtId="164" fontId="8" fillId="0" borderId="3" xfId="0" applyNumberFormat="1" applyFont="1" applyFill="1" applyBorder="1" applyAlignment="1">
      <alignment horizontal="center" vertical="center" wrapText="1"/>
      <protection locked="0"/>
    </xf>
    <xf numFmtId="165" fontId="8" fillId="0" borderId="3" xfId="0" applyNumberFormat="1" applyFont="1" applyFill="1" applyBorder="1" applyAlignment="1">
      <alignment horizontal="center" vertical="center" wrapText="1"/>
      <protection locked="0"/>
    </xf>
    <xf numFmtId="3" fontId="8" fillId="0" borderId="3" xfId="0" applyNumberFormat="1" applyFont="1" applyFill="1" applyBorder="1" applyAlignment="1">
      <alignment vertical="center" wrapText="1"/>
      <protection locked="0"/>
    </xf>
    <xf numFmtId="0" fontId="7" fillId="0" borderId="3" xfId="0" applyFont="1" applyFill="1" applyBorder="1" applyAlignment="1">
      <alignment horizontal="center" vertical="center" wrapText="1"/>
      <protection locked="0"/>
    </xf>
    <xf numFmtId="0" fontId="7" fillId="0" borderId="3" xfId="0" applyFont="1" applyFill="1" applyBorder="1" applyAlignment="1">
      <alignment vertical="center" wrapText="1"/>
      <protection locked="0"/>
    </xf>
    <xf numFmtId="164" fontId="7" fillId="0" borderId="3" xfId="0" applyNumberFormat="1" applyFont="1" applyFill="1" applyBorder="1" applyAlignment="1">
      <alignment horizontal="center" vertical="center" wrapText="1"/>
      <protection locked="0"/>
    </xf>
    <xf numFmtId="165" fontId="7" fillId="0" borderId="3" xfId="0" applyNumberFormat="1" applyFont="1" applyFill="1" applyBorder="1" applyAlignment="1">
      <alignment horizontal="center" vertical="center" wrapText="1"/>
      <protection locked="0"/>
    </xf>
    <xf numFmtId="3" fontId="7" fillId="0" borderId="3" xfId="0" applyNumberFormat="1" applyFont="1" applyFill="1" applyBorder="1" applyAlignment="1">
      <alignment vertical="center" wrapText="1"/>
      <protection locked="0"/>
    </xf>
    <xf numFmtId="0" fontId="13" fillId="0" borderId="9" xfId="0" applyFont="1" applyFill="1" applyBorder="1" applyAlignment="1">
      <alignment horizontal="center" vertical="center" wrapText="1"/>
      <protection locked="0"/>
    </xf>
    <xf numFmtId="0" fontId="12" fillId="0" borderId="0" xfId="0" applyFont="1" applyFill="1" applyAlignment="1">
      <alignment vertical="center" wrapText="1"/>
      <protection locked="0"/>
    </xf>
    <xf numFmtId="0" fontId="12" fillId="0" borderId="5" xfId="0" applyFont="1" applyFill="1" applyBorder="1" applyAlignment="1">
      <alignment vertical="center" wrapText="1"/>
      <protection locked="0"/>
    </xf>
    <xf numFmtId="0" fontId="13" fillId="0" borderId="3" xfId="0" applyFont="1" applyFill="1" applyBorder="1" applyAlignment="1">
      <alignment horizontal="center" vertical="center" wrapText="1"/>
      <protection locked="0"/>
    </xf>
    <xf numFmtId="0" fontId="12" fillId="0" borderId="3" xfId="0" applyFont="1" applyFill="1" applyBorder="1" applyAlignment="1">
      <alignment horizontal="center" vertical="center" wrapText="1"/>
      <protection locked="0"/>
    </xf>
    <xf numFmtId="0" fontId="14" fillId="0" borderId="0" xfId="0" applyFont="1" applyFill="1" applyAlignment="1">
      <alignment horizontal="center" vertical="center" wrapText="1"/>
      <protection locked="0"/>
    </xf>
  </cellXfs>
  <cellStyles count="2">
    <cellStyle name="Normal" xfId="0" builtinId="0"/>
    <cellStyle name="Normal 2" xfId="1" xr:uid="{D082D8E4-FC86-4643-B73B-90A0B900AA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CONG%20VIEC/2.%20TAM/New%20folder/8.%20HAI,%20B%20HIEU/8.%20TRUONG%20THCS%20&#272;&#7840;I%20&#272;&#7890;NG-&#272;&#212;NG%20PH&#431;&#416;NG/06.%20Tr&#432;&#7901;ng%20THCS%20&#272;P%20v&#224;%20&#272;&#7841;i%20&#272;&#7891;ng/Dtoan%20TD/2.%20DT%20tr&#432;&#7901;ng%20thcs%20&#272;&#7841;i%20&#272;&#7891;ng%20-%20&#272;&#244;ng_T&#272;1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Công trình"/>
      <sheetName val="Giá tháng"/>
      <sheetName val="Đầu vào"/>
      <sheetName val="Nhân công"/>
      <sheetName val="Máy"/>
      <sheetName val="HaoPhiVatTu"/>
      <sheetName val="Tổng hợp VT"/>
      <sheetName val="THVT gộp"/>
      <sheetName val="Cước VC"/>
      <sheetName val="Cước bộ"/>
      <sheetName val="Đơn giá chi tiết"/>
      <sheetName val="Giá tổng hợp"/>
      <sheetName val="THKP hạng mục"/>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Bìa"/>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refreshError="1"/>
      <sheetData sheetId="1">
        <row r="1">
          <cell r="AM1" t="str">
            <v>(đ)</v>
          </cell>
        </row>
        <row r="6">
          <cell r="F6" t="str">
            <v>HẠNG MỤC: CẢI TẠO, SỬA CHỮA CƠ SỞ 1</v>
          </cell>
        </row>
        <row r="173">
          <cell r="F173" t="str">
            <v>HẠNG MỤC: CẢO TẠO, SỬA CHỮA CƠ SỞ 2</v>
          </cell>
        </row>
      </sheetData>
      <sheetData sheetId="2"/>
      <sheetData sheetId="3"/>
      <sheetData sheetId="4"/>
      <sheetData sheetId="5"/>
      <sheetData sheetId="6"/>
      <sheetData sheetId="7"/>
      <sheetData sheetId="8"/>
      <sheetData sheetId="9"/>
      <sheetData sheetId="10"/>
      <sheetData sheetId="11"/>
      <sheetData sheetId="12"/>
      <sheetData sheetId="13"/>
      <sheetData sheetId="14">
        <row r="5">
          <cell r="C5">
            <v>1563128817</v>
          </cell>
        </row>
        <row r="6">
          <cell r="C6">
            <v>103768876</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7">
          <cell r="D17">
            <v>0.08</v>
          </cell>
        </row>
        <row r="36">
          <cell r="D36">
            <v>0.08</v>
          </cell>
        </row>
      </sheetData>
      <sheetData sheetId="36">
        <row r="3">
          <cell r="F3">
            <v>3.4459999999999998E-2</v>
          </cell>
        </row>
        <row r="8">
          <cell r="F8">
            <v>3.2849999999999997E-2</v>
          </cell>
        </row>
        <row r="13">
          <cell r="F13">
            <v>9.5999999999999992E-3</v>
          </cell>
        </row>
        <row r="14">
          <cell r="F14">
            <v>5.6999999999999993E-3</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9D3F-9EDD-4D31-8E1C-C5CD6237C382}">
  <dimension ref="A1"/>
  <sheetViews>
    <sheetView workbookViewId="0"/>
  </sheetViews>
  <sheetFormatPr defaultRowHeight="10.8"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6457-5D03-49D4-B87E-740F07341BE3}">
  <dimension ref="A1"/>
  <sheetViews>
    <sheetView workbookViewId="0"/>
  </sheetViews>
  <sheetFormatPr defaultRowHeight="10.8"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8"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0.8"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0.8"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8DB10-7FCD-4CD0-8B01-11191052DD12}">
  <dimension ref="A1:Q102"/>
  <sheetViews>
    <sheetView tabSelected="1" view="pageBreakPreview" topLeftCell="B1" zoomScaleNormal="100" zoomScaleSheetLayoutView="100" workbookViewId="0">
      <selection activeCell="Q4" sqref="Q4"/>
    </sheetView>
  </sheetViews>
  <sheetFormatPr defaultColWidth="10" defaultRowHeight="15" customHeight="1" x14ac:dyDescent="0.2"/>
  <cols>
    <col min="1" max="1" width="6.625" style="5" customWidth="1"/>
    <col min="2" max="2" width="67.5" style="5" customWidth="1"/>
    <col min="3" max="3" width="10" style="5" customWidth="1"/>
    <col min="4" max="4" width="17.125" style="5" hidden="1" customWidth="1"/>
    <col min="5" max="5" width="9.375" style="5" hidden="1" customWidth="1"/>
    <col min="6" max="6" width="30.125" style="5" customWidth="1"/>
    <col min="7" max="7" width="20.375" style="5" customWidth="1"/>
    <col min="8" max="8" width="19.125" style="5" customWidth="1"/>
    <col min="9" max="9" width="18.625" style="5" customWidth="1"/>
    <col min="10" max="10" width="10" style="3" hidden="1" customWidth="1"/>
    <col min="11" max="11" width="15" style="4" hidden="1" customWidth="1"/>
    <col min="12" max="14" width="15" style="3" hidden="1" customWidth="1"/>
    <col min="15" max="15" width="50" style="5" hidden="1" customWidth="1"/>
    <col min="16" max="16" width="16.125" style="5" customWidth="1"/>
    <col min="17" max="16384" width="10" style="5"/>
  </cols>
  <sheetData>
    <row r="1" spans="1:17" ht="23.25" customHeight="1" x14ac:dyDescent="0.2">
      <c r="A1" s="1" t="s">
        <v>252</v>
      </c>
      <c r="B1" s="2"/>
      <c r="C1" s="2"/>
      <c r="D1" s="2"/>
      <c r="E1" s="2"/>
      <c r="F1" s="2"/>
      <c r="G1" s="2"/>
      <c r="H1" s="2"/>
      <c r="I1" s="2"/>
    </row>
    <row r="2" spans="1:17" ht="24" customHeight="1" x14ac:dyDescent="0.2">
      <c r="A2" s="6" t="s">
        <v>256</v>
      </c>
      <c r="B2" s="7"/>
      <c r="C2" s="7"/>
      <c r="D2" s="7"/>
      <c r="E2" s="7"/>
      <c r="F2" s="7"/>
      <c r="G2" s="7"/>
      <c r="H2" s="7"/>
      <c r="I2" s="7"/>
    </row>
    <row r="3" spans="1:17" ht="20.25" customHeight="1" x14ac:dyDescent="0.3">
      <c r="A3" s="8" t="str">
        <f>"Đơn vị tính:  "&amp;'[1]Công trình'!AM1</f>
        <v>Đơn vị tính:  (đ)</v>
      </c>
      <c r="B3" s="2"/>
      <c r="C3" s="2"/>
      <c r="D3" s="2"/>
      <c r="E3" s="2"/>
      <c r="F3" s="2"/>
      <c r="G3" s="2"/>
      <c r="H3" s="2"/>
      <c r="I3" s="2"/>
      <c r="L3" s="9" t="s">
        <v>0</v>
      </c>
      <c r="M3" s="9"/>
      <c r="N3" s="9"/>
      <c r="O3" s="10"/>
    </row>
    <row r="4" spans="1:17" ht="43.2" customHeight="1" x14ac:dyDescent="0.2">
      <c r="A4" s="32" t="s">
        <v>1</v>
      </c>
      <c r="B4" s="33" t="s">
        <v>2</v>
      </c>
      <c r="C4" s="33" t="s">
        <v>3</v>
      </c>
      <c r="D4" s="33" t="s">
        <v>4</v>
      </c>
      <c r="E4" s="33" t="s">
        <v>5</v>
      </c>
      <c r="F4" s="33" t="s">
        <v>6</v>
      </c>
      <c r="G4" s="33" t="s">
        <v>7</v>
      </c>
      <c r="H4" s="33" t="s">
        <v>268</v>
      </c>
      <c r="I4" s="33" t="s">
        <v>8</v>
      </c>
      <c r="K4" s="11">
        <v>0.08</v>
      </c>
      <c r="L4" s="12" t="s">
        <v>9</v>
      </c>
      <c r="M4" s="12" t="s">
        <v>10</v>
      </c>
      <c r="N4" s="12" t="s">
        <v>11</v>
      </c>
      <c r="O4" s="10" t="s">
        <v>12</v>
      </c>
    </row>
    <row r="5" spans="1:17" ht="30.75" hidden="1" customHeight="1" x14ac:dyDescent="0.2">
      <c r="A5" s="34" t="s">
        <v>13</v>
      </c>
      <c r="B5" s="35" t="s">
        <v>14</v>
      </c>
      <c r="C5" s="36" t="s">
        <v>15</v>
      </c>
      <c r="D5" s="37"/>
      <c r="E5" s="38"/>
      <c r="F5" s="36" t="str">
        <f>""</f>
        <v/>
      </c>
      <c r="G5" s="39"/>
      <c r="H5" s="39">
        <v>0</v>
      </c>
      <c r="I5" s="39">
        <v>0</v>
      </c>
      <c r="J5" s="12" t="s">
        <v>16</v>
      </c>
      <c r="K5" s="4">
        <v>1</v>
      </c>
    </row>
    <row r="6" spans="1:17" ht="18.75" customHeight="1" x14ac:dyDescent="0.2">
      <c r="A6" s="40" t="s">
        <v>13</v>
      </c>
      <c r="B6" s="41" t="s">
        <v>17</v>
      </c>
      <c r="C6" s="40" t="s">
        <v>18</v>
      </c>
      <c r="D6" s="42"/>
      <c r="E6" s="43"/>
      <c r="F6" s="40" t="str">
        <f>""</f>
        <v/>
      </c>
      <c r="G6" s="44">
        <f>G7+G10</f>
        <v>1666897693</v>
      </c>
      <c r="H6" s="44">
        <f>H7+H10</f>
        <v>133351815</v>
      </c>
      <c r="I6" s="44">
        <f>I7+I10</f>
        <v>1800250000</v>
      </c>
      <c r="J6" s="12" t="s">
        <v>19</v>
      </c>
      <c r="K6" s="4">
        <v>1</v>
      </c>
      <c r="L6" s="13">
        <f>L7+L10</f>
        <v>1666897693</v>
      </c>
      <c r="M6" s="13">
        <f>M7+M10</f>
        <v>1666897693</v>
      </c>
      <c r="N6" s="13">
        <f>N7+N10</f>
        <v>1666897693</v>
      </c>
      <c r="Q6" s="5" t="str">
        <f>+UPPER(A2)</f>
        <v>CÔNG TRÌNH : CẢI TẠO, SỬA CHỮA CÔNG TRÌNH PHỤ TRỢ TRƯỜNG THCS ĐẠI ĐỒNG - ĐÔNG PHƯƠNG, XÃ KIẾN MINH</v>
      </c>
    </row>
    <row r="7" spans="1:17" ht="30.75" customHeight="1" x14ac:dyDescent="0.2">
      <c r="A7" s="17" t="s">
        <v>20</v>
      </c>
      <c r="B7" s="45" t="s">
        <v>21</v>
      </c>
      <c r="C7" s="17" t="s">
        <v>19</v>
      </c>
      <c r="D7" s="19"/>
      <c r="E7" s="46"/>
      <c r="F7" s="17" t="str">
        <f>""</f>
        <v/>
      </c>
      <c r="G7" s="47">
        <f>SUM(G8:G9)</f>
        <v>1666897693</v>
      </c>
      <c r="H7" s="47">
        <f>SUM(H8:H9)</f>
        <v>133351815</v>
      </c>
      <c r="I7" s="47">
        <f>ROUND(G7+H7,-3)</f>
        <v>1800250000</v>
      </c>
      <c r="J7" s="12" t="s">
        <v>22</v>
      </c>
      <c r="K7" s="14">
        <f>G7+G67</f>
        <v>1666897693</v>
      </c>
      <c r="L7" s="13">
        <f>SUM(L8:L9)</f>
        <v>1666897693</v>
      </c>
      <c r="M7" s="13">
        <f>SUM(M8:M9)</f>
        <v>1666897693</v>
      </c>
      <c r="N7" s="13">
        <f>SUM(N8:N9)</f>
        <v>1666897693</v>
      </c>
      <c r="Q7" s="5" t="s">
        <v>242</v>
      </c>
    </row>
    <row r="8" spans="1:17" ht="21.75" customHeight="1" x14ac:dyDescent="0.2">
      <c r="A8" s="48"/>
      <c r="B8" s="49" t="str">
        <f>"+ "&amp;'[1]Công trình'!F6</f>
        <v>+ HẠNG MỤC: CẢI TẠO, SỬA CHỮA CƠ SỞ 1</v>
      </c>
      <c r="C8" s="48" t="s">
        <v>23</v>
      </c>
      <c r="D8" s="50"/>
      <c r="E8" s="51"/>
      <c r="F8" s="52"/>
      <c r="G8" s="53">
        <f>ROUND('[1]TH chi phí XD'!C5,0)</f>
        <v>1563128817</v>
      </c>
      <c r="H8" s="53">
        <f>ROUND(G8*[1]HSXL!D17,0)</f>
        <v>125050305</v>
      </c>
      <c r="I8" s="53">
        <f>ROUND(G8+H8,-3)</f>
        <v>1688179000</v>
      </c>
      <c r="J8" s="12"/>
      <c r="L8" s="13">
        <f>G8</f>
        <v>1563128817</v>
      </c>
      <c r="M8" s="13">
        <f>G8</f>
        <v>1563128817</v>
      </c>
      <c r="N8" s="13">
        <f>G8</f>
        <v>1563128817</v>
      </c>
    </row>
    <row r="9" spans="1:17" ht="20.25" customHeight="1" x14ac:dyDescent="0.2">
      <c r="A9" s="48"/>
      <c r="B9" s="49" t="str">
        <f>"+ "&amp;'[1]Công trình'!F173</f>
        <v>+ HẠNG MỤC: CẢO TẠO, SỬA CHỮA CƠ SỞ 2</v>
      </c>
      <c r="C9" s="48" t="s">
        <v>24</v>
      </c>
      <c r="D9" s="50"/>
      <c r="E9" s="51"/>
      <c r="F9" s="52"/>
      <c r="G9" s="53">
        <f>ROUND('[1]TH chi phí XD'!C6,0)</f>
        <v>103768876</v>
      </c>
      <c r="H9" s="53">
        <f>ROUND(G9*[1]HSXL!D36,0)</f>
        <v>8301510</v>
      </c>
      <c r="I9" s="53">
        <f>ROUND(G9+H9,-3)</f>
        <v>112070000</v>
      </c>
      <c r="J9" s="12"/>
      <c r="L9" s="13">
        <f>G9</f>
        <v>103768876</v>
      </c>
      <c r="M9" s="13">
        <f>G9</f>
        <v>103768876</v>
      </c>
      <c r="N9" s="13">
        <f>G9</f>
        <v>103768876</v>
      </c>
    </row>
    <row r="10" spans="1:17" ht="30.75" hidden="1" customHeight="1" x14ac:dyDescent="0.2">
      <c r="A10" s="17" t="s">
        <v>25</v>
      </c>
      <c r="B10" s="45" t="s">
        <v>26</v>
      </c>
      <c r="C10" s="17" t="s">
        <v>27</v>
      </c>
      <c r="D10" s="19"/>
      <c r="E10" s="46"/>
      <c r="F10" s="17" t="str">
        <f>""</f>
        <v/>
      </c>
      <c r="G10" s="47">
        <f>ROUND(I10/(1+0.08),0)</f>
        <v>0</v>
      </c>
      <c r="H10" s="47">
        <f>ROUND(G10*0.08,0)</f>
        <v>0</v>
      </c>
      <c r="I10" s="47"/>
      <c r="J10" s="12" t="s">
        <v>28</v>
      </c>
      <c r="K10" s="4">
        <v>1</v>
      </c>
    </row>
    <row r="11" spans="1:17" ht="16.5" hidden="1" customHeight="1" x14ac:dyDescent="0.2">
      <c r="A11" s="18" t="s">
        <v>29</v>
      </c>
      <c r="B11" s="54" t="s">
        <v>30</v>
      </c>
      <c r="C11" s="18" t="s">
        <v>31</v>
      </c>
      <c r="D11" s="55"/>
      <c r="E11" s="56"/>
      <c r="F11" s="18" t="str">
        <f>""</f>
        <v/>
      </c>
      <c r="G11" s="57"/>
      <c r="H11" s="57"/>
      <c r="I11" s="57">
        <f>G11+H11</f>
        <v>0</v>
      </c>
      <c r="J11" s="12" t="s">
        <v>31</v>
      </c>
      <c r="K11" s="4">
        <v>1</v>
      </c>
      <c r="L11" s="13">
        <f>SUM(L16:L17)</f>
        <v>0</v>
      </c>
      <c r="M11" s="13">
        <f>SUM(M16:M17)</f>
        <v>0</v>
      </c>
      <c r="N11" s="13">
        <f>SUM(N16:N17)</f>
        <v>0</v>
      </c>
    </row>
    <row r="12" spans="1:17" ht="16.5" hidden="1" customHeight="1" x14ac:dyDescent="0.2">
      <c r="A12" s="18" t="s">
        <v>32</v>
      </c>
      <c r="B12" s="54" t="s">
        <v>33</v>
      </c>
      <c r="C12" s="18"/>
      <c r="D12" s="55"/>
      <c r="E12" s="56"/>
      <c r="F12" s="18" t="str">
        <f>""</f>
        <v/>
      </c>
      <c r="G12" s="57"/>
      <c r="H12" s="57"/>
      <c r="I12" s="57"/>
      <c r="J12" s="12" t="s">
        <v>34</v>
      </c>
      <c r="K12" s="4">
        <v>1</v>
      </c>
    </row>
    <row r="13" spans="1:17" ht="16.5" hidden="1" customHeight="1" x14ac:dyDescent="0.2">
      <c r="A13" s="17"/>
      <c r="B13" s="45" t="s">
        <v>35</v>
      </c>
      <c r="C13" s="17"/>
      <c r="D13" s="19"/>
      <c r="E13" s="46"/>
      <c r="F13" s="17" t="str">
        <f>""</f>
        <v/>
      </c>
      <c r="G13" s="47"/>
      <c r="H13" s="47"/>
      <c r="I13" s="47">
        <f>G13+H13</f>
        <v>0</v>
      </c>
      <c r="J13" s="12" t="s">
        <v>36</v>
      </c>
      <c r="K13" s="4">
        <v>1</v>
      </c>
    </row>
    <row r="14" spans="1:17" ht="30.75" hidden="1" customHeight="1" x14ac:dyDescent="0.2">
      <c r="A14" s="17"/>
      <c r="B14" s="45" t="s">
        <v>37</v>
      </c>
      <c r="C14" s="17"/>
      <c r="D14" s="19"/>
      <c r="E14" s="46"/>
      <c r="F14" s="17" t="str">
        <f>""</f>
        <v/>
      </c>
      <c r="G14" s="47">
        <v>0</v>
      </c>
      <c r="H14" s="47">
        <v>0</v>
      </c>
      <c r="I14" s="47">
        <v>0</v>
      </c>
      <c r="J14" s="12" t="s">
        <v>38</v>
      </c>
      <c r="K14" s="4">
        <v>1</v>
      </c>
    </row>
    <row r="15" spans="1:17" ht="30.75" hidden="1" customHeight="1" x14ac:dyDescent="0.2">
      <c r="A15" s="18" t="s">
        <v>39</v>
      </c>
      <c r="B15" s="54" t="s">
        <v>40</v>
      </c>
      <c r="C15" s="18"/>
      <c r="D15" s="55"/>
      <c r="E15" s="56"/>
      <c r="F15" s="18" t="str">
        <f>""</f>
        <v/>
      </c>
      <c r="G15" s="57"/>
      <c r="H15" s="57"/>
      <c r="I15" s="57"/>
      <c r="J15" s="12" t="s">
        <v>41</v>
      </c>
      <c r="K15" s="4">
        <v>1</v>
      </c>
    </row>
    <row r="16" spans="1:17" ht="26.25" hidden="1" customHeight="1" x14ac:dyDescent="0.2">
      <c r="A16" s="48"/>
      <c r="B16" s="49" t="str">
        <f>"+ "&amp;'[1]Công trình'!F6</f>
        <v>+ HẠNG MỤC: CẢI TẠO, SỬA CHỮA CƠ SỞ 1</v>
      </c>
      <c r="C16" s="48" t="s">
        <v>42</v>
      </c>
      <c r="D16" s="50"/>
      <c r="E16" s="51"/>
      <c r="F16" s="52"/>
      <c r="G16" s="53">
        <v>0</v>
      </c>
      <c r="H16" s="53">
        <f>ROUND(G16*[1]HSXL!D17,0)</f>
        <v>0</v>
      </c>
      <c r="I16" s="53">
        <f>G16+H16</f>
        <v>0</v>
      </c>
      <c r="J16" s="12"/>
      <c r="L16" s="13">
        <f>G16</f>
        <v>0</v>
      </c>
      <c r="M16" s="13">
        <f>G16</f>
        <v>0</v>
      </c>
      <c r="N16" s="13">
        <f>G16</f>
        <v>0</v>
      </c>
    </row>
    <row r="17" spans="1:16" ht="26.25" hidden="1" customHeight="1" x14ac:dyDescent="0.2">
      <c r="A17" s="48"/>
      <c r="B17" s="49" t="str">
        <f>"+ "&amp;'[1]Công trình'!F173</f>
        <v>+ HẠNG MỤC: CẢO TẠO, SỬA CHỮA CƠ SỞ 2</v>
      </c>
      <c r="C17" s="48" t="s">
        <v>43</v>
      </c>
      <c r="D17" s="50"/>
      <c r="E17" s="51"/>
      <c r="F17" s="52"/>
      <c r="G17" s="53">
        <v>0</v>
      </c>
      <c r="H17" s="53">
        <f>ROUND(G17*[1]HSXL!D36,0)</f>
        <v>0</v>
      </c>
      <c r="I17" s="53">
        <f>G17+H17</f>
        <v>0</v>
      </c>
      <c r="J17" s="12"/>
      <c r="L17" s="13">
        <f>G17</f>
        <v>0</v>
      </c>
      <c r="M17" s="13">
        <f>G17</f>
        <v>0</v>
      </c>
      <c r="N17" s="13">
        <f>G17</f>
        <v>0</v>
      </c>
    </row>
    <row r="18" spans="1:16" ht="21.75" customHeight="1" x14ac:dyDescent="0.2">
      <c r="A18" s="18">
        <v>2</v>
      </c>
      <c r="B18" s="54" t="s">
        <v>45</v>
      </c>
      <c r="C18" s="18" t="s">
        <v>46</v>
      </c>
      <c r="D18" s="58">
        <f>'[1]Định mức tư vấn'!F3</f>
        <v>3.4459999999999998E-2</v>
      </c>
      <c r="E18" s="56"/>
      <c r="F18" s="18" t="str">
        <f>D18*100&amp;"% x "&amp;"("&amp;C7&amp;")"</f>
        <v>3,446% x (Gxd)</v>
      </c>
      <c r="G18" s="57">
        <f>ROUND(D18*(G7+G11),0)</f>
        <v>57441295</v>
      </c>
      <c r="H18" s="57">
        <f>ROUND(K4*G18,0)</f>
        <v>4595304</v>
      </c>
      <c r="I18" s="57">
        <f>ROUND(G18+H18,-3)</f>
        <v>62037000</v>
      </c>
      <c r="J18" s="12" t="s">
        <v>46</v>
      </c>
      <c r="K18" s="4">
        <v>1</v>
      </c>
      <c r="O18" s="5" t="s">
        <v>47</v>
      </c>
    </row>
    <row r="19" spans="1:16" ht="57.75" hidden="1" customHeight="1" x14ac:dyDescent="0.2">
      <c r="A19" s="18" t="s">
        <v>44</v>
      </c>
      <c r="B19" s="54" t="s">
        <v>48</v>
      </c>
      <c r="C19" s="18" t="s">
        <v>46</v>
      </c>
      <c r="D19" s="58"/>
      <c r="E19" s="56"/>
      <c r="F19" s="18" t="str">
        <f>""</f>
        <v/>
      </c>
      <c r="G19" s="57"/>
      <c r="H19" s="57">
        <f>ROUND(K4*G19,0)</f>
        <v>0</v>
      </c>
      <c r="I19" s="57">
        <f>G19+H19</f>
        <v>0</v>
      </c>
      <c r="J19" s="12" t="s">
        <v>49</v>
      </c>
      <c r="K19" s="4">
        <v>1</v>
      </c>
    </row>
    <row r="20" spans="1:16" ht="15.75" customHeight="1" x14ac:dyDescent="0.2">
      <c r="A20" s="18">
        <v>3</v>
      </c>
      <c r="B20" s="54" t="s">
        <v>50</v>
      </c>
      <c r="C20" s="18" t="s">
        <v>51</v>
      </c>
      <c r="D20" s="58"/>
      <c r="E20" s="56"/>
      <c r="F20" s="18" t="s">
        <v>254</v>
      </c>
      <c r="G20" s="57">
        <f>SUMIF(K21:K64,1,G21:G64)</f>
        <v>161569059.37205401</v>
      </c>
      <c r="H20" s="57">
        <f>SUMIF(K21:K64,1,H21:H64)</f>
        <v>12925524.62976432</v>
      </c>
      <c r="I20" s="57">
        <f>SUMIF(K21:K64,1,I21:I64)</f>
        <v>174495000</v>
      </c>
      <c r="J20" s="12" t="s">
        <v>51</v>
      </c>
      <c r="K20" s="4">
        <v>1</v>
      </c>
    </row>
    <row r="21" spans="1:16" ht="22.5" hidden="1" customHeight="1" x14ac:dyDescent="0.2">
      <c r="A21" s="59"/>
      <c r="B21" s="59"/>
      <c r="C21" s="17"/>
      <c r="D21" s="60"/>
      <c r="E21" s="46"/>
      <c r="F21" s="15"/>
      <c r="G21" s="61"/>
      <c r="H21" s="61"/>
      <c r="I21" s="61"/>
      <c r="J21" s="12"/>
    </row>
    <row r="22" spans="1:16" ht="16.5" hidden="1" customHeight="1" x14ac:dyDescent="0.2">
      <c r="A22" s="59"/>
      <c r="B22" s="59" t="s">
        <v>52</v>
      </c>
      <c r="C22" s="17" t="s">
        <v>53</v>
      </c>
      <c r="D22" s="60">
        <v>0.03</v>
      </c>
      <c r="E22" s="46"/>
      <c r="F22" s="17" t="str">
        <f>D22*100&amp;"%*"&amp;C21</f>
        <v>3%*</v>
      </c>
      <c r="G22" s="61"/>
      <c r="H22" s="61">
        <f>ROUND(K4*G22,0)</f>
        <v>0</v>
      </c>
      <c r="I22" s="61">
        <f>G22+H22</f>
        <v>0</v>
      </c>
      <c r="J22" s="12" t="s">
        <v>54</v>
      </c>
      <c r="K22" s="4">
        <v>1</v>
      </c>
    </row>
    <row r="23" spans="1:16" ht="30.75" hidden="1" customHeight="1" x14ac:dyDescent="0.2">
      <c r="A23" s="59"/>
      <c r="B23" s="59" t="s">
        <v>55</v>
      </c>
      <c r="C23" s="17" t="s">
        <v>56</v>
      </c>
      <c r="D23" s="60"/>
      <c r="E23" s="46"/>
      <c r="F23" s="17" t="str">
        <f>D23*100&amp;"%*"&amp;C21</f>
        <v>0%*</v>
      </c>
      <c r="G23" s="61"/>
      <c r="H23" s="61">
        <f>ROUND(K4*G23,0)</f>
        <v>0</v>
      </c>
      <c r="I23" s="61">
        <f>G23+H23</f>
        <v>0</v>
      </c>
      <c r="J23" s="12" t="s">
        <v>57</v>
      </c>
      <c r="K23" s="4">
        <v>1</v>
      </c>
    </row>
    <row r="24" spans="1:16" ht="16.5" hidden="1" customHeight="1" x14ac:dyDescent="0.2">
      <c r="A24" s="59"/>
      <c r="B24" s="59" t="s">
        <v>58</v>
      </c>
      <c r="C24" s="17" t="s">
        <v>59</v>
      </c>
      <c r="D24" s="60"/>
      <c r="E24" s="46"/>
      <c r="F24" s="17" t="str">
        <f>""</f>
        <v/>
      </c>
      <c r="G24" s="61"/>
      <c r="H24" s="61">
        <f>ROUND(K4*G24,0)</f>
        <v>0</v>
      </c>
      <c r="I24" s="61"/>
      <c r="J24" s="12" t="s">
        <v>60</v>
      </c>
      <c r="K24" s="4">
        <v>1</v>
      </c>
    </row>
    <row r="25" spans="1:16" ht="30.75" hidden="1" customHeight="1" x14ac:dyDescent="0.2">
      <c r="A25" s="59"/>
      <c r="B25" s="59" t="s">
        <v>61</v>
      </c>
      <c r="C25" s="17" t="s">
        <v>62</v>
      </c>
      <c r="D25" s="60"/>
      <c r="E25" s="46"/>
      <c r="F25" s="17" t="str">
        <f>""</f>
        <v/>
      </c>
      <c r="G25" s="61"/>
      <c r="H25" s="61">
        <f>ROUND(K4*G25,0)</f>
        <v>0</v>
      </c>
      <c r="I25" s="61"/>
      <c r="J25" s="12" t="s">
        <v>63</v>
      </c>
      <c r="K25" s="4">
        <v>1</v>
      </c>
    </row>
    <row r="26" spans="1:16" ht="30.75" hidden="1" customHeight="1" x14ac:dyDescent="0.2">
      <c r="A26" s="59"/>
      <c r="B26" s="59" t="s">
        <v>64</v>
      </c>
      <c r="C26" s="17" t="s">
        <v>65</v>
      </c>
      <c r="D26" s="60"/>
      <c r="E26" s="46"/>
      <c r="F26" s="17" t="str">
        <f>""</f>
        <v/>
      </c>
      <c r="G26" s="61"/>
      <c r="H26" s="61">
        <f>ROUND(K4*G26,0)</f>
        <v>0</v>
      </c>
      <c r="I26" s="61">
        <f t="shared" ref="I26:I63" si="0">G26+H26</f>
        <v>0</v>
      </c>
      <c r="J26" s="12" t="s">
        <v>66</v>
      </c>
      <c r="K26" s="4">
        <v>1</v>
      </c>
    </row>
    <row r="27" spans="1:16" ht="44.25" hidden="1" customHeight="1" x14ac:dyDescent="0.2">
      <c r="A27" s="59"/>
      <c r="B27" s="59" t="s">
        <v>67</v>
      </c>
      <c r="C27" s="17" t="s">
        <v>68</v>
      </c>
      <c r="D27" s="60"/>
      <c r="E27" s="46"/>
      <c r="F27" s="17" t="str">
        <f>""</f>
        <v/>
      </c>
      <c r="G27" s="61"/>
      <c r="H27" s="61">
        <f>ROUND(K4*G27,0)</f>
        <v>0</v>
      </c>
      <c r="I27" s="61">
        <f t="shared" si="0"/>
        <v>0</v>
      </c>
      <c r="J27" s="12" t="s">
        <v>69</v>
      </c>
      <c r="K27" s="4">
        <v>1</v>
      </c>
    </row>
    <row r="28" spans="1:16" ht="30.75" hidden="1" customHeight="1" x14ac:dyDescent="0.2">
      <c r="A28" s="59"/>
      <c r="B28" s="59" t="s">
        <v>70</v>
      </c>
      <c r="C28" s="17" t="s">
        <v>71</v>
      </c>
      <c r="D28" s="60"/>
      <c r="E28" s="46"/>
      <c r="F28" s="17" t="str">
        <f>""</f>
        <v/>
      </c>
      <c r="G28" s="61"/>
      <c r="H28" s="61">
        <f>ROUND(K4*G28,0)</f>
        <v>0</v>
      </c>
      <c r="I28" s="61">
        <f t="shared" si="0"/>
        <v>0</v>
      </c>
      <c r="J28" s="12" t="s">
        <v>72</v>
      </c>
      <c r="K28" s="4">
        <v>1</v>
      </c>
    </row>
    <row r="29" spans="1:16" ht="30.75" hidden="1" customHeight="1" x14ac:dyDescent="0.2">
      <c r="A29" s="59"/>
      <c r="B29" s="59" t="s">
        <v>73</v>
      </c>
      <c r="C29" s="17" t="s">
        <v>74</v>
      </c>
      <c r="D29" s="60"/>
      <c r="E29" s="46"/>
      <c r="F29" s="17" t="str">
        <f>""</f>
        <v/>
      </c>
      <c r="G29" s="61"/>
      <c r="H29" s="61">
        <f>ROUND(K4*G29,0)</f>
        <v>0</v>
      </c>
      <c r="I29" s="61">
        <f t="shared" si="0"/>
        <v>0</v>
      </c>
      <c r="J29" s="12" t="s">
        <v>75</v>
      </c>
      <c r="K29" s="4">
        <v>1</v>
      </c>
    </row>
    <row r="30" spans="1:16" ht="16.5" hidden="1" customHeight="1" x14ac:dyDescent="0.2">
      <c r="A30" s="59"/>
      <c r="B30" s="59" t="s">
        <v>76</v>
      </c>
      <c r="C30" s="17" t="s">
        <v>77</v>
      </c>
      <c r="D30" s="60"/>
      <c r="E30" s="46"/>
      <c r="F30" s="17" t="str">
        <f>""</f>
        <v/>
      </c>
      <c r="G30" s="61"/>
      <c r="H30" s="61">
        <f>ROUND(K4*G30,0)</f>
        <v>0</v>
      </c>
      <c r="I30" s="61">
        <f t="shared" si="0"/>
        <v>0</v>
      </c>
      <c r="J30" s="12" t="s">
        <v>78</v>
      </c>
      <c r="K30" s="4">
        <v>1</v>
      </c>
    </row>
    <row r="31" spans="1:16" ht="23.25" customHeight="1" x14ac:dyDescent="0.2">
      <c r="A31" s="17" t="s">
        <v>257</v>
      </c>
      <c r="B31" s="59" t="s">
        <v>80</v>
      </c>
      <c r="C31" s="17" t="s">
        <v>261</v>
      </c>
      <c r="D31" s="60">
        <v>5.8998000000000002E-2</v>
      </c>
      <c r="E31" s="46"/>
      <c r="F31" s="17" t="s">
        <v>250</v>
      </c>
      <c r="G31" s="61">
        <f>D31*G7</f>
        <v>98343630.091614008</v>
      </c>
      <c r="H31" s="61">
        <f>G31*0.08</f>
        <v>7867490.4073291207</v>
      </c>
      <c r="I31" s="47">
        <f>ROUND(G31+H31,-3)</f>
        <v>106211000</v>
      </c>
      <c r="J31" s="12" t="s">
        <v>81</v>
      </c>
      <c r="K31" s="4">
        <v>1</v>
      </c>
      <c r="O31" s="5" t="s">
        <v>47</v>
      </c>
      <c r="P31" s="16">
        <f>G31*0.2</f>
        <v>19668726.018322803</v>
      </c>
    </row>
    <row r="32" spans="1:16" ht="30.75" hidden="1" customHeight="1" x14ac:dyDescent="0.2">
      <c r="A32" s="17"/>
      <c r="B32" s="59" t="s">
        <v>82</v>
      </c>
      <c r="C32" s="17" t="s">
        <v>83</v>
      </c>
      <c r="D32" s="60"/>
      <c r="E32" s="46"/>
      <c r="F32" s="17" t="str">
        <f>""</f>
        <v/>
      </c>
      <c r="G32" s="61"/>
      <c r="H32" s="61">
        <f>ROUND(K4*G32,0)</f>
        <v>0</v>
      </c>
      <c r="I32" s="61">
        <f t="shared" si="0"/>
        <v>0</v>
      </c>
      <c r="J32" s="12" t="s">
        <v>84</v>
      </c>
      <c r="K32" s="4">
        <v>1</v>
      </c>
    </row>
    <row r="33" spans="1:16" ht="30.75" hidden="1" customHeight="1" x14ac:dyDescent="0.2">
      <c r="A33" s="17"/>
      <c r="B33" s="59" t="s">
        <v>85</v>
      </c>
      <c r="C33" s="17" t="s">
        <v>86</v>
      </c>
      <c r="D33" s="60"/>
      <c r="E33" s="46"/>
      <c r="F33" s="17" t="str">
        <f>""</f>
        <v/>
      </c>
      <c r="G33" s="61"/>
      <c r="H33" s="61">
        <f>ROUND(K4*G33,0)</f>
        <v>0</v>
      </c>
      <c r="I33" s="61">
        <f t="shared" si="0"/>
        <v>0</v>
      </c>
      <c r="J33" s="12" t="s">
        <v>87</v>
      </c>
      <c r="K33" s="4">
        <v>1</v>
      </c>
    </row>
    <row r="34" spans="1:16" ht="30.75" hidden="1" customHeight="1" x14ac:dyDescent="0.2">
      <c r="A34" s="17"/>
      <c r="B34" s="59" t="s">
        <v>88</v>
      </c>
      <c r="C34" s="17" t="s">
        <v>89</v>
      </c>
      <c r="D34" s="60"/>
      <c r="E34" s="46"/>
      <c r="F34" s="17" t="str">
        <f>""</f>
        <v/>
      </c>
      <c r="G34" s="61"/>
      <c r="H34" s="61">
        <f>ROUND(K4*G34,0)</f>
        <v>0</v>
      </c>
      <c r="I34" s="61">
        <f t="shared" si="0"/>
        <v>0</v>
      </c>
      <c r="J34" s="12" t="s">
        <v>90</v>
      </c>
      <c r="K34" s="4">
        <v>1</v>
      </c>
    </row>
    <row r="35" spans="1:16" ht="16.5" hidden="1" customHeight="1" x14ac:dyDescent="0.2">
      <c r="A35" s="17"/>
      <c r="B35" s="59" t="s">
        <v>91</v>
      </c>
      <c r="C35" s="17" t="s">
        <v>92</v>
      </c>
      <c r="D35" s="60">
        <v>0.2</v>
      </c>
      <c r="E35" s="46"/>
      <c r="F35" s="17" t="str">
        <f>D35*100&amp;"%*"&amp;C33</f>
        <v>20%*Gtv13</v>
      </c>
      <c r="G35" s="61"/>
      <c r="H35" s="61">
        <f>ROUND(K4*G35,0)</f>
        <v>0</v>
      </c>
      <c r="I35" s="61">
        <f t="shared" si="0"/>
        <v>0</v>
      </c>
      <c r="J35" s="12" t="s">
        <v>93</v>
      </c>
      <c r="K35" s="4">
        <v>1</v>
      </c>
    </row>
    <row r="36" spans="1:16" ht="30.75" customHeight="1" x14ac:dyDescent="0.2">
      <c r="A36" s="17" t="s">
        <v>258</v>
      </c>
      <c r="B36" s="59" t="s">
        <v>95</v>
      </c>
      <c r="C36" s="17" t="s">
        <v>53</v>
      </c>
      <c r="D36" s="60">
        <v>2.5799999999999998E-3</v>
      </c>
      <c r="E36" s="46"/>
      <c r="F36" s="17" t="s">
        <v>248</v>
      </c>
      <c r="G36" s="47">
        <f>D36*G6</f>
        <v>4300596.04794</v>
      </c>
      <c r="H36" s="47">
        <f>G36*0.08</f>
        <v>344047.68383519998</v>
      </c>
      <c r="I36" s="47">
        <f>ROUND(G36+H36,-3)</f>
        <v>4645000</v>
      </c>
      <c r="J36" s="12" t="s">
        <v>96</v>
      </c>
      <c r="K36" s="4">
        <v>1</v>
      </c>
      <c r="O36" s="5" t="s">
        <v>47</v>
      </c>
      <c r="P36" s="16">
        <f>G31*6%</f>
        <v>5900617.8054968398</v>
      </c>
    </row>
    <row r="37" spans="1:16" ht="30.75" customHeight="1" x14ac:dyDescent="0.2">
      <c r="A37" s="17" t="s">
        <v>259</v>
      </c>
      <c r="B37" s="59" t="s">
        <v>98</v>
      </c>
      <c r="C37" s="17" t="s">
        <v>56</v>
      </c>
      <c r="D37" s="60">
        <v>2.5000000000000001E-3</v>
      </c>
      <c r="E37" s="46"/>
      <c r="F37" s="17" t="s">
        <v>249</v>
      </c>
      <c r="G37" s="47">
        <f>D37*G6</f>
        <v>4167244.2324999999</v>
      </c>
      <c r="H37" s="47">
        <f>G37*0.08</f>
        <v>333379.53860000003</v>
      </c>
      <c r="I37" s="47">
        <f>ROUND(G37+H37,-3)</f>
        <v>4501000</v>
      </c>
      <c r="J37" s="12" t="s">
        <v>99</v>
      </c>
      <c r="K37" s="4">
        <v>1</v>
      </c>
      <c r="O37" s="5" t="s">
        <v>47</v>
      </c>
    </row>
    <row r="38" spans="1:16" ht="30.75" hidden="1" customHeight="1" x14ac:dyDescent="0.2">
      <c r="A38" s="17"/>
      <c r="B38" s="59" t="s">
        <v>100</v>
      </c>
      <c r="C38" s="17" t="s">
        <v>101</v>
      </c>
      <c r="D38" s="60"/>
      <c r="E38" s="46"/>
      <c r="F38" s="17" t="str">
        <f>D38*100&amp;"%*"&amp;C33</f>
        <v>0%*Gtv13</v>
      </c>
      <c r="G38" s="61"/>
      <c r="H38" s="61">
        <f>ROUND(K4*G38,0)</f>
        <v>0</v>
      </c>
      <c r="I38" s="61">
        <f t="shared" si="0"/>
        <v>0</v>
      </c>
      <c r="J38" s="12" t="s">
        <v>102</v>
      </c>
      <c r="K38" s="4">
        <v>1</v>
      </c>
    </row>
    <row r="39" spans="1:16" ht="30.75" hidden="1" customHeight="1" x14ac:dyDescent="0.2">
      <c r="A39" s="17"/>
      <c r="B39" s="59" t="s">
        <v>103</v>
      </c>
      <c r="C39" s="17" t="s">
        <v>104</v>
      </c>
      <c r="D39" s="60"/>
      <c r="E39" s="46"/>
      <c r="F39" s="17" t="str">
        <f>D39*100&amp;"%*("&amp;C35&amp;"+"&amp;C36&amp;")"</f>
        <v>0%*(Gtv15+Gtv2)</v>
      </c>
      <c r="G39" s="61"/>
      <c r="H39" s="61">
        <f>ROUND(K4*G39,0)</f>
        <v>0</v>
      </c>
      <c r="I39" s="61">
        <f t="shared" si="0"/>
        <v>0</v>
      </c>
      <c r="J39" s="12" t="s">
        <v>105</v>
      </c>
      <c r="K39" s="4">
        <v>1</v>
      </c>
    </row>
    <row r="40" spans="1:16" ht="16.5" hidden="1" customHeight="1" x14ac:dyDescent="0.2">
      <c r="A40" s="17"/>
      <c r="B40" s="59" t="s">
        <v>106</v>
      </c>
      <c r="C40" s="17" t="s">
        <v>107</v>
      </c>
      <c r="D40" s="60"/>
      <c r="E40" s="46"/>
      <c r="F40" s="17" t="str">
        <f>""</f>
        <v/>
      </c>
      <c r="G40" s="61"/>
      <c r="H40" s="61">
        <f>ROUND(K4*G40,0)</f>
        <v>0</v>
      </c>
      <c r="I40" s="61">
        <f t="shared" si="0"/>
        <v>0</v>
      </c>
      <c r="J40" s="12" t="s">
        <v>108</v>
      </c>
      <c r="K40" s="4">
        <v>1</v>
      </c>
    </row>
    <row r="41" spans="1:16" ht="16.5" hidden="1" customHeight="1" x14ac:dyDescent="0.2">
      <c r="A41" s="17"/>
      <c r="B41" s="59" t="s">
        <v>109</v>
      </c>
      <c r="C41" s="17" t="s">
        <v>110</v>
      </c>
      <c r="D41" s="60"/>
      <c r="E41" s="46"/>
      <c r="F41" s="17" t="str">
        <f>""</f>
        <v/>
      </c>
      <c r="G41" s="61"/>
      <c r="H41" s="61">
        <f>ROUND(K4*G41,0)</f>
        <v>0</v>
      </c>
      <c r="I41" s="61">
        <f t="shared" si="0"/>
        <v>0</v>
      </c>
      <c r="J41" s="12" t="s">
        <v>111</v>
      </c>
      <c r="K41" s="4">
        <v>1</v>
      </c>
    </row>
    <row r="42" spans="1:16" ht="16.5" hidden="1" customHeight="1" x14ac:dyDescent="0.2">
      <c r="A42" s="17"/>
      <c r="B42" s="59" t="s">
        <v>112</v>
      </c>
      <c r="C42" s="17" t="s">
        <v>113</v>
      </c>
      <c r="D42" s="60"/>
      <c r="E42" s="46"/>
      <c r="F42" s="17" t="str">
        <f>""</f>
        <v/>
      </c>
      <c r="G42" s="61"/>
      <c r="H42" s="61">
        <f>ROUND(K4*G42,0)</f>
        <v>0</v>
      </c>
      <c r="I42" s="61">
        <f t="shared" si="0"/>
        <v>0</v>
      </c>
      <c r="J42" s="12" t="s">
        <v>114</v>
      </c>
      <c r="K42" s="4">
        <v>1</v>
      </c>
    </row>
    <row r="43" spans="1:16" ht="44.25" hidden="1" customHeight="1" x14ac:dyDescent="0.2">
      <c r="A43" s="17"/>
      <c r="B43" s="59" t="s">
        <v>115</v>
      </c>
      <c r="C43" s="17" t="s">
        <v>116</v>
      </c>
      <c r="D43" s="60"/>
      <c r="E43" s="46"/>
      <c r="F43" s="17" t="str">
        <f>""</f>
        <v/>
      </c>
      <c r="G43" s="61"/>
      <c r="H43" s="61">
        <f>ROUND(K4*G43,0)</f>
        <v>0</v>
      </c>
      <c r="I43" s="61">
        <f t="shared" si="0"/>
        <v>0</v>
      </c>
      <c r="J43" s="12" t="s">
        <v>117</v>
      </c>
      <c r="K43" s="4">
        <v>1</v>
      </c>
    </row>
    <row r="44" spans="1:16" ht="16.5" hidden="1" customHeight="1" x14ac:dyDescent="0.2">
      <c r="A44" s="17"/>
      <c r="B44" s="59" t="s">
        <v>118</v>
      </c>
      <c r="C44" s="17" t="s">
        <v>119</v>
      </c>
      <c r="D44" s="60"/>
      <c r="E44" s="46"/>
      <c r="F44" s="17" t="str">
        <f>""</f>
        <v/>
      </c>
      <c r="G44" s="61"/>
      <c r="H44" s="61">
        <f>ROUND(K4*G44,0)</f>
        <v>0</v>
      </c>
      <c r="I44" s="61">
        <f t="shared" si="0"/>
        <v>0</v>
      </c>
      <c r="J44" s="12" t="s">
        <v>120</v>
      </c>
      <c r="K44" s="4">
        <v>1</v>
      </c>
    </row>
    <row r="45" spans="1:16" ht="16.5" hidden="1" customHeight="1" x14ac:dyDescent="0.2">
      <c r="A45" s="17"/>
      <c r="B45" s="59" t="s">
        <v>121</v>
      </c>
      <c r="C45" s="17" t="s">
        <v>122</v>
      </c>
      <c r="D45" s="60"/>
      <c r="E45" s="46"/>
      <c r="F45" s="17" t="str">
        <f>""</f>
        <v/>
      </c>
      <c r="G45" s="61"/>
      <c r="H45" s="61">
        <f>ROUND(K4*G45,0)</f>
        <v>0</v>
      </c>
      <c r="I45" s="61">
        <f t="shared" si="0"/>
        <v>0</v>
      </c>
      <c r="J45" s="12" t="s">
        <v>123</v>
      </c>
      <c r="K45" s="4">
        <v>1</v>
      </c>
    </row>
    <row r="46" spans="1:16" ht="16.5" hidden="1" customHeight="1" x14ac:dyDescent="0.2">
      <c r="A46" s="17"/>
      <c r="B46" s="59" t="s">
        <v>124</v>
      </c>
      <c r="C46" s="17" t="s">
        <v>125</v>
      </c>
      <c r="D46" s="60"/>
      <c r="E46" s="46"/>
      <c r="F46" s="17" t="str">
        <f>""</f>
        <v/>
      </c>
      <c r="G46" s="61"/>
      <c r="H46" s="61">
        <f>ROUND(K4*G46,0)</f>
        <v>0</v>
      </c>
      <c r="I46" s="61">
        <f t="shared" si="0"/>
        <v>0</v>
      </c>
      <c r="J46" s="12" t="s">
        <v>126</v>
      </c>
      <c r="K46" s="4">
        <v>1</v>
      </c>
    </row>
    <row r="47" spans="1:16" ht="30.75" hidden="1" customHeight="1" x14ac:dyDescent="0.2">
      <c r="A47" s="17"/>
      <c r="B47" s="59" t="s">
        <v>127</v>
      </c>
      <c r="C47" s="17" t="s">
        <v>128</v>
      </c>
      <c r="D47" s="60"/>
      <c r="E47" s="46"/>
      <c r="F47" s="17" t="str">
        <f>""</f>
        <v/>
      </c>
      <c r="G47" s="61"/>
      <c r="H47" s="61">
        <f>ROUND(K4*G47,0)</f>
        <v>0</v>
      </c>
      <c r="I47" s="61">
        <f t="shared" si="0"/>
        <v>0</v>
      </c>
      <c r="J47" s="12" t="s">
        <v>129</v>
      </c>
      <c r="K47" s="4">
        <v>1</v>
      </c>
    </row>
    <row r="48" spans="1:16" ht="44.25" hidden="1" customHeight="1" x14ac:dyDescent="0.2">
      <c r="A48" s="17"/>
      <c r="B48" s="59" t="s">
        <v>130</v>
      </c>
      <c r="C48" s="17" t="s">
        <v>131</v>
      </c>
      <c r="D48" s="60"/>
      <c r="E48" s="46"/>
      <c r="F48" s="17" t="str">
        <f>"0,5%*"&amp;C29</f>
        <v>0,5%*Gtv9</v>
      </c>
      <c r="G48" s="61"/>
      <c r="H48" s="61">
        <f>ROUND(K4*G48,0)</f>
        <v>0</v>
      </c>
      <c r="I48" s="61">
        <f t="shared" si="0"/>
        <v>0</v>
      </c>
      <c r="J48" s="12" t="s">
        <v>132</v>
      </c>
      <c r="K48" s="4">
        <v>1</v>
      </c>
    </row>
    <row r="49" spans="1:15" ht="44.25" hidden="1" customHeight="1" x14ac:dyDescent="0.2">
      <c r="A49" s="17"/>
      <c r="B49" s="59" t="s">
        <v>133</v>
      </c>
      <c r="C49" s="17" t="s">
        <v>134</v>
      </c>
      <c r="D49" s="60"/>
      <c r="E49" s="46"/>
      <c r="F49" s="17" t="s">
        <v>135</v>
      </c>
      <c r="G49" s="61"/>
      <c r="H49" s="61">
        <f>ROUND(K4*G49,0)</f>
        <v>0</v>
      </c>
      <c r="I49" s="61">
        <f t="shared" si="0"/>
        <v>0</v>
      </c>
      <c r="J49" s="12" t="s">
        <v>136</v>
      </c>
      <c r="K49" s="4">
        <v>1</v>
      </c>
    </row>
    <row r="50" spans="1:15" ht="44.25" hidden="1" customHeight="1" x14ac:dyDescent="0.2">
      <c r="A50" s="17"/>
      <c r="B50" s="59" t="s">
        <v>137</v>
      </c>
      <c r="C50" s="17" t="s">
        <v>138</v>
      </c>
      <c r="D50" s="60"/>
      <c r="E50" s="46"/>
      <c r="F50" s="17" t="s">
        <v>139</v>
      </c>
      <c r="G50" s="61"/>
      <c r="H50" s="61">
        <f>ROUND(K4*G50,0)</f>
        <v>0</v>
      </c>
      <c r="I50" s="61">
        <f t="shared" si="0"/>
        <v>0</v>
      </c>
      <c r="J50" s="12" t="s">
        <v>140</v>
      </c>
      <c r="K50" s="4">
        <v>1</v>
      </c>
    </row>
    <row r="51" spans="1:15" ht="44.25" hidden="1" customHeight="1" x14ac:dyDescent="0.2">
      <c r="A51" s="17"/>
      <c r="B51" s="59"/>
      <c r="C51" s="17"/>
      <c r="D51" s="60"/>
      <c r="E51" s="46"/>
      <c r="F51" s="17"/>
      <c r="G51" s="61"/>
      <c r="H51" s="61"/>
      <c r="I51" s="61"/>
      <c r="J51" s="12"/>
    </row>
    <row r="52" spans="1:15" ht="44.25" hidden="1" customHeight="1" x14ac:dyDescent="0.2">
      <c r="A52" s="17"/>
      <c r="B52" s="59"/>
      <c r="C52" s="17"/>
      <c r="D52" s="60"/>
      <c r="E52" s="46"/>
      <c r="F52" s="17"/>
      <c r="G52" s="61"/>
      <c r="H52" s="61"/>
      <c r="I52" s="61"/>
      <c r="J52" s="12"/>
    </row>
    <row r="53" spans="1:15" ht="44.25" hidden="1" customHeight="1" x14ac:dyDescent="0.2">
      <c r="A53" s="17"/>
      <c r="B53" s="59"/>
      <c r="C53" s="17"/>
      <c r="D53" s="60"/>
      <c r="E53" s="46"/>
      <c r="F53" s="17"/>
      <c r="G53" s="61"/>
      <c r="H53" s="61"/>
      <c r="I53" s="61"/>
      <c r="J53" s="12"/>
    </row>
    <row r="54" spans="1:15" ht="30.75" hidden="1" customHeight="1" x14ac:dyDescent="0.2">
      <c r="A54" s="17"/>
      <c r="B54" s="59"/>
      <c r="C54" s="17"/>
      <c r="D54" s="60"/>
      <c r="E54" s="46"/>
      <c r="F54" s="17"/>
      <c r="G54" s="61"/>
      <c r="H54" s="61"/>
      <c r="I54" s="61"/>
      <c r="J54" s="12"/>
    </row>
    <row r="55" spans="1:15" ht="44.25" hidden="1" customHeight="1" x14ac:dyDescent="0.2">
      <c r="A55" s="17"/>
      <c r="B55" s="59"/>
      <c r="C55" s="17"/>
      <c r="D55" s="60"/>
      <c r="E55" s="46"/>
      <c r="F55" s="17"/>
      <c r="G55" s="61"/>
      <c r="H55" s="61"/>
      <c r="I55" s="61"/>
      <c r="J55" s="12"/>
    </row>
    <row r="56" spans="1:15" ht="44.25" hidden="1" customHeight="1" x14ac:dyDescent="0.2">
      <c r="A56" s="17"/>
      <c r="B56" s="45" t="s">
        <v>141</v>
      </c>
      <c r="C56" s="17" t="s">
        <v>142</v>
      </c>
      <c r="D56" s="60"/>
      <c r="E56" s="46"/>
      <c r="F56" s="17" t="s">
        <v>143</v>
      </c>
      <c r="G56" s="47"/>
      <c r="H56" s="47">
        <f>ROUND(K4*G56,0)</f>
        <v>0</v>
      </c>
      <c r="I56" s="47">
        <f t="shared" si="0"/>
        <v>0</v>
      </c>
      <c r="J56" s="12" t="s">
        <v>144</v>
      </c>
      <c r="K56" s="4">
        <v>1</v>
      </c>
    </row>
    <row r="57" spans="1:15" ht="16.5" customHeight="1" x14ac:dyDescent="0.2">
      <c r="A57" s="17" t="s">
        <v>260</v>
      </c>
      <c r="B57" s="45" t="s">
        <v>145</v>
      </c>
      <c r="C57" s="17" t="s">
        <v>59</v>
      </c>
      <c r="D57" s="60">
        <f>'[1]Định mức tư vấn'!F8</f>
        <v>3.2849999999999997E-2</v>
      </c>
      <c r="E57" s="46"/>
      <c r="F57" s="17" t="str">
        <f>D57*100&amp;"% x "&amp;C7</f>
        <v>3,285% x Gxd</v>
      </c>
      <c r="G57" s="47">
        <f>ROUND(D57*G7,0)</f>
        <v>54757589</v>
      </c>
      <c r="H57" s="47">
        <f>ROUND(K4*G57,0)</f>
        <v>4380607</v>
      </c>
      <c r="I57" s="47">
        <f>ROUND(G57+H57,-3)</f>
        <v>59138000</v>
      </c>
      <c r="J57" s="12" t="s">
        <v>146</v>
      </c>
      <c r="K57" s="4">
        <v>1</v>
      </c>
      <c r="O57" s="5" t="s">
        <v>47</v>
      </c>
    </row>
    <row r="58" spans="1:15" ht="30.75" hidden="1" customHeight="1" x14ac:dyDescent="0.2">
      <c r="A58" s="17"/>
      <c r="B58" s="45" t="s">
        <v>147</v>
      </c>
      <c r="C58" s="17" t="s">
        <v>148</v>
      </c>
      <c r="D58" s="60"/>
      <c r="E58" s="46"/>
      <c r="F58" s="17" t="str">
        <f>""</f>
        <v/>
      </c>
      <c r="G58" s="47"/>
      <c r="H58" s="47">
        <f>ROUND(K4*G58,0)</f>
        <v>0</v>
      </c>
      <c r="I58" s="47">
        <f t="shared" si="0"/>
        <v>0</v>
      </c>
      <c r="J58" s="12" t="s">
        <v>149</v>
      </c>
      <c r="K58" s="4">
        <v>1</v>
      </c>
    </row>
    <row r="59" spans="1:15" ht="30.75" hidden="1" customHeight="1" x14ac:dyDescent="0.2">
      <c r="A59" s="17"/>
      <c r="B59" s="45" t="s">
        <v>150</v>
      </c>
      <c r="C59" s="17" t="s">
        <v>151</v>
      </c>
      <c r="D59" s="60">
        <v>0.3</v>
      </c>
      <c r="E59" s="46"/>
      <c r="F59" s="17" t="str">
        <f>D59*100&amp;"%*("&amp;C46&amp;"+"&amp;C57&amp;")"</f>
        <v>30%*(Gtv26+Gtv4)</v>
      </c>
      <c r="G59" s="47"/>
      <c r="H59" s="47">
        <f>ROUND(K4*G59,0)</f>
        <v>0</v>
      </c>
      <c r="I59" s="47">
        <f t="shared" si="0"/>
        <v>0</v>
      </c>
      <c r="J59" s="12" t="s">
        <v>152</v>
      </c>
      <c r="K59" s="4">
        <v>1</v>
      </c>
    </row>
    <row r="60" spans="1:15" ht="30.75" hidden="1" customHeight="1" x14ac:dyDescent="0.2">
      <c r="A60" s="17"/>
      <c r="B60" s="45" t="s">
        <v>153</v>
      </c>
      <c r="C60" s="17" t="s">
        <v>154</v>
      </c>
      <c r="D60" s="60">
        <v>0.6</v>
      </c>
      <c r="E60" s="46"/>
      <c r="F60" s="17" t="str">
        <f>D60*100&amp;"%*("&amp;C46&amp;"+"&amp;C57&amp;")"</f>
        <v>60%*(Gtv26+Gtv4)</v>
      </c>
      <c r="G60" s="47"/>
      <c r="H60" s="47">
        <f>ROUND(K4*G60,0)</f>
        <v>0</v>
      </c>
      <c r="I60" s="47">
        <f t="shared" si="0"/>
        <v>0</v>
      </c>
      <c r="J60" s="12" t="s">
        <v>155</v>
      </c>
      <c r="K60" s="4">
        <v>1</v>
      </c>
    </row>
    <row r="61" spans="1:15" ht="16.5" hidden="1" customHeight="1" x14ac:dyDescent="0.2">
      <c r="A61" s="17"/>
      <c r="B61" s="45" t="s">
        <v>156</v>
      </c>
      <c r="C61" s="17" t="s">
        <v>157</v>
      </c>
      <c r="D61" s="60"/>
      <c r="E61" s="46"/>
      <c r="F61" s="17" t="str">
        <f>""</f>
        <v/>
      </c>
      <c r="G61" s="47"/>
      <c r="H61" s="47">
        <f>ROUND(K4*G61,0)</f>
        <v>0</v>
      </c>
      <c r="I61" s="47">
        <f t="shared" si="0"/>
        <v>0</v>
      </c>
      <c r="J61" s="12" t="s">
        <v>158</v>
      </c>
      <c r="K61" s="4">
        <v>1</v>
      </c>
    </row>
    <row r="62" spans="1:15" ht="30.75" hidden="1" customHeight="1" x14ac:dyDescent="0.2">
      <c r="A62" s="17"/>
      <c r="B62" s="45" t="s">
        <v>159</v>
      </c>
      <c r="C62" s="17" t="s">
        <v>160</v>
      </c>
      <c r="D62" s="60"/>
      <c r="E62" s="46"/>
      <c r="F62" s="17" t="str">
        <f>""</f>
        <v/>
      </c>
      <c r="G62" s="47"/>
      <c r="H62" s="47">
        <f>ROUND(K4*G62,0)</f>
        <v>0</v>
      </c>
      <c r="I62" s="47">
        <f t="shared" si="0"/>
        <v>0</v>
      </c>
      <c r="J62" s="12" t="s">
        <v>161</v>
      </c>
      <c r="K62" s="4">
        <v>1</v>
      </c>
    </row>
    <row r="63" spans="1:15" ht="30.75" hidden="1" customHeight="1" x14ac:dyDescent="0.2">
      <c r="A63" s="17"/>
      <c r="B63" s="45" t="s">
        <v>162</v>
      </c>
      <c r="C63" s="17" t="s">
        <v>163</v>
      </c>
      <c r="D63" s="60"/>
      <c r="E63" s="46"/>
      <c r="F63" s="17" t="str">
        <f>""</f>
        <v/>
      </c>
      <c r="G63" s="47"/>
      <c r="H63" s="47">
        <f>ROUND(K4*G63,0)</f>
        <v>0</v>
      </c>
      <c r="I63" s="47">
        <f t="shared" si="0"/>
        <v>0</v>
      </c>
      <c r="J63" s="12" t="s">
        <v>164</v>
      </c>
      <c r="K63" s="4">
        <v>1</v>
      </c>
    </row>
    <row r="64" spans="1:15" ht="21" hidden="1" customHeight="1" x14ac:dyDescent="0.2">
      <c r="A64" s="17"/>
      <c r="B64" s="45" t="s">
        <v>165</v>
      </c>
      <c r="C64" s="17" t="s">
        <v>166</v>
      </c>
      <c r="D64" s="60"/>
      <c r="E64" s="46"/>
      <c r="F64" s="17" t="str">
        <f>""</f>
        <v/>
      </c>
      <c r="G64" s="47"/>
      <c r="H64" s="47">
        <v>0</v>
      </c>
      <c r="I64" s="47">
        <v>0</v>
      </c>
      <c r="J64" s="12" t="s">
        <v>167</v>
      </c>
      <c r="K64" s="4">
        <v>1</v>
      </c>
    </row>
    <row r="65" spans="1:15" ht="16.5" customHeight="1" x14ac:dyDescent="0.2">
      <c r="A65" s="18">
        <v>4</v>
      </c>
      <c r="B65" s="54" t="s">
        <v>168</v>
      </c>
      <c r="C65" s="18" t="s">
        <v>169</v>
      </c>
      <c r="D65" s="58"/>
      <c r="E65" s="56"/>
      <c r="F65" s="18" t="s">
        <v>247</v>
      </c>
      <c r="G65" s="57">
        <f>SUMIF(K66:K79,1,G66:G79)</f>
        <v>31333694.799999997</v>
      </c>
      <c r="H65" s="57">
        <f>SUMIF(K66:K79,1,H66:H79)</f>
        <v>1564248.5759999999</v>
      </c>
      <c r="I65" s="57">
        <f>SUMIF(K66:K79,1,I66:I79)</f>
        <v>32898000</v>
      </c>
      <c r="J65" s="12" t="s">
        <v>169</v>
      </c>
      <c r="K65" s="4">
        <v>1</v>
      </c>
    </row>
    <row r="66" spans="1:15" ht="16.5" hidden="1" customHeight="1" x14ac:dyDescent="0.2">
      <c r="A66" s="17"/>
      <c r="B66" s="45" t="s">
        <v>170</v>
      </c>
      <c r="C66" s="17" t="s">
        <v>171</v>
      </c>
      <c r="D66" s="60"/>
      <c r="E66" s="46"/>
      <c r="F66" s="17" t="str">
        <f>""</f>
        <v/>
      </c>
      <c r="G66" s="47"/>
      <c r="H66" s="47">
        <f>ROUND(K4*G66,0)</f>
        <v>0</v>
      </c>
      <c r="I66" s="47">
        <f>G66+H66</f>
        <v>0</v>
      </c>
      <c r="J66" s="12" t="s">
        <v>172</v>
      </c>
      <c r="K66" s="4">
        <v>1</v>
      </c>
    </row>
    <row r="67" spans="1:15" ht="16.5" hidden="1" customHeight="1" x14ac:dyDescent="0.2">
      <c r="A67" s="17"/>
      <c r="B67" s="45" t="s">
        <v>173</v>
      </c>
      <c r="C67" s="17" t="s">
        <v>174</v>
      </c>
      <c r="D67" s="60"/>
      <c r="E67" s="46"/>
      <c r="F67" s="17" t="str">
        <f>""</f>
        <v/>
      </c>
      <c r="G67" s="47"/>
      <c r="H67" s="47">
        <v>0</v>
      </c>
      <c r="I67" s="47">
        <v>0</v>
      </c>
      <c r="J67" s="12" t="s">
        <v>175</v>
      </c>
      <c r="K67" s="4">
        <v>1</v>
      </c>
    </row>
    <row r="68" spans="1:15" ht="44.25" hidden="1" customHeight="1" x14ac:dyDescent="0.2">
      <c r="A68" s="17"/>
      <c r="B68" s="45" t="s">
        <v>176</v>
      </c>
      <c r="C68" s="17" t="s">
        <v>177</v>
      </c>
      <c r="D68" s="60"/>
      <c r="E68" s="46"/>
      <c r="F68" s="17" t="str">
        <f>""</f>
        <v/>
      </c>
      <c r="G68" s="47"/>
      <c r="H68" s="47">
        <f>ROUND(K4*G68,0)</f>
        <v>0</v>
      </c>
      <c r="I68" s="47">
        <f t="shared" ref="I68:I78" si="1">G68+H68</f>
        <v>0</v>
      </c>
      <c r="J68" s="12" t="s">
        <v>178</v>
      </c>
      <c r="K68" s="4">
        <v>1</v>
      </c>
    </row>
    <row r="69" spans="1:15" ht="30.75" hidden="1" customHeight="1" x14ac:dyDescent="0.2">
      <c r="A69" s="17"/>
      <c r="B69" s="45" t="s">
        <v>179</v>
      </c>
      <c r="C69" s="17" t="s">
        <v>180</v>
      </c>
      <c r="D69" s="60"/>
      <c r="E69" s="46"/>
      <c r="F69" s="17" t="str">
        <f>""</f>
        <v/>
      </c>
      <c r="G69" s="47"/>
      <c r="H69" s="47">
        <f>ROUND(K4*G69,0)</f>
        <v>0</v>
      </c>
      <c r="I69" s="47">
        <f t="shared" si="1"/>
        <v>0</v>
      </c>
      <c r="J69" s="12" t="s">
        <v>181</v>
      </c>
      <c r="K69" s="4">
        <v>1</v>
      </c>
    </row>
    <row r="70" spans="1:15" ht="30.75" customHeight="1" x14ac:dyDescent="0.2">
      <c r="A70" s="17" t="s">
        <v>253</v>
      </c>
      <c r="B70" s="45" t="s">
        <v>183</v>
      </c>
      <c r="C70" s="17" t="s">
        <v>171</v>
      </c>
      <c r="D70" s="60"/>
      <c r="E70" s="46"/>
      <c r="F70" s="17" t="s">
        <v>243</v>
      </c>
      <c r="G70" s="47">
        <v>500000</v>
      </c>
      <c r="H70" s="47"/>
      <c r="I70" s="47">
        <v>500000</v>
      </c>
      <c r="J70" s="12" t="s">
        <v>184</v>
      </c>
      <c r="K70" s="4">
        <v>1</v>
      </c>
      <c r="O70" s="5" t="s">
        <v>185</v>
      </c>
    </row>
    <row r="71" spans="1:15" ht="33.75" hidden="1" customHeight="1" x14ac:dyDescent="0.2">
      <c r="A71" s="17"/>
      <c r="B71" s="45" t="s">
        <v>186</v>
      </c>
      <c r="C71" s="17" t="s">
        <v>187</v>
      </c>
      <c r="D71" s="60"/>
      <c r="E71" s="46"/>
      <c r="F71" s="17" t="str">
        <f>""</f>
        <v/>
      </c>
      <c r="G71" s="47"/>
      <c r="H71" s="47">
        <f>K4*G71</f>
        <v>0</v>
      </c>
      <c r="I71" s="47">
        <f t="shared" si="1"/>
        <v>0</v>
      </c>
      <c r="J71" s="12" t="s">
        <v>188</v>
      </c>
      <c r="K71" s="4">
        <v>1</v>
      </c>
      <c r="O71" s="5" t="s">
        <v>189</v>
      </c>
    </row>
    <row r="72" spans="1:15" ht="30.75" hidden="1" customHeight="1" x14ac:dyDescent="0.2">
      <c r="A72" s="17"/>
      <c r="B72" s="45" t="s">
        <v>190</v>
      </c>
      <c r="C72" s="17" t="s">
        <v>191</v>
      </c>
      <c r="D72" s="60">
        <v>0.5</v>
      </c>
      <c r="E72" s="46"/>
      <c r="F72" s="17" t="str">
        <f>D72*100&amp;"%*"&amp;C70</f>
        <v>50%*Gk1</v>
      </c>
      <c r="G72" s="47"/>
      <c r="H72" s="47">
        <f>K4*G72</f>
        <v>0</v>
      </c>
      <c r="I72" s="47">
        <f t="shared" si="1"/>
        <v>0</v>
      </c>
      <c r="J72" s="12" t="s">
        <v>192</v>
      </c>
      <c r="K72" s="4">
        <v>1</v>
      </c>
    </row>
    <row r="73" spans="1:15" ht="30.75" hidden="1" customHeight="1" x14ac:dyDescent="0.2">
      <c r="A73" s="17"/>
      <c r="B73" s="45" t="s">
        <v>193</v>
      </c>
      <c r="C73" s="17" t="s">
        <v>194</v>
      </c>
      <c r="D73" s="60"/>
      <c r="E73" s="46"/>
      <c r="F73" s="17" t="str">
        <f>""</f>
        <v/>
      </c>
      <c r="G73" s="47"/>
      <c r="H73" s="47"/>
      <c r="I73" s="47">
        <f t="shared" si="1"/>
        <v>0</v>
      </c>
      <c r="J73" s="12" t="s">
        <v>195</v>
      </c>
    </row>
    <row r="74" spans="1:15" ht="45" hidden="1" customHeight="1" x14ac:dyDescent="0.2">
      <c r="A74" s="17"/>
      <c r="B74" s="45" t="s">
        <v>196</v>
      </c>
      <c r="C74" s="17" t="s">
        <v>197</v>
      </c>
      <c r="D74" s="60"/>
      <c r="E74" s="46"/>
      <c r="F74" s="17" t="str">
        <f>""</f>
        <v/>
      </c>
      <c r="G74" s="47"/>
      <c r="H74" s="47"/>
      <c r="I74" s="47">
        <f t="shared" si="1"/>
        <v>0</v>
      </c>
      <c r="J74" s="12" t="s">
        <v>198</v>
      </c>
      <c r="K74" s="4">
        <v>1</v>
      </c>
      <c r="O74" s="5" t="s">
        <v>199</v>
      </c>
    </row>
    <row r="75" spans="1:15" ht="31.2" x14ac:dyDescent="0.2">
      <c r="A75" s="17" t="s">
        <v>79</v>
      </c>
      <c r="B75" s="45" t="s">
        <v>200</v>
      </c>
      <c r="C75" s="17" t="s">
        <v>174</v>
      </c>
      <c r="D75" s="60">
        <f>'[1]Định mức tư vấn'!F14</f>
        <v>5.6999999999999993E-3</v>
      </c>
      <c r="E75" s="62">
        <v>0.5</v>
      </c>
      <c r="F75" s="15" t="s">
        <v>244</v>
      </c>
      <c r="G75" s="47">
        <f>+(I6+I18+I20)*D75*E75</f>
        <v>5804828.6999999993</v>
      </c>
      <c r="H75" s="47"/>
      <c r="I75" s="47">
        <f>ROUND(G75+H75,-3)</f>
        <v>5805000</v>
      </c>
      <c r="J75" s="12" t="s">
        <v>201</v>
      </c>
      <c r="K75" s="4">
        <v>1</v>
      </c>
      <c r="O75" s="5" t="s">
        <v>202</v>
      </c>
    </row>
    <row r="76" spans="1:15" ht="31.2" x14ac:dyDescent="0.2">
      <c r="A76" s="17" t="s">
        <v>94</v>
      </c>
      <c r="B76" s="45" t="s">
        <v>203</v>
      </c>
      <c r="C76" s="17" t="s">
        <v>177</v>
      </c>
      <c r="D76" s="60">
        <f>'[1]Định mức tư vấn'!F13</f>
        <v>9.5999999999999992E-3</v>
      </c>
      <c r="E76" s="46"/>
      <c r="F76" s="15" t="s">
        <v>245</v>
      </c>
      <c r="G76" s="47">
        <f>+(I6+I18+I20)*D76</f>
        <v>19553107.199999999</v>
      </c>
      <c r="H76" s="47">
        <f>K4*G76</f>
        <v>1564248.5759999999</v>
      </c>
      <c r="I76" s="47">
        <f>ROUND(G76+H76,-3)</f>
        <v>21117000</v>
      </c>
      <c r="J76" s="12" t="s">
        <v>204</v>
      </c>
      <c r="K76" s="4">
        <v>1</v>
      </c>
      <c r="O76" s="5" t="s">
        <v>202</v>
      </c>
    </row>
    <row r="77" spans="1:15" ht="30.75" hidden="1" customHeight="1" x14ac:dyDescent="0.2">
      <c r="A77" s="17"/>
      <c r="B77" s="45" t="s">
        <v>205</v>
      </c>
      <c r="C77" s="17" t="s">
        <v>206</v>
      </c>
      <c r="D77" s="60"/>
      <c r="E77" s="46"/>
      <c r="F77" s="17" t="str">
        <f>D77*100&amp;"%*"&amp;C6</f>
        <v>0%*Gcpxd</v>
      </c>
      <c r="G77" s="47"/>
      <c r="H77" s="47">
        <f>ROUND(K4*G77,0)</f>
        <v>0</v>
      </c>
      <c r="I77" s="47">
        <f t="shared" si="1"/>
        <v>0</v>
      </c>
      <c r="J77" s="12" t="s">
        <v>207</v>
      </c>
      <c r="K77" s="4">
        <v>1</v>
      </c>
    </row>
    <row r="78" spans="1:15" ht="25.5" hidden="1" customHeight="1" x14ac:dyDescent="0.2">
      <c r="A78" s="17"/>
      <c r="B78" s="45" t="s">
        <v>208</v>
      </c>
      <c r="C78" s="17" t="s">
        <v>209</v>
      </c>
      <c r="D78" s="60"/>
      <c r="E78" s="46"/>
      <c r="F78" s="17" t="str">
        <f>D78*100&amp;"%*"&amp;C20</f>
        <v>0%*Gtv</v>
      </c>
      <c r="G78" s="47"/>
      <c r="H78" s="47">
        <f>ROUND(K4*G78,0)</f>
        <v>0</v>
      </c>
      <c r="I78" s="47">
        <f t="shared" si="1"/>
        <v>0</v>
      </c>
      <c r="J78" s="12" t="s">
        <v>210</v>
      </c>
      <c r="K78" s="4">
        <v>1</v>
      </c>
    </row>
    <row r="79" spans="1:15" ht="36" customHeight="1" x14ac:dyDescent="0.2">
      <c r="A79" s="17" t="s">
        <v>97</v>
      </c>
      <c r="B79" s="45" t="s">
        <v>211</v>
      </c>
      <c r="C79" s="17" t="s">
        <v>180</v>
      </c>
      <c r="D79" s="60">
        <v>0.1</v>
      </c>
      <c r="E79" s="46"/>
      <c r="F79" s="19" t="s">
        <v>255</v>
      </c>
      <c r="G79" s="47">
        <f>+G57*D79</f>
        <v>5475758.9000000004</v>
      </c>
      <c r="H79" s="47"/>
      <c r="I79" s="47">
        <f>ROUND(G79+H79,-3)</f>
        <v>5476000</v>
      </c>
      <c r="J79" s="12" t="s">
        <v>212</v>
      </c>
      <c r="K79" s="4">
        <v>1</v>
      </c>
      <c r="O79" s="5" t="s">
        <v>213</v>
      </c>
    </row>
    <row r="80" spans="1:15" ht="16.5" customHeight="1" x14ac:dyDescent="0.2">
      <c r="A80" s="18">
        <v>5</v>
      </c>
      <c r="B80" s="54" t="s">
        <v>214</v>
      </c>
      <c r="C80" s="18" t="s">
        <v>215</v>
      </c>
      <c r="D80" s="58"/>
      <c r="E80" s="56"/>
      <c r="F80" s="18" t="s">
        <v>217</v>
      </c>
      <c r="G80" s="57"/>
      <c r="H80" s="57"/>
      <c r="I80" s="57">
        <f>SUM(I81:I82)</f>
        <v>103484000</v>
      </c>
      <c r="J80" s="12" t="s">
        <v>215</v>
      </c>
      <c r="K80" s="4">
        <v>1</v>
      </c>
    </row>
    <row r="81" spans="1:15" ht="32.4" x14ac:dyDescent="0.2">
      <c r="A81" s="63" t="s">
        <v>182</v>
      </c>
      <c r="B81" s="64" t="s">
        <v>216</v>
      </c>
      <c r="C81" s="63" t="s">
        <v>217</v>
      </c>
      <c r="D81" s="65">
        <v>0.05</v>
      </c>
      <c r="E81" s="66"/>
      <c r="F81" s="63" t="s">
        <v>246</v>
      </c>
      <c r="G81" s="67"/>
      <c r="H81" s="67"/>
      <c r="I81" s="67">
        <f>D81*(I5+I6+I11+I18+I20+I65)</f>
        <v>103484000</v>
      </c>
      <c r="J81" s="12" t="s">
        <v>217</v>
      </c>
      <c r="K81" s="4">
        <v>1</v>
      </c>
      <c r="O81" s="5" t="s">
        <v>218</v>
      </c>
    </row>
    <row r="82" spans="1:15" ht="15.6" hidden="1" x14ac:dyDescent="0.2">
      <c r="A82" s="68"/>
      <c r="B82" s="69" t="s">
        <v>219</v>
      </c>
      <c r="C82" s="70" t="s">
        <v>220</v>
      </c>
      <c r="D82" s="71"/>
      <c r="E82" s="72"/>
      <c r="F82" s="70"/>
      <c r="G82" s="73"/>
      <c r="H82" s="73"/>
      <c r="I82" s="73"/>
      <c r="J82" s="12" t="s">
        <v>220</v>
      </c>
      <c r="K82" s="14">
        <f>I5+I6+I11+I18+I19+I20+I65</f>
        <v>2069680000</v>
      </c>
    </row>
    <row r="83" spans="1:15" ht="16.5" hidden="1" customHeight="1" x14ac:dyDescent="0.2">
      <c r="A83" s="74"/>
      <c r="B83" s="75" t="s">
        <v>221</v>
      </c>
      <c r="C83" s="74"/>
      <c r="D83" s="76"/>
      <c r="E83" s="77"/>
      <c r="F83" s="74" t="str">
        <f>""</f>
        <v/>
      </c>
      <c r="G83" s="78"/>
      <c r="H83" s="78"/>
      <c r="I83" s="78">
        <f>I5+I6+I11+I18+I19+I20+I65+I80</f>
        <v>2173164000</v>
      </c>
      <c r="J83" s="12" t="s">
        <v>222</v>
      </c>
      <c r="K83" s="14">
        <v>2788709424.3285527</v>
      </c>
      <c r="L83" s="13">
        <f>I83-I80</f>
        <v>2069680000</v>
      </c>
      <c r="M83" s="3">
        <f>ROUND(K83-L83,1)</f>
        <v>719029424.29999995</v>
      </c>
      <c r="O83" s="5" t="s">
        <v>223</v>
      </c>
    </row>
    <row r="84" spans="1:15" ht="30.75" hidden="1" customHeight="1" x14ac:dyDescent="0.2">
      <c r="A84" s="74"/>
      <c r="B84" s="75" t="s">
        <v>224</v>
      </c>
      <c r="C84" s="74" t="s">
        <v>108</v>
      </c>
      <c r="D84" s="76"/>
      <c r="E84" s="77"/>
      <c r="F84" s="74" t="s">
        <v>225</v>
      </c>
      <c r="G84" s="78"/>
      <c r="H84" s="78">
        <f>SUM(H85:H88)</f>
        <v>0</v>
      </c>
      <c r="I84" s="78">
        <f>SUM(I85:I88)</f>
        <v>0</v>
      </c>
      <c r="J84" s="12" t="s">
        <v>226</v>
      </c>
      <c r="K84" s="4">
        <v>1</v>
      </c>
    </row>
    <row r="85" spans="1:15" ht="30.75" hidden="1" customHeight="1" x14ac:dyDescent="0.2">
      <c r="A85" s="79"/>
      <c r="B85" s="80" t="s">
        <v>227</v>
      </c>
      <c r="C85" s="79" t="s">
        <v>228</v>
      </c>
      <c r="D85" s="81"/>
      <c r="E85" s="82"/>
      <c r="F85" s="79" t="str">
        <f>""</f>
        <v/>
      </c>
      <c r="G85" s="83"/>
      <c r="H85" s="83">
        <f>ROUND(K4*G85,0)</f>
        <v>0</v>
      </c>
      <c r="I85" s="83">
        <f>G85+H85</f>
        <v>0</v>
      </c>
      <c r="J85" s="12" t="s">
        <v>229</v>
      </c>
      <c r="K85" s="4">
        <v>1</v>
      </c>
    </row>
    <row r="86" spans="1:15" ht="30.75" hidden="1" customHeight="1" x14ac:dyDescent="0.2">
      <c r="A86" s="79"/>
      <c r="B86" s="80" t="s">
        <v>230</v>
      </c>
      <c r="C86" s="79" t="s">
        <v>231</v>
      </c>
      <c r="D86" s="81"/>
      <c r="E86" s="82"/>
      <c r="F86" s="79" t="str">
        <f>D86*100&amp;"%*"&amp;C85</f>
        <v>0%*Gkt1</v>
      </c>
      <c r="G86" s="83"/>
      <c r="H86" s="83">
        <f>ROUND(K4*G86,0)</f>
        <v>0</v>
      </c>
      <c r="I86" s="83">
        <f>G86+H86</f>
        <v>0</v>
      </c>
      <c r="J86" s="12" t="s">
        <v>232</v>
      </c>
      <c r="K86" s="4">
        <v>1</v>
      </c>
    </row>
    <row r="87" spans="1:15" ht="21" hidden="1" customHeight="1" x14ac:dyDescent="0.2">
      <c r="A87" s="79"/>
      <c r="B87" s="80" t="s">
        <v>200</v>
      </c>
      <c r="C87" s="79" t="s">
        <v>233</v>
      </c>
      <c r="D87" s="81"/>
      <c r="E87" s="82"/>
      <c r="F87" s="79" t="str">
        <f>""</f>
        <v/>
      </c>
      <c r="G87" s="83"/>
      <c r="H87" s="83">
        <f>ROUND(K4*G87,0)</f>
        <v>0</v>
      </c>
      <c r="I87" s="83">
        <f>G87+H87</f>
        <v>0</v>
      </c>
      <c r="J87" s="12" t="s">
        <v>234</v>
      </c>
      <c r="K87" s="4">
        <v>1</v>
      </c>
    </row>
    <row r="88" spans="1:15" ht="21" hidden="1" customHeight="1" x14ac:dyDescent="0.2">
      <c r="A88" s="79"/>
      <c r="B88" s="80" t="s">
        <v>203</v>
      </c>
      <c r="C88" s="79" t="s">
        <v>235</v>
      </c>
      <c r="D88" s="81"/>
      <c r="E88" s="82"/>
      <c r="F88" s="79" t="str">
        <f>""</f>
        <v/>
      </c>
      <c r="G88" s="83"/>
      <c r="H88" s="83">
        <f>ROUND(K4*G88,0)</f>
        <v>0</v>
      </c>
      <c r="I88" s="83">
        <f>G88+H88</f>
        <v>0</v>
      </c>
      <c r="J88" s="12" t="s">
        <v>236</v>
      </c>
      <c r="K88" s="4">
        <v>1</v>
      </c>
    </row>
    <row r="89" spans="1:15" ht="16.5" hidden="1" customHeight="1" x14ac:dyDescent="0.2">
      <c r="A89" s="74"/>
      <c r="B89" s="75" t="s">
        <v>237</v>
      </c>
      <c r="C89" s="74"/>
      <c r="D89" s="76"/>
      <c r="E89" s="77"/>
      <c r="F89" s="74" t="str">
        <f>""</f>
        <v/>
      </c>
      <c r="G89" s="78"/>
      <c r="H89" s="78">
        <f>H83+H84</f>
        <v>0</v>
      </c>
      <c r="I89" s="78">
        <f>I83+I84</f>
        <v>2173164000</v>
      </c>
      <c r="J89" s="12" t="s">
        <v>238</v>
      </c>
      <c r="K89" s="4">
        <v>1</v>
      </c>
    </row>
    <row r="90" spans="1:15" ht="16.5" customHeight="1" x14ac:dyDescent="0.2">
      <c r="A90" s="74"/>
      <c r="B90" s="75" t="s">
        <v>239</v>
      </c>
      <c r="C90" s="74" t="s">
        <v>222</v>
      </c>
      <c r="D90" s="76"/>
      <c r="E90" s="77"/>
      <c r="F90" s="74" t="str">
        <f>""</f>
        <v/>
      </c>
      <c r="G90" s="78"/>
      <c r="H90" s="78"/>
      <c r="I90" s="78">
        <f>ROUND(I89,-3)</f>
        <v>2173164000</v>
      </c>
      <c r="J90" s="12" t="s">
        <v>240</v>
      </c>
      <c r="K90" s="14">
        <v>2712380806.9013467</v>
      </c>
      <c r="L90" s="13">
        <f>G83</f>
        <v>0</v>
      </c>
    </row>
    <row r="91" spans="1:15" ht="30" hidden="1" customHeight="1" x14ac:dyDescent="0.2">
      <c r="A91" s="84" t="s">
        <v>241</v>
      </c>
      <c r="B91" s="85"/>
      <c r="C91" s="85"/>
      <c r="D91" s="85"/>
      <c r="E91" s="85"/>
      <c r="F91" s="85"/>
      <c r="G91" s="85"/>
      <c r="H91" s="85"/>
      <c r="I91" s="86"/>
    </row>
    <row r="92" spans="1:15" ht="23.25" customHeight="1" x14ac:dyDescent="0.2">
      <c r="A92" s="87" t="s">
        <v>251</v>
      </c>
      <c r="B92" s="88"/>
      <c r="C92" s="88"/>
      <c r="D92" s="88"/>
      <c r="E92" s="88"/>
      <c r="F92" s="88"/>
      <c r="G92" s="88"/>
      <c r="H92" s="88"/>
      <c r="I92" s="88"/>
    </row>
    <row r="93" spans="1:15" ht="9" customHeight="1" x14ac:dyDescent="0.2"/>
    <row r="94" spans="1:15" s="24" customFormat="1" ht="16.2" customHeight="1" x14ac:dyDescent="0.2">
      <c r="A94" s="25"/>
      <c r="B94" s="25"/>
      <c r="C94" s="25"/>
      <c r="D94" s="25"/>
      <c r="E94" s="25"/>
      <c r="F94" s="25"/>
      <c r="G94" s="20" t="s">
        <v>263</v>
      </c>
      <c r="H94" s="20"/>
      <c r="I94" s="20"/>
      <c r="J94" s="21"/>
      <c r="K94" s="21"/>
      <c r="L94" s="22"/>
      <c r="M94" s="23"/>
    </row>
    <row r="95" spans="1:15" s="31" customFormat="1" ht="16.2" customHeight="1" x14ac:dyDescent="0.2">
      <c r="A95" s="26" t="s">
        <v>265</v>
      </c>
      <c r="B95" s="26"/>
      <c r="C95" s="26" t="s">
        <v>262</v>
      </c>
      <c r="D95" s="26"/>
      <c r="E95" s="26"/>
      <c r="F95" s="26"/>
      <c r="G95" s="27" t="s">
        <v>264</v>
      </c>
      <c r="H95" s="27"/>
      <c r="I95" s="27"/>
      <c r="J95" s="28"/>
      <c r="K95" s="28"/>
      <c r="L95" s="29"/>
      <c r="M95" s="30"/>
    </row>
    <row r="101" spans="3:6" ht="15" customHeight="1" x14ac:dyDescent="0.2">
      <c r="C101" s="26" t="s">
        <v>266</v>
      </c>
      <c r="D101" s="26"/>
      <c r="E101" s="26"/>
      <c r="F101" s="26"/>
    </row>
    <row r="102" spans="3:6" ht="27.6" customHeight="1" x14ac:dyDescent="0.2">
      <c r="C102" s="89" t="s">
        <v>267</v>
      </c>
      <c r="D102" s="89"/>
      <c r="E102" s="89"/>
      <c r="F102" s="89"/>
    </row>
  </sheetData>
  <mergeCells count="14">
    <mergeCell ref="C101:F101"/>
    <mergeCell ref="C102:F102"/>
    <mergeCell ref="A1:I1"/>
    <mergeCell ref="A2:I2"/>
    <mergeCell ref="A3:I3"/>
    <mergeCell ref="G94:I94"/>
    <mergeCell ref="C94:F94"/>
    <mergeCell ref="A94:B94"/>
    <mergeCell ref="A92:I92"/>
    <mergeCell ref="L3:N3"/>
    <mergeCell ref="A91:I91"/>
    <mergeCell ref="A95:B95"/>
    <mergeCell ref="C95:F95"/>
    <mergeCell ref="G95:I95"/>
  </mergeCells>
  <pageMargins left="0.82677165354330717" right="0" top="0.62992125984251968" bottom="0.6692913385826772" header="0.39370078740157483" footer="0.31496062992125984"/>
  <pageSetup paperSize="9" scale="97" orientation="landscape" blackAndWhite="1" useFirstPageNumber="1" verticalDpi="0"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foxz</vt:lpstr>
      <vt:lpstr>TH kinh phí</vt:lpstr>
      <vt:lpstr>'TH kinh phí'!Print_Area</vt:lpstr>
      <vt:lpstr>'TH kinh phí'!Print_Titles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dc:creator>
  <cp:lastModifiedBy>Administrator</cp:lastModifiedBy>
  <cp:lastPrinted>2026-05-16T04:57:28Z</cp:lastPrinted>
  <dcterms:created xsi:type="dcterms:W3CDTF">2026-04-17T08:03:58Z</dcterms:created>
  <dcterms:modified xsi:type="dcterms:W3CDTF">2026-05-16T04:57:30Z</dcterms:modified>
</cp:coreProperties>
</file>